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Papua/RAT Spreadsheets/Facility viability Tools/"/>
    </mc:Choice>
  </mc:AlternateContent>
  <xr:revisionPtr revIDLastSave="329" documentId="8_{C4A4F6C6-69BF-461A-AC80-DE8B144FA40A}" xr6:coauthVersionLast="47" xr6:coauthVersionMax="47" xr10:uidLastSave="{B1ABD6D2-AD87-4738-847C-4492CBFC7883}"/>
  <bookViews>
    <workbookView xWindow="-120" yWindow="-120" windowWidth="20730" windowHeight="11160" activeTab="4" xr2:uid="{00000000-000D-0000-FFFF-FFFF00000000}"/>
  </bookViews>
  <sheets>
    <sheet name="1_Home" sheetId="1" r:id="rId1"/>
    <sheet name="13_Instructions" sheetId="13" r:id="rId2"/>
    <sheet name="2_Facility Profile" sheetId="2" r:id="rId3"/>
    <sheet name="3_Pool Assets" sheetId="3" r:id="rId4"/>
    <sheet name="4_Plant Room" sheetId="4" r:id="rId5"/>
    <sheet name="5_Water Quality" sheetId="5" r:id="rId6"/>
    <sheet name="6_Operations" sheetId="6" r:id="rId7"/>
    <sheet name="7_Monthly Use Finance" sheetId="7" r:id="rId8"/>
    <sheet name="8_Deferred Maintenance" sheetId="8" r:id="rId9"/>
    <sheet name="9_Activation Planner" sheetId="9" r:id="rId10"/>
    <sheet name="10_Community Value" sheetId="10" r:id="rId11"/>
    <sheet name="11_Dashboard" sheetId="11" r:id="rId12"/>
    <sheet name="12_Action Plan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9" l="1"/>
  <c r="F25" i="9"/>
  <c r="B20" i="10"/>
  <c r="C10" i="11" s="1"/>
  <c r="D10" i="11" s="1"/>
  <c r="J18" i="9"/>
  <c r="G18" i="9"/>
  <c r="J17" i="9"/>
  <c r="G17" i="9"/>
  <c r="J16" i="9"/>
  <c r="K16" i="9" s="1"/>
  <c r="J15" i="9"/>
  <c r="G15" i="9"/>
  <c r="J14" i="9"/>
  <c r="G14" i="9"/>
  <c r="J13" i="9"/>
  <c r="G13" i="9"/>
  <c r="J12" i="9"/>
  <c r="G12" i="9"/>
  <c r="J11" i="9"/>
  <c r="G11" i="9"/>
  <c r="J10" i="9"/>
  <c r="G10" i="9"/>
  <c r="J9" i="9"/>
  <c r="G9" i="9"/>
  <c r="J8" i="9"/>
  <c r="G8" i="9"/>
  <c r="J7" i="9"/>
  <c r="G7" i="9"/>
  <c r="J6" i="9"/>
  <c r="G6" i="9"/>
  <c r="J5" i="9"/>
  <c r="G5" i="9"/>
  <c r="J4" i="9"/>
  <c r="G4" i="9"/>
  <c r="E19" i="8"/>
  <c r="D25" i="11" s="1"/>
  <c r="I17" i="8"/>
  <c r="H17" i="8"/>
  <c r="G17" i="8"/>
  <c r="I16" i="8"/>
  <c r="H16" i="8"/>
  <c r="G16" i="8"/>
  <c r="I15" i="8"/>
  <c r="H15" i="8"/>
  <c r="G15" i="8"/>
  <c r="I14" i="8"/>
  <c r="H14" i="8"/>
  <c r="G14" i="8"/>
  <c r="I13" i="8"/>
  <c r="H13" i="8"/>
  <c r="G13" i="8"/>
  <c r="I12" i="8"/>
  <c r="H12" i="8"/>
  <c r="G12" i="8"/>
  <c r="I11" i="8"/>
  <c r="H11" i="8"/>
  <c r="G11" i="8"/>
  <c r="I10" i="8"/>
  <c r="H10" i="8"/>
  <c r="G10" i="8"/>
  <c r="I9" i="8"/>
  <c r="H9" i="8"/>
  <c r="G9" i="8"/>
  <c r="I8" i="8"/>
  <c r="H8" i="8"/>
  <c r="G8" i="8"/>
  <c r="I7" i="8"/>
  <c r="H7" i="8"/>
  <c r="G7" i="8"/>
  <c r="I6" i="8"/>
  <c r="H6" i="8"/>
  <c r="G6" i="8"/>
  <c r="I5" i="8"/>
  <c r="H5" i="8"/>
  <c r="G5" i="8"/>
  <c r="I4" i="8"/>
  <c r="H4" i="8"/>
  <c r="G4" i="8"/>
  <c r="E28" i="7"/>
  <c r="B21" i="7"/>
  <c r="Z16" i="7"/>
  <c r="B26" i="7" s="1"/>
  <c r="E24" i="7" s="1"/>
  <c r="Y16" i="7"/>
  <c r="X16" i="7"/>
  <c r="W16" i="7"/>
  <c r="V16" i="7"/>
  <c r="U16" i="7"/>
  <c r="T16" i="7"/>
  <c r="S16" i="7"/>
  <c r="R16" i="7"/>
  <c r="B22" i="7" s="1"/>
  <c r="Q16" i="7"/>
  <c r="P16" i="7"/>
  <c r="O16" i="7"/>
  <c r="N16" i="7"/>
  <c r="M16" i="7"/>
  <c r="B20" i="7" s="1"/>
  <c r="B23" i="11" s="1"/>
  <c r="L16" i="7"/>
  <c r="K16" i="7"/>
  <c r="I16" i="7"/>
  <c r="H16" i="7"/>
  <c r="G16" i="7"/>
  <c r="F16" i="7"/>
  <c r="E16" i="7"/>
  <c r="D16" i="7"/>
  <c r="C16" i="7"/>
  <c r="B16" i="7"/>
  <c r="AA15" i="7"/>
  <c r="Z15" i="7"/>
  <c r="R15" i="7"/>
  <c r="J15" i="7"/>
  <c r="AA14" i="7"/>
  <c r="Z14" i="7"/>
  <c r="R14" i="7"/>
  <c r="J14" i="7"/>
  <c r="AA13" i="7"/>
  <c r="Z13" i="7"/>
  <c r="R13" i="7"/>
  <c r="J13" i="7"/>
  <c r="AA12" i="7"/>
  <c r="Z12" i="7"/>
  <c r="R12" i="7"/>
  <c r="J12" i="7"/>
  <c r="AA11" i="7"/>
  <c r="Z11" i="7"/>
  <c r="R11" i="7"/>
  <c r="J11" i="7"/>
  <c r="AA10" i="7"/>
  <c r="Z10" i="7"/>
  <c r="R10" i="7"/>
  <c r="J10" i="7"/>
  <c r="AA9" i="7"/>
  <c r="Z9" i="7"/>
  <c r="R9" i="7"/>
  <c r="J9" i="7"/>
  <c r="AA8" i="7"/>
  <c r="Z8" i="7"/>
  <c r="R8" i="7"/>
  <c r="J8" i="7"/>
  <c r="AA7" i="7"/>
  <c r="Z7" i="7"/>
  <c r="R7" i="7"/>
  <c r="J7" i="7"/>
  <c r="AA6" i="7"/>
  <c r="Z6" i="7"/>
  <c r="R6" i="7"/>
  <c r="J6" i="7"/>
  <c r="AA5" i="7"/>
  <c r="Z5" i="7"/>
  <c r="R5" i="7"/>
  <c r="J5" i="7"/>
  <c r="AA4" i="7"/>
  <c r="AA16" i="7" s="1"/>
  <c r="B24" i="7" s="1"/>
  <c r="B26" i="11" s="1"/>
  <c r="Z4" i="7"/>
  <c r="R4" i="7"/>
  <c r="J4" i="7"/>
  <c r="J16" i="7" s="1"/>
  <c r="B23" i="6"/>
  <c r="C7" i="11" s="1"/>
  <c r="D7" i="11" s="1"/>
  <c r="L39" i="5"/>
  <c r="N39" i="5" s="1"/>
  <c r="L38" i="5"/>
  <c r="M38" i="5" s="1"/>
  <c r="N37" i="5"/>
  <c r="L37" i="5"/>
  <c r="M37" i="5" s="1"/>
  <c r="L36" i="5"/>
  <c r="N36" i="5" s="1"/>
  <c r="L35" i="5"/>
  <c r="N35" i="5" s="1"/>
  <c r="N34" i="5"/>
  <c r="L34" i="5"/>
  <c r="M34" i="5" s="1"/>
  <c r="N33" i="5"/>
  <c r="M33" i="5"/>
  <c r="L33" i="5"/>
  <c r="L32" i="5"/>
  <c r="N32" i="5" s="1"/>
  <c r="L31" i="5"/>
  <c r="N31" i="5" s="1"/>
  <c r="N30" i="5"/>
  <c r="L30" i="5"/>
  <c r="M30" i="5" s="1"/>
  <c r="N29" i="5"/>
  <c r="M29" i="5"/>
  <c r="L29" i="5"/>
  <c r="L28" i="5"/>
  <c r="N28" i="5" s="1"/>
  <c r="L27" i="5"/>
  <c r="N27" i="5" s="1"/>
  <c r="N26" i="5"/>
  <c r="L26" i="5"/>
  <c r="M26" i="5" s="1"/>
  <c r="N25" i="5"/>
  <c r="M25" i="5"/>
  <c r="L25" i="5"/>
  <c r="L24" i="5"/>
  <c r="N24" i="5" s="1"/>
  <c r="L23" i="5"/>
  <c r="N23" i="5" s="1"/>
  <c r="N22" i="5"/>
  <c r="L22" i="5"/>
  <c r="M22" i="5" s="1"/>
  <c r="N21" i="5"/>
  <c r="M21" i="5"/>
  <c r="L21" i="5"/>
  <c r="L20" i="5"/>
  <c r="N20" i="5" s="1"/>
  <c r="L19" i="5"/>
  <c r="N19" i="5" s="1"/>
  <c r="N18" i="5"/>
  <c r="L18" i="5"/>
  <c r="M18" i="5" s="1"/>
  <c r="N17" i="5"/>
  <c r="M17" i="5"/>
  <c r="L17" i="5"/>
  <c r="L16" i="5"/>
  <c r="N16" i="5" s="1"/>
  <c r="L15" i="5"/>
  <c r="N15" i="5" s="1"/>
  <c r="N14" i="5"/>
  <c r="L14" i="5"/>
  <c r="M14" i="5" s="1"/>
  <c r="N13" i="5"/>
  <c r="M13" i="5"/>
  <c r="L13" i="5"/>
  <c r="L12" i="5"/>
  <c r="N12" i="5" s="1"/>
  <c r="L11" i="5"/>
  <c r="N11" i="5" s="1"/>
  <c r="N10" i="5"/>
  <c r="L10" i="5"/>
  <c r="M10" i="5" s="1"/>
  <c r="N9" i="5"/>
  <c r="M9" i="5"/>
  <c r="L9" i="5"/>
  <c r="L8" i="5"/>
  <c r="N8" i="5" s="1"/>
  <c r="L7" i="5"/>
  <c r="N7" i="5" s="1"/>
  <c r="N6" i="5"/>
  <c r="L6" i="5"/>
  <c r="M6" i="5" s="1"/>
  <c r="N5" i="5"/>
  <c r="M5" i="5"/>
  <c r="L5" i="5"/>
  <c r="L4" i="5"/>
  <c r="N4" i="5" s="1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C13" i="1"/>
  <c r="C10" i="1"/>
  <c r="H19" i="8" l="1"/>
  <c r="G19" i="8"/>
  <c r="I19" i="8"/>
  <c r="D26" i="11" s="1"/>
  <c r="K10" i="9"/>
  <c r="K18" i="9"/>
  <c r="K8" i="9"/>
  <c r="K11" i="9"/>
  <c r="J20" i="9"/>
  <c r="K5" i="9"/>
  <c r="K13" i="9"/>
  <c r="K6" i="9"/>
  <c r="K14" i="9"/>
  <c r="K9" i="9"/>
  <c r="K7" i="9"/>
  <c r="K12" i="9"/>
  <c r="K15" i="9"/>
  <c r="K17" i="9"/>
  <c r="K4" i="9"/>
  <c r="C9" i="1"/>
  <c r="I27" i="4"/>
  <c r="C7" i="1" s="1"/>
  <c r="H29" i="3"/>
  <c r="C6" i="1" s="1"/>
  <c r="B28" i="7"/>
  <c r="B29" i="7"/>
  <c r="B19" i="7"/>
  <c r="N38" i="5"/>
  <c r="N41" i="5" s="1"/>
  <c r="H24" i="8"/>
  <c r="M4" i="5"/>
  <c r="M8" i="5"/>
  <c r="M12" i="5"/>
  <c r="M16" i="5"/>
  <c r="M20" i="5"/>
  <c r="M24" i="5"/>
  <c r="M28" i="5"/>
  <c r="M32" i="5"/>
  <c r="M36" i="5"/>
  <c r="B23" i="7"/>
  <c r="B24" i="11" s="1"/>
  <c r="B25" i="7"/>
  <c r="B27" i="7"/>
  <c r="E25" i="7" s="1"/>
  <c r="M7" i="5"/>
  <c r="M11" i="5"/>
  <c r="M15" i="5"/>
  <c r="M19" i="5"/>
  <c r="M23" i="5"/>
  <c r="M27" i="5"/>
  <c r="M31" i="5"/>
  <c r="M35" i="5"/>
  <c r="M39" i="5"/>
  <c r="E27" i="7"/>
  <c r="C9" i="11" s="1"/>
  <c r="D9" i="11" s="1"/>
  <c r="G20" i="9"/>
  <c r="K20" i="9" l="1"/>
  <c r="C12" i="1" s="1"/>
  <c r="C5" i="11"/>
  <c r="D5" i="11" s="1"/>
  <c r="C4" i="11"/>
  <c r="D4" i="11" s="1"/>
  <c r="D24" i="11"/>
  <c r="C8" i="1"/>
  <c r="C6" i="11"/>
  <c r="D6" i="11" s="1"/>
  <c r="C11" i="1"/>
  <c r="C11" i="11"/>
  <c r="D11" i="11" s="1"/>
  <c r="D23" i="11"/>
  <c r="E22" i="7"/>
  <c r="E26" i="7" s="1"/>
  <c r="C8" i="11" s="1"/>
  <c r="D8" i="11" s="1"/>
  <c r="E23" i="7"/>
  <c r="B25" i="11"/>
  <c r="D12" i="11" l="1"/>
  <c r="C14" i="1" s="1"/>
  <c r="D15" i="11" l="1"/>
</calcChain>
</file>

<file path=xl/sharedStrings.xml><?xml version="1.0" encoding="utf-8"?>
<sst xmlns="http://schemas.openxmlformats.org/spreadsheetml/2006/main" count="654" uniqueCount="436">
  <si>
    <t>Papua Aquatic Centre Sustainability Management System</t>
  </si>
  <si>
    <t>Purpose: assess condition, operation, utilisation, financial sustainability, community value and activation potential.</t>
  </si>
  <si>
    <t>Module</t>
  </si>
  <si>
    <t>Purpose</t>
  </si>
  <si>
    <t>Status / Score</t>
  </si>
  <si>
    <t>2_Facility Profile</t>
  </si>
  <si>
    <t>Basic facility, ownership, certification and replacement-value information</t>
  </si>
  <si>
    <t>3_Pool Assets</t>
  </si>
  <si>
    <t>Indoor 50 m pool, outdoor 50 m pool and diving pool condition</t>
  </si>
  <si>
    <t>4_Plant Room</t>
  </si>
  <si>
    <t>Pumps, filters, dosing, electrical, pipework and ventilation</t>
  </si>
  <si>
    <t>5_Water Quality</t>
  </si>
  <si>
    <t>Monthly compliance and operational water-quality monitoring</t>
  </si>
  <si>
    <t>6_Operations</t>
  </si>
  <si>
    <t>Management, staffing, safety and maintenance readiness</t>
  </si>
  <si>
    <t>7_Monthly Use Finance</t>
  </si>
  <si>
    <t>Monthly users, programs, revenue, subsidy and costs</t>
  </si>
  <si>
    <t>8_Deferred Maintenance</t>
  </si>
  <si>
    <t>Current repair liability and cost of delay</t>
  </si>
  <si>
    <t>9_Activation Planner</t>
  </si>
  <si>
    <t>Program and commercial activation scenarios</t>
  </si>
  <si>
    <t>10_Community Value</t>
  </si>
  <si>
    <t>Social, sport-development and strategic value</t>
  </si>
  <si>
    <t>11_Dashboard</t>
  </si>
  <si>
    <t>Calculated sustainability index and recommendation</t>
  </si>
  <si>
    <t>12_Action Plan</t>
  </si>
  <si>
    <t>Priority actions, owners, timing and cost</t>
  </si>
  <si>
    <t>Facility Profile</t>
  </si>
  <si>
    <t>Field</t>
  </si>
  <si>
    <t>Current Information</t>
  </si>
  <si>
    <t>To Confirm / Update</t>
  </si>
  <si>
    <t>Facility Name</t>
  </si>
  <si>
    <t>Location</t>
  </si>
  <si>
    <t>Built For</t>
  </si>
  <si>
    <t>Owner</t>
  </si>
  <si>
    <t>Confirm legal owner</t>
  </si>
  <si>
    <t>Operator</t>
  </si>
  <si>
    <t>Confirm mandated operator</t>
  </si>
  <si>
    <t>Opened</t>
  </si>
  <si>
    <t>Indoor Competition Pool</t>
  </si>
  <si>
    <t>50 m</t>
  </si>
  <si>
    <t>Confirm lanes, depth and volume</t>
  </si>
  <si>
    <t>Outdoor Competition Pool</t>
  </si>
  <si>
    <t>Diving Pool</t>
  </si>
  <si>
    <t>Approx. 5 m deep</t>
  </si>
  <si>
    <t>Confirm dimensions and volume</t>
  </si>
  <si>
    <t>Spectator Capacity</t>
  </si>
  <si>
    <t>Original Construction Cost</t>
  </si>
  <si>
    <t>Estimated Current Replacement Value</t>
  </si>
  <si>
    <t>World Aquatics / National Certification</t>
  </si>
  <si>
    <t>Current Operating Status</t>
  </si>
  <si>
    <t>Assessment Date</t>
  </si>
  <si>
    <t>Assessment Team</t>
  </si>
  <si>
    <t>Pool-by-Pool Asset Condition Assessment</t>
  </si>
  <si>
    <t>Pool / Asset</t>
  </si>
  <si>
    <t>Condition (1–5)</t>
  </si>
  <si>
    <t>Operational? (Y/N)</t>
  </si>
  <si>
    <t>Safety Risk (1–5)</t>
  </si>
  <si>
    <t>Urgency (1–5)</t>
  </si>
  <si>
    <t>Remaining Life (Years)</t>
  </si>
  <si>
    <t>Repair Cost Now</t>
  </si>
  <si>
    <t>Weighted Score</t>
  </si>
  <si>
    <t>Comments / Evidence</t>
  </si>
  <si>
    <t>Indoor Pool – shell / structure</t>
  </si>
  <si>
    <t>Indoor Pool – tiles and grout</t>
  </si>
  <si>
    <t>Indoor Pool – expansion joints</t>
  </si>
  <si>
    <t>Indoor Pool – overflow gutters / grates</t>
  </si>
  <si>
    <t>Indoor Pool – starting blocks</t>
  </si>
  <si>
    <t>Indoor Pool – lane anchors / bulkhead</t>
  </si>
  <si>
    <t>Indoor Pool – timing / scoreboard systems</t>
  </si>
  <si>
    <t>Indoor Pool – roof / ceiling</t>
  </si>
  <si>
    <t>Indoor Pool – lighting</t>
  </si>
  <si>
    <t>Indoor Pool – spectator seating</t>
  </si>
  <si>
    <t>Outdoor Pool – shell / structure</t>
  </si>
  <si>
    <t>Outdoor Pool – tiles and grout</t>
  </si>
  <si>
    <t>Outdoor Pool – expansion joints</t>
  </si>
  <si>
    <t>Outdoor Pool – overflow gutters / grates</t>
  </si>
  <si>
    <t>Outdoor Pool – starting blocks</t>
  </si>
  <si>
    <t>Outdoor Pool – algae / UV exposure damage</t>
  </si>
  <si>
    <t>Outdoor Pool – pool surrounds / drainage</t>
  </si>
  <si>
    <t>Diving Pool – shell / structure</t>
  </si>
  <si>
    <t>Diving Pool – tiles and grout</t>
  </si>
  <si>
    <t>Diving Pool – platforms and ladders</t>
  </si>
  <si>
    <t>Diving Pool – springboards</t>
  </si>
  <si>
    <t>Diving Pool – underwater lighting</t>
  </si>
  <si>
    <t>Diving Pool – depth / safety markings</t>
  </si>
  <si>
    <t>Change rooms and toilets</t>
  </si>
  <si>
    <t>First aid / lifesaving equipment</t>
  </si>
  <si>
    <t>Pool Asset Condition Score</t>
  </si>
  <si>
    <t>Plant Room and Technical Systems</t>
  </si>
  <si>
    <t>System / Asset</t>
  </si>
  <si>
    <t>Asset ID / Model</t>
  </si>
  <si>
    <t>Safety / Failure Risk (1–5)</t>
  </si>
  <si>
    <t>Repair / Replacement Cost</t>
  </si>
  <si>
    <t>Indoor pool circulation pump 1</t>
  </si>
  <si>
    <t>Indoor pool circulation pump 2</t>
  </si>
  <si>
    <t>Outdoor pool circulation pump 1</t>
  </si>
  <si>
    <t>Outdoor pool circulation pump 2</t>
  </si>
  <si>
    <t>Diving pool circulation pump 1</t>
  </si>
  <si>
    <t>Diving pool circulation pump 2</t>
  </si>
  <si>
    <t>Indoor pool filters</t>
  </si>
  <si>
    <t>Outdoor pool filters</t>
  </si>
  <si>
    <t>Diving pool filters</t>
  </si>
  <si>
    <t>Filter media condition</t>
  </si>
  <si>
    <t>Chlorine dosing system</t>
  </si>
  <si>
    <t>pH dosing system</t>
  </si>
  <si>
    <t>Chemical storage and bunding</t>
  </si>
  <si>
    <t>Pipework and valves</t>
  </si>
  <si>
    <t>Pressure gauges / flow meters</t>
  </si>
  <si>
    <t>Electrical switchboards</t>
  </si>
  <si>
    <t>Backup generator</t>
  </si>
  <si>
    <t>Emergency shutdown systems</t>
  </si>
  <si>
    <t>Indoor pool HVAC / ventilation</t>
  </si>
  <si>
    <t>Plant room drainage</t>
  </si>
  <si>
    <t>Water supply / make-up water system</t>
  </si>
  <si>
    <t>Backwash / wastewater disposal</t>
  </si>
  <si>
    <t>Control system / automation</t>
  </si>
  <si>
    <t>Plant Room Score</t>
  </si>
  <si>
    <t>Monthly Water Quality and Compliance Monitoring</t>
  </si>
  <si>
    <t>Month</t>
  </si>
  <si>
    <t>Pool</t>
  </si>
  <si>
    <t>Free Chlorine</t>
  </si>
  <si>
    <t>Combined Chlorine</t>
  </si>
  <si>
    <t>pH</t>
  </si>
  <si>
    <t>Total Alkalinity</t>
  </si>
  <si>
    <t>Calcium Hardness</t>
  </si>
  <si>
    <t>Water Temp °C</t>
  </si>
  <si>
    <t>Clarity Pass?</t>
  </si>
  <si>
    <t>Microbiology Pass?</t>
  </si>
  <si>
    <t>Turnover Compliant?</t>
  </si>
  <si>
    <t>Tests Completed</t>
  </si>
  <si>
    <t>Tests Passed</t>
  </si>
  <si>
    <t>Compliance %</t>
  </si>
  <si>
    <t>January</t>
  </si>
  <si>
    <t>Indoor 50 m</t>
  </si>
  <si>
    <t>Outdoor 50 m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</si>
  <si>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</si>
  <si>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</si>
  <si>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</si>
  <si>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</si>
  <si>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</si>
  <si>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</si>
  <si>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</si>
  <si>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</si>
  <si>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</si>
  <si>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</si>
  <si>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</si>
  <si>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Overall Water Quality Compliance Score</t>
  </si>
  <si>
    <t>Management and Operational Readiness</t>
  </si>
  <si>
    <t>Indicator</t>
  </si>
  <si>
    <t>Score (1–5)</t>
  </si>
  <si>
    <t>Evidence Available?</t>
  </si>
  <si>
    <t>Required Action</t>
  </si>
  <si>
    <t>Notes</t>
  </si>
  <si>
    <t>Mandated operator appointed</t>
  </si>
  <si>
    <t>Qualified facility manager present</t>
  </si>
  <si>
    <t>Qualified plant operator / water technician</t>
  </si>
  <si>
    <t>Lifeguard coverage adequate</t>
  </si>
  <si>
    <t>Staff roster and duty structure</t>
  </si>
  <si>
    <t>Preventive maintenance plan</t>
  </si>
  <si>
    <t>Daily plant-room log</t>
  </si>
  <si>
    <t>Daily water-quality testing</t>
  </si>
  <si>
    <t>Emergency action plan</t>
  </si>
  <si>
    <t>Chemical handling procedures</t>
  </si>
  <si>
    <t>Fire and electrical compliance</t>
  </si>
  <si>
    <t>Asset register maintained</t>
  </si>
  <si>
    <t>Cleaning and hygiene standards</t>
  </si>
  <si>
    <t>Booking and payment system</t>
  </si>
  <si>
    <t>Program calendar published</t>
  </si>
  <si>
    <t>Customer service / reception function</t>
  </si>
  <si>
    <t>Incident register maintained</t>
  </si>
  <si>
    <t>Annual operating budget approved</t>
  </si>
  <si>
    <t>Operational Readiness Score</t>
  </si>
  <si>
    <t>Monthly Utilisation, Revenue and Operating Cost</t>
  </si>
  <si>
    <t>Public Swim Users</t>
  </si>
  <si>
    <t>Learn-to-Swim Users</t>
  </si>
  <si>
    <t>Squad/Club Users</t>
  </si>
  <si>
    <t>School Users</t>
  </si>
  <si>
    <t>Water Polo Users</t>
  </si>
  <si>
    <t>Diving Users</t>
  </si>
  <si>
    <t>Masters/Aqua Users</t>
  </si>
  <si>
    <t>Event Users</t>
  </si>
  <si>
    <t>Total Users</t>
  </si>
  <si>
    <t>Public Swim Revenue</t>
  </si>
  <si>
    <t>Learn-to-Swim Revenue</t>
  </si>
  <si>
    <t>Club/School Hire</t>
  </si>
  <si>
    <t>Event Hire</t>
  </si>
  <si>
    <t>Café/Retail</t>
  </si>
  <si>
    <t>Sponsorship/Other</t>
  </si>
  <si>
    <t>Government Subsidy</t>
  </si>
  <si>
    <t>Total Income</t>
  </si>
  <si>
    <t>Staff</t>
  </si>
  <si>
    <t>Electricity</t>
  </si>
  <si>
    <t>Water</t>
  </si>
  <si>
    <t>Chemicals</t>
  </si>
  <si>
    <t>Maintenance</t>
  </si>
  <si>
    <t>Cleaning/Security</t>
  </si>
  <si>
    <t>Other</t>
  </si>
  <si>
    <t>Total OPEX</t>
  </si>
  <si>
    <t>Operating Result</t>
  </si>
  <si>
    <t>ANNUAL TOTAL</t>
  </si>
  <si>
    <t>Annual Users</t>
  </si>
  <si>
    <t>Benchmark / Score</t>
  </si>
  <si>
    <t>Value</t>
  </si>
  <si>
    <t>Annual Earned Revenue</t>
  </si>
  <si>
    <t>Target Annual Users</t>
  </si>
  <si>
    <t>Annual Government Subsidy</t>
  </si>
  <si>
    <t>Target Cost Recovery</t>
  </si>
  <si>
    <t>Annual Total Income</t>
  </si>
  <si>
    <t>User Volume Score</t>
  </si>
  <si>
    <t>Annual OPEX</t>
  </si>
  <si>
    <t>Revenue / Cost Recovery Score</t>
  </si>
  <si>
    <t>Operating Surplus / (Deficit)</t>
  </si>
  <si>
    <t>Funding Coverage Score</t>
  </si>
  <si>
    <t>Cost Recovery % (earned revenue only)</t>
  </si>
  <si>
    <t>Subsidy Independence Score</t>
  </si>
  <si>
    <t>Total Funding Coverage %</t>
  </si>
  <si>
    <t>Utilisation Score</t>
  </si>
  <si>
    <t>Subsidy Dependence %</t>
  </si>
  <si>
    <t>Financial Sustainability Score</t>
  </si>
  <si>
    <t>Revenue per User</t>
  </si>
  <si>
    <t>Overall Monthly Data Completeness</t>
  </si>
  <si>
    <t>Cost per User</t>
  </si>
  <si>
    <t>Benchmarks can be adjusted after baseline data is collected</t>
  </si>
  <si>
    <t>Deferred Maintenance Liability</t>
  </si>
  <si>
    <t>Asset / Defect</t>
  </si>
  <si>
    <t>Facility Area</t>
  </si>
  <si>
    <t>Risk (1–5)</t>
  </si>
  <si>
    <t>Annual Deterioration %</t>
  </si>
  <si>
    <t>Cost in 1 Year</t>
  </si>
  <si>
    <t>Cost in 3 Years</t>
  </si>
  <si>
    <t>Cost in 5 Years</t>
  </si>
  <si>
    <t>Priority</t>
  </si>
  <si>
    <t>Circulation pumps</t>
  </si>
  <si>
    <t>Filter media</t>
  </si>
  <si>
    <t>Chemical dosing system</t>
  </si>
  <si>
    <t>Pipework / valves</t>
  </si>
  <si>
    <t>Indoor HVAC / ventilation</t>
  </si>
  <si>
    <t>Pool tiles / grout</t>
  </si>
  <si>
    <t>Expansion joints / waterproofing</t>
  </si>
  <si>
    <t>Roof / ceiling</t>
  </si>
  <si>
    <t>Diving platforms / springboards</t>
  </si>
  <si>
    <t>Timing / scoreboard equipment</t>
  </si>
  <si>
    <t>Change rooms / amenities</t>
  </si>
  <si>
    <t>Algae and pool recovery</t>
  </si>
  <si>
    <t>Safety and lifesaving equipment</t>
  </si>
  <si>
    <t>TOTAL DEFERRED MAINTENANCE LIABILITY</t>
  </si>
  <si>
    <t>Deferred Maintenance Risk Score</t>
  </si>
  <si>
    <t>Aquatic Business and Program Activation Planner</t>
  </si>
  <si>
    <t>Program / Activity</t>
  </si>
  <si>
    <t>Sessions per Month</t>
  </si>
  <si>
    <t>Participants per Session</t>
  </si>
  <si>
    <t>Fee per Participant</t>
  </si>
  <si>
    <t>Venue Hire per Session</t>
  </si>
  <si>
    <t>Other Revenue per Month</t>
  </si>
  <si>
    <t>Monthly Revenue</t>
  </si>
  <si>
    <t>Instructor / Staff Cost</t>
  </si>
  <si>
    <t>Other Direct Cost</t>
  </si>
  <si>
    <t>Monthly Direct Cost</t>
  </si>
  <si>
    <t>Monthly Contribution</t>
  </si>
  <si>
    <t>Public swimming</t>
  </si>
  <si>
    <t>Learn-to-swim program</t>
  </si>
  <si>
    <t>School swimming program</t>
  </si>
  <si>
    <t>Swimming club / squad hire</t>
  </si>
  <si>
    <t>Masters swimming</t>
  </si>
  <si>
    <t>Water polo</t>
  </si>
  <si>
    <t>Diving training</t>
  </si>
  <si>
    <t>Aqua aerobics</t>
  </si>
  <si>
    <t>Rehabilitation / hydrotherapy</t>
  </si>
  <si>
    <t>High-performance camps</t>
  </si>
  <si>
    <t>Competition and event hire</t>
  </si>
  <si>
    <t>Birthday / family recreation sessions</t>
  </si>
  <si>
    <t>Café and retail concessions</t>
  </si>
  <si>
    <t>Sponsorship / naming rights</t>
  </si>
  <si>
    <t>Corporate / government hire</t>
  </si>
  <si>
    <t>TOTAL ESTIMATED MONTHLY CONTRIBUTION</t>
  </si>
  <si>
    <t>Community, Sport Development and Strategic Value</t>
  </si>
  <si>
    <t>Current Evidence</t>
  </si>
  <si>
    <t>Potential if Activated</t>
  </si>
  <si>
    <t>Comments</t>
  </si>
  <si>
    <t>Learn-to-swim and drowning prevention</t>
  </si>
  <si>
    <t>School swimming access</t>
  </si>
  <si>
    <t>Elite swimming pathway</t>
  </si>
  <si>
    <t>Diving development pathway</t>
  </si>
  <si>
    <t>Water polo development</t>
  </si>
  <si>
    <t>Women and girls participation</t>
  </si>
  <si>
    <t>Disability access and para-swimming</t>
  </si>
  <si>
    <t>Community recreation and health</t>
  </si>
  <si>
    <t>Regional and national events</t>
  </si>
  <si>
    <t>Tourism and visitor attraction</t>
  </si>
  <si>
    <t>Employment and local skills development</t>
  </si>
  <si>
    <t>Strategic importance to eastern Indonesia</t>
  </si>
  <si>
    <t>Protection of PON legacy investment</t>
  </si>
  <si>
    <t>Public confidence and government reputation</t>
  </si>
  <si>
    <t>Community &amp; Strategic Value Score</t>
  </si>
  <si>
    <t>Papua Aquatic Centre – Executive Sustainability Dashboard</t>
  </si>
  <si>
    <t>Pillar</t>
  </si>
  <si>
    <t>Weight</t>
  </si>
  <si>
    <t>Score</t>
  </si>
  <si>
    <t>Weighted Contribution</t>
  </si>
  <si>
    <t>Pool Asset Condition</t>
  </si>
  <si>
    <t>Plant Room</t>
  </si>
  <si>
    <t>Water Quality</t>
  </si>
  <si>
    <t>Operations</t>
  </si>
  <si>
    <t>Utilisation</t>
  </si>
  <si>
    <t>Financial Sustainability</t>
  </si>
  <si>
    <t>Community &amp; Strategic Value</t>
  </si>
  <si>
    <t>Deferred Maintenance Risk</t>
  </si>
  <si>
    <t>Overall Sustainability Index</t>
  </si>
  <si>
    <t>Score Range</t>
  </si>
  <si>
    <t>Interpretation</t>
  </si>
  <si>
    <t>Current Recommendation</t>
  </si>
  <si>
    <t>80–100</t>
  </si>
  <si>
    <t>Strongly viable – protect asset and expand programming</t>
  </si>
  <si>
    <t>65–79</t>
  </si>
  <si>
    <t>Viable with targeted operational and business improvements</t>
  </si>
  <si>
    <t>50–64</t>
  </si>
  <si>
    <t>Conditional viability – intervention required</t>
  </si>
  <si>
    <t>35–49</t>
  </si>
  <si>
    <t>Major restructuring and funding decision required</t>
  </si>
  <si>
    <t>Below 35</t>
  </si>
  <si>
    <t>Critical – immediate recovery and strategic review</t>
  </si>
  <si>
    <t>Key Financial KPI</t>
  </si>
  <si>
    <t>Key Operational KPI</t>
  </si>
  <si>
    <t>Water Quality Compliance</t>
  </si>
  <si>
    <t>Cost Recovery %</t>
  </si>
  <si>
    <t>Deferred Liability Now</t>
  </si>
  <si>
    <t>5-Year Deferred Liability</t>
  </si>
  <si>
    <t>Priority Action Plan</t>
  </si>
  <si>
    <t>Issue</t>
  </si>
  <si>
    <t>Recommended Action</t>
  </si>
  <si>
    <t>Responsible Agency / Partner</t>
  </si>
  <si>
    <t>Estimated Cost</t>
  </si>
  <si>
    <t>Timeframe</t>
  </si>
  <si>
    <t>Status</t>
  </si>
  <si>
    <t>Evidence / Notes</t>
  </si>
  <si>
    <t>1</t>
  </si>
  <si>
    <t>Pool circulation and water treatment status uncertain</t>
  </si>
  <si>
    <t>Complete technical restart and safety inspection before operating pumps</t>
  </si>
  <si>
    <t>Plant room / all pools</t>
  </si>
  <si>
    <t>Immediate</t>
  </si>
  <si>
    <t>2</t>
  </si>
  <si>
    <t>Algae and deteriorating water quality</t>
  </si>
  <si>
    <t>Implement controlled recovery, testing and treatment plan</t>
  </si>
  <si>
    <t>Outdoor / indoor / diving pools</t>
  </si>
  <si>
    <t>3</t>
  </si>
  <si>
    <t>No clear operating responsibility</t>
  </si>
  <si>
    <t>Confirm owner, operator and accountable facility manager</t>
  </si>
  <si>
    <t>Whole facility</t>
  </si>
  <si>
    <t>4</t>
  </si>
  <si>
    <t>No verified annual operating budget</t>
  </si>
  <si>
    <t>Prepare minimum operating and maintenance budget</t>
  </si>
  <si>
    <t>0–3 months</t>
  </si>
  <si>
    <t>5</t>
  </si>
  <si>
    <t>Plant-room condition not fully documented</t>
  </si>
  <si>
    <t>Create asset register for pumps, filters, dosing, valves and electrical systems</t>
  </si>
  <si>
    <t>Plant room</t>
  </si>
  <si>
    <t>6</t>
  </si>
  <si>
    <t>Water-quality monitoring needs formalisation</t>
  </si>
  <si>
    <t>Introduce daily testing, logs, escalation and compliance reporting</t>
  </si>
  <si>
    <t>All pools</t>
  </si>
  <si>
    <t>7</t>
  </si>
  <si>
    <t>Low or interrupted utilisation</t>
  </si>
  <si>
    <t>Launch phased learn-to-swim, school, club and public swimming program</t>
  </si>
  <si>
    <t>3–6 months</t>
  </si>
  <si>
    <t>8</t>
  </si>
  <si>
    <t>Revenue potential underdeveloped</t>
  </si>
  <si>
    <t>Introduce bookings, fees, cashless payments, café and sponsorship arrangements</t>
  </si>
  <si>
    <t>9</t>
  </si>
  <si>
    <t>Deferred maintenance liability unknown</t>
  </si>
  <si>
    <t>Cost all urgent repairs and establish funded five-year maintenance plan</t>
  </si>
  <si>
    <t>0–6 months</t>
  </si>
  <si>
    <t>10</t>
  </si>
  <si>
    <t>Specialist diving and competition systems at risk</t>
  </si>
  <si>
    <t>Inspect platforms, springboards, timing, scoreboard and event systems</t>
  </si>
  <si>
    <t>Diving / competition pools</t>
  </si>
  <si>
    <t>How to Use the Aquatic Centre Sustainability Management System</t>
  </si>
  <si>
    <t>Step</t>
  </si>
  <si>
    <t>Action</t>
  </si>
  <si>
    <t>Responsible Person / Group</t>
  </si>
  <si>
    <t>Confirm facility profile, ownership, operator and intended operating standard.</t>
  </si>
  <si>
    <t>Government / assessment team</t>
  </si>
  <si>
    <t>Inspect the indoor pool, outdoor pool, diving pool and amenities; enter condition, risk and cost evidence.</t>
  </si>
  <si>
    <t>Technical inspection team</t>
  </si>
  <si>
    <t>Inspect all plant-room assets and document model, condition, failure risk and replacement cost.</t>
  </si>
  <si>
    <t>Aquatic engineer / plant operator</t>
  </si>
  <si>
    <t>Enter monthly water-quality results for each pool.</t>
  </si>
  <si>
    <t>Plant operator / water-quality staff</t>
  </si>
  <si>
    <t>Assess management, staffing, safety and maintenance readiness.</t>
  </si>
  <si>
    <t>Facility management / government</t>
  </si>
  <si>
    <t>Enter monthly users, revenue, subsidy and operating costs.</t>
  </si>
  <si>
    <t>Finance / administration</t>
  </si>
  <si>
    <t>Cost deferred maintenance and estimate the financial effect of delay.</t>
  </si>
  <si>
    <t>Engineer / quantity surveyor / finance</t>
  </si>
  <si>
    <t>Test activation programs and expected contribution.</t>
  </si>
  <si>
    <t>Business and sport-development team</t>
  </si>
  <si>
    <t>Score community and strategic value using documented evidence.</t>
  </si>
  <si>
    <t>Stakeholders / sport-development team</t>
  </si>
  <si>
    <t>Review the dashboard and convert priorities into a funded action plan.</t>
  </si>
  <si>
    <t>Decision-makers</t>
  </si>
  <si>
    <t>Scoring Guide</t>
  </si>
  <si>
    <t>Meaning</t>
  </si>
  <si>
    <t>Absent, failed or critical</t>
  </si>
  <si>
    <t>Poor / major weakness</t>
  </si>
  <si>
    <t>Adequate but improvement required</t>
  </si>
  <si>
    <t>Good and generally effective</t>
  </si>
  <si>
    <t>Strong / fully effective</t>
  </si>
  <si>
    <t>Note</t>
  </si>
  <si>
    <t>Use evidence and professional judgement. Do not score unknown items until verified.</t>
  </si>
  <si>
    <t>Y</t>
  </si>
  <si>
    <t>N</t>
  </si>
  <si>
    <t>Needs checking</t>
  </si>
  <si>
    <t>Unable to check</t>
  </si>
  <si>
    <t>Not checked</t>
  </si>
  <si>
    <t>Present</t>
  </si>
  <si>
    <t>Subject to testing under operational conditions</t>
  </si>
  <si>
    <t>The Operator should be able to provide this data up to April 2026</t>
  </si>
  <si>
    <t>No</t>
  </si>
  <si>
    <t>Appoint ASAP</t>
  </si>
  <si>
    <t>Appoint by interview</t>
  </si>
  <si>
    <t>Train lifeguards from existing swimming squads</t>
  </si>
  <si>
    <t>Establish staff roster based on rolling opening</t>
  </si>
  <si>
    <t>Urgently needs to be documented</t>
  </si>
  <si>
    <t>Should have been in place. Ask operator</t>
  </si>
  <si>
    <t>No records</t>
  </si>
  <si>
    <t>No plan documented</t>
  </si>
  <si>
    <t>Nothing documented</t>
  </si>
  <si>
    <t>Nothing Documented</t>
  </si>
  <si>
    <t>The absence of documentation indicates that the prvious management arrangements were in appropriate and highlights the need to review the past arrangements and recruit staff in an organised way.</t>
  </si>
  <si>
    <t>This sheet needs to be completed by the provious operators as no records were available</t>
  </si>
  <si>
    <t>This information should be availble openly and updated on a monthly basis. This is the job of the Facility Manager.</t>
  </si>
  <si>
    <t>The numbers provided here are theoretical and represents a target for facility management to attain in order to make the pool sustainable. Some number will need to be confirmed</t>
  </si>
  <si>
    <t>Sponsorship</t>
  </si>
  <si>
    <t>Provided by</t>
  </si>
  <si>
    <t>6–18 months</t>
  </si>
  <si>
    <t>Long-term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</si>
</sst>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color rgb="FFFFFFFF"/>
      <name val="Carlito"/>
    </font>
    <font>
      <b/>
      <sz val="13"/>
      <color rgb="FFFFFFFF"/>
      <name val="Carlito"/>
    </font>
    <font>
      <b/>
      <sz val="13"/>
      <name val="Carlito"/>
    </font>
    <font>
      <b/>
      <i/>
      <sz val="14"/>
      <color rgb="FFFF0000"/>
      <name val="Carlito"/>
    </font>
    <font>
      <b/>
      <sz val="14"/>
      <color rgb="FFFF0000"/>
      <name val="Carlito"/>
    </font>
    <font>
      <b/>
      <sz val="12"/>
      <color rgb="FFFF0000"/>
      <name val="Carlito"/>
    </font>
    <font>
      <i/>
      <sz val="14"/>
      <color rgb="FFFF000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2" fillId="0" borderId="0" xfId="0" applyFont="1"/>
    <xf numFmtId="0" fontId="4" fillId="0" borderId="0" xfId="0" applyFont="1"/>
    <xf numFmtId="165" fontId="0" fillId="0" borderId="0" xfId="0" applyNumberFormat="1"/>
    <xf numFmtId="164" fontId="2" fillId="3" borderId="0" xfId="0" applyNumberFormat="1" applyFont="1" applyFill="1"/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wrapText="1"/>
    </xf>
    <xf numFmtId="164" fontId="5" fillId="2" borderId="0" xfId="0" applyNumberFormat="1" applyFont="1" applyFill="1"/>
    <xf numFmtId="0" fontId="0" fillId="0" borderId="1" xfId="0" applyBorder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" fontId="0" fillId="0" borderId="0" xfId="0" applyNumberFormat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/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wrapText="1"/>
    </xf>
    <xf numFmtId="0" fontId="2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2" borderId="0" xfId="0" applyFont="1" applyFill="1"/>
    <xf numFmtId="164" fontId="5" fillId="2" borderId="0" xfId="0" applyNumberFormat="1" applyFont="1" applyFill="1"/>
    <xf numFmtId="0" fontId="3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bgColor rgb="FFE2F0D9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C14" sqref="C14"/>
    </sheetView>
  </sheetViews>
  <sheetFormatPr defaultRowHeight="14.25"/>
  <cols>
    <col min="1" max="1" width="28" customWidth="1"/>
    <col min="2" max="2" width="62" customWidth="1"/>
    <col min="3" max="3" width="18" customWidth="1"/>
  </cols>
  <sheetData>
    <row r="1" spans="1:8" ht="30" customHeight="1">
      <c r="A1" s="33" t="s">
        <v>0</v>
      </c>
      <c r="B1" s="33"/>
      <c r="C1" s="33"/>
      <c r="D1" s="33"/>
      <c r="E1" s="33"/>
      <c r="F1" s="33"/>
      <c r="G1" s="33"/>
      <c r="H1" s="33"/>
    </row>
    <row r="3" spans="1:8" ht="15">
      <c r="A3" s="34" t="s">
        <v>1</v>
      </c>
      <c r="B3" s="34"/>
      <c r="C3" s="34"/>
      <c r="D3" s="34"/>
      <c r="E3" s="34"/>
      <c r="F3" s="34"/>
      <c r="G3" s="34"/>
      <c r="H3" s="34"/>
    </row>
    <row r="5" spans="1:8" ht="15">
      <c r="A5" s="3" t="s">
        <v>2</v>
      </c>
      <c r="B5" s="3" t="s">
        <v>3</v>
      </c>
      <c r="C5" s="3" t="s">
        <v>4</v>
      </c>
    </row>
    <row r="6" spans="1:8">
      <c r="A6" s="4" t="s">
        <v>5</v>
      </c>
      <c r="B6" s="4" t="s">
        <v>6</v>
      </c>
      <c r="C6" s="16">
        <f>'3_Pool Assets'!H29</f>
        <v>65.44</v>
      </c>
    </row>
    <row r="7" spans="1:8">
      <c r="A7" s="4" t="s">
        <v>7</v>
      </c>
      <c r="B7" s="4" t="s">
        <v>8</v>
      </c>
      <c r="C7" s="16">
        <f>'4_Plant Room'!I27</f>
        <v>24</v>
      </c>
    </row>
    <row r="8" spans="1:8">
      <c r="A8" s="4" t="s">
        <v>9</v>
      </c>
      <c r="B8" s="4" t="s">
        <v>10</v>
      </c>
      <c r="C8" s="16" t="str">
        <f>'5_Water Quality'!N41</f>
        <v/>
      </c>
    </row>
    <row r="9" spans="1:8">
      <c r="A9" s="4" t="s">
        <v>11</v>
      </c>
      <c r="B9" s="4" t="s">
        <v>12</v>
      </c>
      <c r="C9" s="16">
        <f>'6_Operations'!B23</f>
        <v>20</v>
      </c>
    </row>
    <row r="10" spans="1:8" ht="57">
      <c r="A10" s="4" t="s">
        <v>13</v>
      </c>
      <c r="B10" s="4" t="s">
        <v>14</v>
      </c>
      <c r="C10" s="16" t="str">
        <f>'7_Monthly Use Finance'!E29</f>
        <v>Benchmarks can be adjusted after baseline data is collected</v>
      </c>
    </row>
    <row r="11" spans="1:8">
      <c r="A11" s="4" t="s">
        <v>15</v>
      </c>
      <c r="B11" s="4" t="s">
        <v>16</v>
      </c>
      <c r="C11" s="16">
        <f>'8_Deferred Maintenance'!H24</f>
        <v>100</v>
      </c>
    </row>
    <row r="12" spans="1:8">
      <c r="A12" s="4" t="s">
        <v>17</v>
      </c>
      <c r="B12" s="4" t="s">
        <v>18</v>
      </c>
      <c r="C12" s="16">
        <f>'9_Activation Planner'!K20</f>
        <v>292400000</v>
      </c>
    </row>
    <row r="13" spans="1:8">
      <c r="A13" s="4" t="s">
        <v>19</v>
      </c>
      <c r="B13" s="4" t="s">
        <v>20</v>
      </c>
      <c r="C13" s="5" t="str">
        <f>'10_Community Value'!B20</f>
        <v/>
      </c>
    </row>
    <row r="14" spans="1:8">
      <c r="A14" s="4" t="s">
        <v>21</v>
      </c>
      <c r="B14" s="4" t="s">
        <v>22</v>
      </c>
      <c r="C14" s="5" t="e">
        <f>'11_Dashboard'!D12</f>
        <v>#VALUE!</v>
      </c>
    </row>
    <row r="15" spans="1:8">
      <c r="A15" s="4" t="s">
        <v>23</v>
      </c>
      <c r="B15" s="4" t="s">
        <v>24</v>
      </c>
      <c r="C15" s="4"/>
    </row>
    <row r="16" spans="1:8">
      <c r="A16" s="4" t="s">
        <v>25</v>
      </c>
      <c r="B16" s="4" t="s">
        <v>26</v>
      </c>
      <c r="C16" s="4"/>
    </row>
  </sheetData>
  <mergeCells count="2">
    <mergeCell ref="A1:H1"/>
    <mergeCell ref="A3:H3"/>
  </mergeCells>
  <conditionalFormatting sqref="C6:C14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1"/>
  <sheetViews>
    <sheetView workbookViewId="0">
      <selection activeCell="B26" sqref="B26"/>
    </sheetView>
  </sheetViews>
  <sheetFormatPr defaultRowHeight="14.25"/>
  <cols>
    <col min="1" max="1" width="10" customWidth="1"/>
    <col min="2" max="2" width="70" customWidth="1"/>
    <col min="3" max="3" width="36" customWidth="1"/>
  </cols>
  <sheetData>
    <row r="1" spans="1:6" ht="30" customHeight="1">
      <c r="A1" s="27" t="s">
        <v>376</v>
      </c>
      <c r="B1" s="27"/>
      <c r="C1" s="27"/>
      <c r="D1" s="33"/>
      <c r="E1" s="33"/>
      <c r="F1" s="33"/>
    </row>
    <row r="3" spans="1:6" ht="15">
      <c r="A3" s="3" t="s">
        <v>377</v>
      </c>
      <c r="B3" s="3" t="s">
        <v>378</v>
      </c>
      <c r="C3" s="3" t="s">
        <v>379</v>
      </c>
    </row>
    <row r="4" spans="1:6">
      <c r="A4" s="17" t="s">
        <v>336</v>
      </c>
      <c r="B4" s="18" t="s">
        <v>380</v>
      </c>
      <c r="C4" s="22" t="s">
        <v>381</v>
      </c>
    </row>
    <row r="5" spans="1:6" ht="28.5">
      <c r="A5" s="17" t="s">
        <v>341</v>
      </c>
      <c r="B5" s="18" t="s">
        <v>382</v>
      </c>
      <c r="C5" s="22" t="s">
        <v>383</v>
      </c>
    </row>
    <row r="6" spans="1:6" ht="28.5">
      <c r="A6" s="17" t="s">
        <v>345</v>
      </c>
      <c r="B6" s="18" t="s">
        <v>384</v>
      </c>
      <c r="C6" s="22" t="s">
        <v>385</v>
      </c>
    </row>
    <row r="7" spans="1:6">
      <c r="A7" s="17" t="s">
        <v>349</v>
      </c>
      <c r="B7" s="18" t="s">
        <v>386</v>
      </c>
      <c r="C7" s="22" t="s">
        <v>387</v>
      </c>
    </row>
    <row r="8" spans="1:6">
      <c r="A8" s="17" t="s">
        <v>353</v>
      </c>
      <c r="B8" s="18" t="s">
        <v>388</v>
      </c>
      <c r="C8" s="22" t="s">
        <v>389</v>
      </c>
    </row>
    <row r="9" spans="1:6">
      <c r="A9" s="17" t="s">
        <v>357</v>
      </c>
      <c r="B9" s="18" t="s">
        <v>390</v>
      </c>
      <c r="C9" s="22" t="s">
        <v>391</v>
      </c>
    </row>
    <row r="10" spans="1:6">
      <c r="A10" s="17" t="s">
        <v>361</v>
      </c>
      <c r="B10" s="18" t="s">
        <v>392</v>
      </c>
      <c r="C10" s="22" t="s">
        <v>393</v>
      </c>
    </row>
    <row r="11" spans="1:6">
      <c r="A11" s="17" t="s">
        <v>365</v>
      </c>
      <c r="B11" s="18" t="s">
        <v>394</v>
      </c>
      <c r="C11" s="22" t="s">
        <v>395</v>
      </c>
    </row>
    <row r="12" spans="1:6">
      <c r="A12" s="17" t="s">
        <v>368</v>
      </c>
      <c r="B12" s="18" t="s">
        <v>396</v>
      </c>
      <c r="C12" s="22" t="s">
        <v>397</v>
      </c>
    </row>
    <row r="13" spans="1:6">
      <c r="A13" s="17" t="s">
        <v>372</v>
      </c>
      <c r="B13" s="18" t="s">
        <v>398</v>
      </c>
      <c r="C13" s="22" t="s">
        <v>399</v>
      </c>
    </row>
    <row r="15" spans="1:6" ht="30">
      <c r="A15" s="3" t="s">
        <v>400</v>
      </c>
      <c r="B15" s="3" t="s">
        <v>401</v>
      </c>
    </row>
    <row r="16" spans="1:6">
      <c r="A16" s="17" t="s">
        <v>336</v>
      </c>
      <c r="B16" t="s">
        <v>402</v>
      </c>
    </row>
    <row r="17" spans="1:2">
      <c r="A17" s="17" t="s">
        <v>341</v>
      </c>
      <c r="B17" t="s">
        <v>403</v>
      </c>
    </row>
    <row r="18" spans="1:2">
      <c r="A18" s="17" t="s">
        <v>345</v>
      </c>
      <c r="B18" t="s">
        <v>404</v>
      </c>
    </row>
    <row r="19" spans="1:2">
      <c r="A19" s="17" t="s">
        <v>349</v>
      </c>
      <c r="B19" t="s">
        <v>405</v>
      </c>
    </row>
    <row r="20" spans="1:2">
      <c r="A20" s="17" t="s">
        <v>353</v>
      </c>
      <c r="B20" t="s">
        <v>406</v>
      </c>
    </row>
    <row r="21" spans="1:2">
      <c r="A21" t="s">
        <v>407</v>
      </c>
      <c r="B21" t="s">
        <v>408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selection activeCell="B10" sqref="B10"/>
    </sheetView>
  </sheetViews>
  <sheetFormatPr defaultRowHeight="14.25"/>
  <cols>
    <col min="1" max="1" width="39.125" customWidth="1"/>
    <col min="2" max="2" width="42" customWidth="1"/>
    <col min="3" max="3" width="42.625" customWidth="1"/>
  </cols>
  <sheetData>
    <row r="1" spans="1:6" ht="30" customHeight="1">
      <c r="A1" s="27" t="s">
        <v>27</v>
      </c>
      <c r="B1" s="27"/>
      <c r="C1" s="27"/>
      <c r="D1" s="33"/>
      <c r="E1" s="33"/>
      <c r="F1" s="33"/>
    </row>
    <row r="3" spans="1:6" ht="15">
      <c r="A3" s="3" t="s">
        <v>28</v>
      </c>
      <c r="B3" s="3" t="s">
        <v>29</v>
      </c>
      <c r="C3" s="3" t="s">
        <v>30</v>
      </c>
    </row>
    <row r="4" spans="1:6" ht="15">
      <c r="A4" s="6" t="s">
        <v>31</v>
      </c>
      <c r="B4" s="14"/>
      <c r="C4" s="14"/>
    </row>
    <row r="5" spans="1:6" ht="15">
      <c r="A5" s="6" t="s">
        <v>32</v>
      </c>
      <c r="B5" s="14"/>
      <c r="C5" s="14"/>
    </row>
    <row r="6" spans="1:6" ht="15">
      <c r="A6" s="6" t="s">
        <v>33</v>
      </c>
      <c r="B6" s="14"/>
      <c r="C6" s="14"/>
    </row>
    <row r="7" spans="1:6" ht="15">
      <c r="A7" s="6" t="s">
        <v>34</v>
      </c>
      <c r="B7" s="14"/>
      <c r="C7" s="14" t="s">
        <v>35</v>
      </c>
    </row>
    <row r="8" spans="1:6" ht="15">
      <c r="A8" s="6" t="s">
        <v>36</v>
      </c>
      <c r="B8" s="14"/>
      <c r="C8" s="14" t="s">
        <v>37</v>
      </c>
    </row>
    <row r="9" spans="1:6" ht="15">
      <c r="A9" s="6" t="s">
        <v>38</v>
      </c>
      <c r="B9" s="14"/>
      <c r="C9" s="14"/>
    </row>
    <row r="10" spans="1:6" ht="15">
      <c r="A10" s="6" t="s">
        <v>39</v>
      </c>
      <c r="B10" s="14" t="s">
        <v>40</v>
      </c>
      <c r="C10" s="14" t="s">
        <v>41</v>
      </c>
    </row>
    <row r="11" spans="1:6" ht="15">
      <c r="A11" s="6" t="s">
        <v>42</v>
      </c>
      <c r="B11" s="14" t="s">
        <v>40</v>
      </c>
      <c r="C11" s="14" t="s">
        <v>41</v>
      </c>
    </row>
    <row r="12" spans="1:6" ht="15">
      <c r="A12" s="6" t="s">
        <v>43</v>
      </c>
      <c r="B12" s="14" t="s">
        <v>44</v>
      </c>
      <c r="C12" s="14" t="s">
        <v>45</v>
      </c>
    </row>
    <row r="13" spans="1:6" ht="15">
      <c r="A13" s="6" t="s">
        <v>46</v>
      </c>
      <c r="B13" s="14"/>
      <c r="C13" s="14"/>
    </row>
    <row r="14" spans="1:6" ht="15">
      <c r="A14" s="6" t="s">
        <v>47</v>
      </c>
      <c r="B14" s="14"/>
      <c r="C14" s="14"/>
    </row>
    <row r="15" spans="1:6" ht="15">
      <c r="A15" s="6" t="s">
        <v>48</v>
      </c>
      <c r="B15" s="14"/>
      <c r="C15" s="14"/>
    </row>
    <row r="16" spans="1:6" ht="15">
      <c r="A16" s="6" t="s">
        <v>49</v>
      </c>
      <c r="B16" s="14"/>
      <c r="C16" s="14"/>
    </row>
    <row r="17" spans="1:3" ht="15">
      <c r="A17" s="6" t="s">
        <v>50</v>
      </c>
      <c r="B17" s="14"/>
      <c r="C17" s="14"/>
    </row>
    <row r="18" spans="1:3" ht="15">
      <c r="A18" s="6" t="s">
        <v>51</v>
      </c>
      <c r="B18" s="14"/>
      <c r="C18" s="14"/>
    </row>
    <row r="19" spans="1:3" ht="15">
      <c r="A19" s="6" t="s">
        <v>52</v>
      </c>
      <c r="B19" s="14"/>
      <c r="C19" s="14"/>
    </row>
  </sheetData>
  <mergeCells count="1">
    <mergeCell ref="A1:F1"/>
  </mergeCells>
  <pageMargins left="0.25" right="0.25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topLeftCell="A10" workbookViewId="0">
      <selection activeCell="E5" sqref="E5"/>
    </sheetView>
  </sheetViews>
  <sheetFormatPr defaultRowHeight="14.25"/>
  <cols>
    <col min="1" max="1" width="33.875" customWidth="1"/>
    <col min="2" max="3" width="11.875" customWidth="1"/>
    <col min="4" max="5" width="8" customWidth="1"/>
    <col min="6" max="6" width="10.625" customWidth="1"/>
    <col min="7" max="7" width="9" customWidth="1"/>
    <col min="8" max="8" width="9.375" customWidth="1"/>
    <col min="9" max="9" width="28.125" customWidth="1"/>
  </cols>
  <sheetData>
    <row r="1" spans="1:9" ht="22.5" customHeight="1">
      <c r="A1" s="27" t="s">
        <v>53</v>
      </c>
      <c r="B1" s="27"/>
      <c r="C1" s="27"/>
      <c r="D1" s="27"/>
      <c r="E1" s="27"/>
      <c r="F1" s="27"/>
      <c r="G1" s="28"/>
      <c r="H1" s="35"/>
      <c r="I1" s="27"/>
    </row>
    <row r="2" spans="1:9" ht="7.5" customHeight="1"/>
    <row r="3" spans="1:9" ht="45">
      <c r="A3" s="3" t="s">
        <v>54</v>
      </c>
      <c r="B3" s="3" t="s">
        <v>55</v>
      </c>
      <c r="C3" s="3" t="s">
        <v>56</v>
      </c>
      <c r="D3" s="3" t="s">
        <v>57</v>
      </c>
      <c r="E3" s="3" t="s">
        <v>58</v>
      </c>
      <c r="F3" s="3" t="s">
        <v>59</v>
      </c>
      <c r="G3" s="3" t="s">
        <v>60</v>
      </c>
      <c r="H3" s="3" t="s">
        <v>61</v>
      </c>
      <c r="I3" s="3" t="s">
        <v>62</v>
      </c>
    </row>
    <row r="4" spans="1:9">
      <c r="A4" s="4" t="s">
        <v>63</v>
      </c>
      <c r="B4" s="15">
        <v>4</v>
      </c>
      <c r="C4" s="15" t="s">
        <v>409</v>
      </c>
      <c r="D4" s="15">
        <v>1</v>
      </c>
      <c r="E4" s="15">
        <v>1</v>
      </c>
      <c r="F4" s="15">
        <v>5</v>
      </c>
      <c r="G4" s="15"/>
      <c r="H4" s="15">
        <f t="shared" ref="H4:H28" si="0">IF(COUNT(B4,D4,E4)&lt;3,"",(B4/5*60)+((6-D4)/5*20)+((6-E4)/5*20))</f>
        <v>88</v>
      </c>
      <c r="I4" s="4"/>
    </row>
    <row r="5" spans="1:9">
      <c r="A5" s="4" t="s">
        <v>64</v>
      </c>
      <c r="B5" s="15">
        <v>3</v>
      </c>
      <c r="C5" s="15" t="s">
        <v>409</v>
      </c>
      <c r="D5" s="15">
        <v>4</v>
      </c>
      <c r="E5" s="15">
        <v>5</v>
      </c>
      <c r="F5" s="15">
        <v>5</v>
      </c>
      <c r="G5" s="15"/>
      <c r="H5" s="15">
        <f t="shared" si="0"/>
        <v>48</v>
      </c>
      <c r="I5" s="4"/>
    </row>
    <row r="6" spans="1:9">
      <c r="A6" s="4" t="s">
        <v>65</v>
      </c>
      <c r="B6" s="15">
        <v>4</v>
      </c>
      <c r="C6" s="15" t="s">
        <v>409</v>
      </c>
      <c r="D6" s="15">
        <v>2</v>
      </c>
      <c r="E6" s="15">
        <v>2</v>
      </c>
      <c r="F6" s="15">
        <v>5</v>
      </c>
      <c r="G6" s="15"/>
      <c r="H6" s="15">
        <f t="shared" si="0"/>
        <v>80</v>
      </c>
      <c r="I6" s="4"/>
    </row>
    <row r="7" spans="1:9">
      <c r="A7" s="4" t="s">
        <v>66</v>
      </c>
      <c r="B7" s="15">
        <v>3</v>
      </c>
      <c r="C7" s="15" t="s">
        <v>409</v>
      </c>
      <c r="D7" s="15">
        <v>2</v>
      </c>
      <c r="E7" s="15">
        <v>2</v>
      </c>
      <c r="F7" s="15">
        <v>5</v>
      </c>
      <c r="G7" s="15"/>
      <c r="H7" s="15">
        <f t="shared" si="0"/>
        <v>68</v>
      </c>
      <c r="I7" s="4"/>
    </row>
    <row r="8" spans="1:9">
      <c r="A8" s="4" t="s">
        <v>67</v>
      </c>
      <c r="B8" s="15">
        <v>4</v>
      </c>
      <c r="C8" s="15" t="s">
        <v>409</v>
      </c>
      <c r="D8" s="15">
        <v>1</v>
      </c>
      <c r="E8" s="15">
        <v>1</v>
      </c>
      <c r="F8" s="15">
        <v>5</v>
      </c>
      <c r="G8" s="15"/>
      <c r="H8" s="15">
        <f t="shared" si="0"/>
        <v>88</v>
      </c>
      <c r="I8" s="4"/>
    </row>
    <row r="9" spans="1:9">
      <c r="A9" s="4" t="s">
        <v>68</v>
      </c>
      <c r="B9" s="15">
        <v>4</v>
      </c>
      <c r="C9" s="15" t="s">
        <v>409</v>
      </c>
      <c r="D9" s="15">
        <v>2</v>
      </c>
      <c r="E9" s="15">
        <v>3</v>
      </c>
      <c r="F9" s="15">
        <v>5</v>
      </c>
      <c r="G9" s="15"/>
      <c r="H9" s="15">
        <f t="shared" si="0"/>
        <v>76</v>
      </c>
      <c r="I9" s="4"/>
    </row>
    <row r="10" spans="1:9" ht="28.5">
      <c r="A10" s="4" t="s">
        <v>69</v>
      </c>
      <c r="B10" s="15">
        <v>3</v>
      </c>
      <c r="C10" s="15" t="s">
        <v>410</v>
      </c>
      <c r="D10" s="15">
        <v>3</v>
      </c>
      <c r="E10" s="15">
        <v>5</v>
      </c>
      <c r="F10" s="15">
        <v>5</v>
      </c>
      <c r="G10" s="15"/>
      <c r="H10" s="15">
        <f t="shared" si="0"/>
        <v>52</v>
      </c>
      <c r="I10" s="4"/>
    </row>
    <row r="11" spans="1:9">
      <c r="A11" s="4" t="s">
        <v>70</v>
      </c>
      <c r="B11" s="15">
        <v>4</v>
      </c>
      <c r="C11" s="15" t="s">
        <v>409</v>
      </c>
      <c r="D11" s="15">
        <v>2</v>
      </c>
      <c r="E11" s="15">
        <v>2</v>
      </c>
      <c r="F11" s="15">
        <v>5</v>
      </c>
      <c r="G11" s="15"/>
      <c r="H11" s="15">
        <f t="shared" si="0"/>
        <v>80</v>
      </c>
      <c r="I11" s="4"/>
    </row>
    <row r="12" spans="1:9">
      <c r="A12" s="4" t="s">
        <v>71</v>
      </c>
      <c r="B12" s="15">
        <v>4</v>
      </c>
      <c r="C12" s="15" t="s">
        <v>409</v>
      </c>
      <c r="D12" s="15">
        <v>2</v>
      </c>
      <c r="E12" s="15">
        <v>2</v>
      </c>
      <c r="F12" s="15">
        <v>5</v>
      </c>
      <c r="G12" s="15"/>
      <c r="H12" s="15">
        <f t="shared" si="0"/>
        <v>80</v>
      </c>
      <c r="I12" s="4"/>
    </row>
    <row r="13" spans="1:9">
      <c r="A13" s="4" t="s">
        <v>72</v>
      </c>
      <c r="B13" s="15">
        <v>4</v>
      </c>
      <c r="C13" s="15" t="s">
        <v>409</v>
      </c>
      <c r="D13" s="15">
        <v>3</v>
      </c>
      <c r="E13" s="15">
        <v>3</v>
      </c>
      <c r="F13" s="15">
        <v>5</v>
      </c>
      <c r="G13" s="15"/>
      <c r="H13" s="15">
        <f t="shared" si="0"/>
        <v>72</v>
      </c>
      <c r="I13" s="4"/>
    </row>
    <row r="14" spans="1:9">
      <c r="A14" s="4" t="s">
        <v>73</v>
      </c>
      <c r="B14" s="15">
        <v>4</v>
      </c>
      <c r="C14" s="15" t="s">
        <v>409</v>
      </c>
      <c r="D14" s="15">
        <v>3</v>
      </c>
      <c r="E14" s="15">
        <v>3</v>
      </c>
      <c r="F14" s="15">
        <v>5</v>
      </c>
      <c r="G14" s="15"/>
      <c r="H14" s="15">
        <f t="shared" si="0"/>
        <v>72</v>
      </c>
      <c r="I14" s="4"/>
    </row>
    <row r="15" spans="1:9">
      <c r="A15" s="4" t="s">
        <v>74</v>
      </c>
      <c r="B15" s="15">
        <v>2</v>
      </c>
      <c r="C15" s="15" t="s">
        <v>410</v>
      </c>
      <c r="D15" s="15">
        <v>1</v>
      </c>
      <c r="E15" s="15">
        <v>5</v>
      </c>
      <c r="F15" s="15">
        <v>5</v>
      </c>
      <c r="G15" s="15"/>
      <c r="H15" s="15">
        <f t="shared" si="0"/>
        <v>48</v>
      </c>
      <c r="I15" s="4"/>
    </row>
    <row r="16" spans="1:9">
      <c r="A16" s="4" t="s">
        <v>75</v>
      </c>
      <c r="B16" s="15">
        <v>3</v>
      </c>
      <c r="C16" s="15" t="s">
        <v>409</v>
      </c>
      <c r="D16" s="15">
        <v>3</v>
      </c>
      <c r="E16" s="15">
        <v>1</v>
      </c>
      <c r="F16" s="15">
        <v>5</v>
      </c>
      <c r="G16" s="15"/>
      <c r="H16" s="15">
        <f t="shared" si="0"/>
        <v>68</v>
      </c>
      <c r="I16" s="4"/>
    </row>
    <row r="17" spans="1:9">
      <c r="A17" s="4" t="s">
        <v>76</v>
      </c>
      <c r="B17" s="15">
        <v>3</v>
      </c>
      <c r="C17" s="15" t="s">
        <v>409</v>
      </c>
      <c r="D17" s="15">
        <v>3</v>
      </c>
      <c r="E17" s="15">
        <v>1</v>
      </c>
      <c r="F17" s="15">
        <v>5</v>
      </c>
      <c r="G17" s="15"/>
      <c r="H17" s="15">
        <f t="shared" si="0"/>
        <v>68</v>
      </c>
      <c r="I17" s="4"/>
    </row>
    <row r="18" spans="1:9">
      <c r="A18" s="4" t="s">
        <v>77</v>
      </c>
      <c r="B18" s="15">
        <v>4</v>
      </c>
      <c r="C18" s="15" t="s">
        <v>409</v>
      </c>
      <c r="D18" s="15">
        <v>4</v>
      </c>
      <c r="E18" s="15">
        <v>1</v>
      </c>
      <c r="F18" s="15">
        <v>5</v>
      </c>
      <c r="G18" s="15"/>
      <c r="H18" s="15">
        <f t="shared" si="0"/>
        <v>76</v>
      </c>
      <c r="I18" s="4"/>
    </row>
    <row r="19" spans="1:9" ht="28.5">
      <c r="A19" s="4" t="s">
        <v>78</v>
      </c>
      <c r="B19" s="15">
        <v>1</v>
      </c>
      <c r="C19" s="15" t="s">
        <v>410</v>
      </c>
      <c r="D19" s="15">
        <v>1</v>
      </c>
      <c r="E19" s="15">
        <v>5</v>
      </c>
      <c r="F19" s="15">
        <v>5</v>
      </c>
      <c r="G19" s="15"/>
      <c r="H19" s="15">
        <f t="shared" si="0"/>
        <v>36</v>
      </c>
      <c r="I19" s="4"/>
    </row>
    <row r="20" spans="1:9" ht="28.5">
      <c r="A20" s="4" t="s">
        <v>79</v>
      </c>
      <c r="B20" s="15">
        <v>2</v>
      </c>
      <c r="C20" s="15" t="s">
        <v>410</v>
      </c>
      <c r="D20" s="15">
        <v>3</v>
      </c>
      <c r="E20" s="15">
        <v>3</v>
      </c>
      <c r="F20" s="15">
        <v>5</v>
      </c>
      <c r="G20" s="15"/>
      <c r="H20" s="15">
        <f t="shared" si="0"/>
        <v>48</v>
      </c>
      <c r="I20" s="4"/>
    </row>
    <row r="21" spans="1:9">
      <c r="A21" s="4" t="s">
        <v>80</v>
      </c>
      <c r="B21" s="15">
        <v>4</v>
      </c>
      <c r="C21" s="15" t="s">
        <v>409</v>
      </c>
      <c r="D21" s="15">
        <v>4</v>
      </c>
      <c r="E21" s="15">
        <v>2</v>
      </c>
      <c r="F21" s="15">
        <v>5</v>
      </c>
      <c r="G21" s="15"/>
      <c r="H21" s="15">
        <f t="shared" si="0"/>
        <v>72</v>
      </c>
      <c r="I21" s="4"/>
    </row>
    <row r="22" spans="1:9">
      <c r="A22" s="4" t="s">
        <v>81</v>
      </c>
      <c r="B22" s="15">
        <v>4</v>
      </c>
      <c r="C22" s="15" t="s">
        <v>409</v>
      </c>
      <c r="D22" s="15">
        <v>3</v>
      </c>
      <c r="E22" s="15">
        <v>2</v>
      </c>
      <c r="F22" s="15">
        <v>5</v>
      </c>
      <c r="G22" s="15"/>
      <c r="H22" s="15">
        <f t="shared" si="0"/>
        <v>76</v>
      </c>
      <c r="I22" s="4"/>
    </row>
    <row r="23" spans="1:9">
      <c r="A23" s="4" t="s">
        <v>82</v>
      </c>
      <c r="B23" s="15">
        <v>4</v>
      </c>
      <c r="C23" s="15" t="s">
        <v>409</v>
      </c>
      <c r="D23" s="15">
        <v>4</v>
      </c>
      <c r="E23" s="15">
        <v>2</v>
      </c>
      <c r="F23" s="15">
        <v>5</v>
      </c>
      <c r="G23" s="15"/>
      <c r="H23" s="15">
        <f t="shared" si="0"/>
        <v>72</v>
      </c>
      <c r="I23" s="4"/>
    </row>
    <row r="24" spans="1:9">
      <c r="A24" s="4" t="s">
        <v>83</v>
      </c>
      <c r="B24" s="15">
        <v>4</v>
      </c>
      <c r="C24" s="15" t="s">
        <v>409</v>
      </c>
      <c r="D24" s="15">
        <v>4</v>
      </c>
      <c r="E24" s="15">
        <v>2</v>
      </c>
      <c r="F24" s="15">
        <v>5</v>
      </c>
      <c r="G24" s="15"/>
      <c r="H24" s="15">
        <f t="shared" si="0"/>
        <v>72</v>
      </c>
      <c r="I24" s="4"/>
    </row>
    <row r="25" spans="1:9">
      <c r="A25" s="4" t="s">
        <v>84</v>
      </c>
      <c r="B25" s="15">
        <v>2</v>
      </c>
      <c r="C25" s="15" t="s">
        <v>410</v>
      </c>
      <c r="D25" s="15">
        <v>3</v>
      </c>
      <c r="E25" s="15">
        <v>3</v>
      </c>
      <c r="F25" s="15">
        <v>5</v>
      </c>
      <c r="G25" s="15"/>
      <c r="H25" s="15">
        <f t="shared" si="0"/>
        <v>48</v>
      </c>
      <c r="I25" s="4"/>
    </row>
    <row r="26" spans="1:9">
      <c r="A26" s="4" t="s">
        <v>85</v>
      </c>
      <c r="B26" s="15">
        <v>1</v>
      </c>
      <c r="C26" s="15" t="s">
        <v>410</v>
      </c>
      <c r="D26" s="15">
        <v>2</v>
      </c>
      <c r="E26" s="15">
        <v>3</v>
      </c>
      <c r="F26" s="15">
        <v>5</v>
      </c>
      <c r="G26" s="15"/>
      <c r="H26" s="15">
        <f t="shared" si="0"/>
        <v>40</v>
      </c>
      <c r="I26" s="4"/>
    </row>
    <row r="27" spans="1:9">
      <c r="A27" s="4" t="s">
        <v>86</v>
      </c>
      <c r="B27" s="15">
        <v>3</v>
      </c>
      <c r="C27" s="15" t="s">
        <v>409</v>
      </c>
      <c r="D27" s="15">
        <v>3</v>
      </c>
      <c r="E27" s="15">
        <v>4</v>
      </c>
      <c r="F27" s="15">
        <v>5</v>
      </c>
      <c r="G27" s="15"/>
      <c r="H27" s="15">
        <f t="shared" si="0"/>
        <v>56</v>
      </c>
      <c r="I27" s="4"/>
    </row>
    <row r="28" spans="1:9">
      <c r="A28" s="4" t="s">
        <v>87</v>
      </c>
      <c r="B28" s="15">
        <v>2</v>
      </c>
      <c r="C28" s="15" t="s">
        <v>410</v>
      </c>
      <c r="D28" s="15">
        <v>3</v>
      </c>
      <c r="E28" s="15">
        <v>2</v>
      </c>
      <c r="F28" s="15">
        <v>5</v>
      </c>
      <c r="G28" s="15"/>
      <c r="H28" s="15">
        <f t="shared" si="0"/>
        <v>52</v>
      </c>
      <c r="I28" s="4"/>
    </row>
    <row r="29" spans="1:9" ht="15">
      <c r="A29" s="34" t="s">
        <v>88</v>
      </c>
      <c r="B29" s="34"/>
      <c r="C29" s="34"/>
      <c r="D29" s="34"/>
      <c r="E29" s="34"/>
      <c r="F29" s="34"/>
      <c r="G29" s="34"/>
      <c r="H29" s="2">
        <f>IF(COUNT(H4:H28)=0,"",AVERAGE(H4:H28))</f>
        <v>65.44</v>
      </c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</sheetData>
  <mergeCells count="2">
    <mergeCell ref="A1:I1"/>
    <mergeCell ref="A29:G29"/>
  </mergeCells>
  <conditionalFormatting sqref="H4:H29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dataValidations count="2">
    <dataValidation type="list" sqref="B4:B28 D4:E28" xr:uid="{00000000-0002-0000-0200-000000000000}">
      <formula1>"1,2,3,4,5"</formula1>
    </dataValidation>
    <dataValidation type="list" sqref="C4:C28" xr:uid="{00000000-0002-0000-0200-000001000000}">
      <formula1>"Y,N"</formula1>
    </dataValidation>
  </dataValidations>
  <pageMargins left="0.25" right="0.25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tabSelected="1" workbookViewId="0">
      <selection activeCell="G4" sqref="G4:G26"/>
    </sheetView>
  </sheetViews>
  <sheetFormatPr defaultRowHeight="14.25"/>
  <cols>
    <col min="1" max="1" width="26.875" customWidth="1"/>
    <col min="2" max="2" width="12.375" customWidth="1"/>
    <col min="3" max="4" width="10.5" style="17" customWidth="1"/>
    <col min="5" max="7" width="10.5" customWidth="1"/>
    <col min="8" max="8" width="11" customWidth="1"/>
    <col min="9" max="9" width="10.5" customWidth="1"/>
    <col min="10" max="10" width="14.25" customWidth="1"/>
  </cols>
  <sheetData>
    <row r="1" spans="1:10" ht="30" customHeight="1">
      <c r="A1" s="27" t="s">
        <v>89</v>
      </c>
      <c r="B1" s="27"/>
      <c r="C1" s="27"/>
      <c r="D1" s="27"/>
      <c r="E1" s="27"/>
      <c r="F1" s="27"/>
      <c r="G1" s="27"/>
      <c r="H1" s="28"/>
      <c r="I1" s="35"/>
      <c r="J1" s="27"/>
    </row>
    <row r="3" spans="1:10" ht="45">
      <c r="A3" s="3" t="s">
        <v>90</v>
      </c>
      <c r="B3" s="3" t="s">
        <v>91</v>
      </c>
      <c r="C3" s="3" t="s">
        <v>55</v>
      </c>
      <c r="D3" s="3" t="s">
        <v>56</v>
      </c>
      <c r="E3" s="3" t="s">
        <v>92</v>
      </c>
      <c r="F3" s="3" t="s">
        <v>58</v>
      </c>
      <c r="G3" s="3" t="s">
        <v>59</v>
      </c>
      <c r="H3" s="3" t="s">
        <v>93</v>
      </c>
      <c r="I3" s="3" t="s">
        <v>61</v>
      </c>
      <c r="J3" s="3" t="s">
        <v>62</v>
      </c>
    </row>
    <row r="4" spans="1:10" ht="18" customHeight="1">
      <c r="A4" s="4" t="s">
        <v>94</v>
      </c>
      <c r="B4" s="4"/>
      <c r="C4" s="15">
        <v>0</v>
      </c>
      <c r="D4" s="15" t="s">
        <v>409</v>
      </c>
      <c r="E4" s="15">
        <v>1</v>
      </c>
      <c r="F4" s="15">
        <v>5</v>
      </c>
      <c r="G4" s="19"/>
      <c r="H4" s="15"/>
      <c r="I4" s="15">
        <f t="shared" ref="I4:I26" si="0">IF(COUNT(C4,E4,F4)&lt;3,"",(C4/5*60)+((6-E4)/5*20)+((6-F4)/5*20))</f>
        <v>24</v>
      </c>
      <c r="J4" s="36" t="s">
        <v>415</v>
      </c>
    </row>
    <row r="5" spans="1:10" ht="18" customHeight="1">
      <c r="A5" s="4" t="s">
        <v>95</v>
      </c>
      <c r="B5" s="4"/>
      <c r="C5" s="15">
        <v>0</v>
      </c>
      <c r="D5" s="15" t="s">
        <v>409</v>
      </c>
      <c r="E5" s="15">
        <v>1</v>
      </c>
      <c r="F5" s="15">
        <v>5</v>
      </c>
      <c r="G5" s="15"/>
      <c r="H5" s="15"/>
      <c r="I5" s="15">
        <f t="shared" si="0"/>
        <v>24</v>
      </c>
      <c r="J5" s="36"/>
    </row>
    <row r="6" spans="1:10" ht="18" customHeight="1">
      <c r="A6" s="4" t="s">
        <v>96</v>
      </c>
      <c r="B6" s="4"/>
      <c r="C6" s="15">
        <v>0</v>
      </c>
      <c r="D6" s="15" t="s">
        <v>409</v>
      </c>
      <c r="E6" s="15">
        <v>1</v>
      </c>
      <c r="F6" s="15">
        <v>5</v>
      </c>
      <c r="G6" s="15"/>
      <c r="H6" s="15"/>
      <c r="I6" s="15">
        <f t="shared" si="0"/>
        <v>24</v>
      </c>
      <c r="J6" s="36"/>
    </row>
    <row r="7" spans="1:10" ht="18" customHeight="1">
      <c r="A7" s="4" t="s">
        <v>97</v>
      </c>
      <c r="B7" s="4"/>
      <c r="C7" s="15">
        <v>0</v>
      </c>
      <c r="D7" s="15" t="s">
        <v>409</v>
      </c>
      <c r="E7" s="15">
        <v>1</v>
      </c>
      <c r="F7" s="15">
        <v>5</v>
      </c>
      <c r="G7" s="15"/>
      <c r="H7" s="15"/>
      <c r="I7" s="15">
        <f t="shared" si="0"/>
        <v>24</v>
      </c>
      <c r="J7" s="36"/>
    </row>
    <row r="8" spans="1:10" ht="18" customHeight="1">
      <c r="A8" s="4" t="s">
        <v>98</v>
      </c>
      <c r="B8" s="4"/>
      <c r="C8" s="15">
        <v>0</v>
      </c>
      <c r="D8" s="15" t="s">
        <v>409</v>
      </c>
      <c r="E8" s="15">
        <v>1</v>
      </c>
      <c r="F8" s="15">
        <v>5</v>
      </c>
      <c r="G8" s="15"/>
      <c r="H8" s="15"/>
      <c r="I8" s="15">
        <f t="shared" si="0"/>
        <v>24</v>
      </c>
      <c r="J8" s="36"/>
    </row>
    <row r="9" spans="1:10" ht="18" customHeight="1">
      <c r="A9" s="4" t="s">
        <v>99</v>
      </c>
      <c r="B9" s="4"/>
      <c r="C9" s="15">
        <v>0</v>
      </c>
      <c r="D9" s="15" t="s">
        <v>409</v>
      </c>
      <c r="E9" s="15">
        <v>1</v>
      </c>
      <c r="F9" s="15">
        <v>5</v>
      </c>
      <c r="G9" s="15"/>
      <c r="H9" s="15"/>
      <c r="I9" s="15">
        <f t="shared" si="0"/>
        <v>24</v>
      </c>
      <c r="J9" s="36"/>
    </row>
    <row r="10" spans="1:10" ht="18" customHeight="1">
      <c r="A10" s="4" t="s">
        <v>100</v>
      </c>
      <c r="B10" s="4"/>
      <c r="C10" s="15">
        <v>0</v>
      </c>
      <c r="D10" s="15" t="s">
        <v>409</v>
      </c>
      <c r="E10" s="15">
        <v>1</v>
      </c>
      <c r="F10" s="15">
        <v>5</v>
      </c>
      <c r="G10" s="15"/>
      <c r="H10" s="15"/>
      <c r="I10" s="15">
        <f t="shared" si="0"/>
        <v>24</v>
      </c>
      <c r="J10" s="4" t="s">
        <v>412</v>
      </c>
    </row>
    <row r="11" spans="1:10" ht="18" customHeight="1">
      <c r="A11" s="4" t="s">
        <v>101</v>
      </c>
      <c r="B11" s="4"/>
      <c r="C11" s="15">
        <v>0</v>
      </c>
      <c r="D11" s="15" t="s">
        <v>409</v>
      </c>
      <c r="E11" s="15">
        <v>1</v>
      </c>
      <c r="F11" s="15">
        <v>5</v>
      </c>
      <c r="G11" s="15"/>
      <c r="H11" s="15"/>
      <c r="I11" s="15">
        <f t="shared" si="0"/>
        <v>24</v>
      </c>
      <c r="J11" s="4" t="s">
        <v>412</v>
      </c>
    </row>
    <row r="12" spans="1:10" ht="18" customHeight="1">
      <c r="A12" s="4" t="s">
        <v>102</v>
      </c>
      <c r="B12" s="4"/>
      <c r="C12" s="15">
        <v>0</v>
      </c>
      <c r="D12" s="15" t="s">
        <v>409</v>
      </c>
      <c r="E12" s="15">
        <v>1</v>
      </c>
      <c r="F12" s="15">
        <v>5</v>
      </c>
      <c r="G12" s="15"/>
      <c r="H12" s="15"/>
      <c r="I12" s="15">
        <f t="shared" si="0"/>
        <v>24</v>
      </c>
      <c r="J12" s="4" t="s">
        <v>412</v>
      </c>
    </row>
    <row r="13" spans="1:10" ht="18" customHeight="1">
      <c r="A13" s="4" t="s">
        <v>103</v>
      </c>
      <c r="B13" s="4"/>
      <c r="C13" s="15">
        <v>0</v>
      </c>
      <c r="D13" s="15" t="s">
        <v>409</v>
      </c>
      <c r="E13" s="15">
        <v>1</v>
      </c>
      <c r="F13" s="15">
        <v>5</v>
      </c>
      <c r="G13" s="15"/>
      <c r="H13" s="15"/>
      <c r="I13" s="15">
        <f t="shared" si="0"/>
        <v>24</v>
      </c>
      <c r="J13" s="4" t="s">
        <v>412</v>
      </c>
    </row>
    <row r="14" spans="1:10" ht="18" customHeight="1">
      <c r="A14" s="4" t="s">
        <v>104</v>
      </c>
      <c r="B14" s="4"/>
      <c r="C14" s="15">
        <v>0</v>
      </c>
      <c r="D14" s="15" t="s">
        <v>409</v>
      </c>
      <c r="E14" s="15">
        <v>1</v>
      </c>
      <c r="F14" s="15">
        <v>5</v>
      </c>
      <c r="G14" s="15"/>
      <c r="H14" s="15"/>
      <c r="I14" s="15">
        <f t="shared" si="0"/>
        <v>24</v>
      </c>
      <c r="J14" s="4" t="s">
        <v>412</v>
      </c>
    </row>
    <row r="15" spans="1:10" ht="18" customHeight="1">
      <c r="A15" s="4" t="s">
        <v>105</v>
      </c>
      <c r="B15" s="4"/>
      <c r="C15" s="15">
        <v>0</v>
      </c>
      <c r="D15" s="15" t="s">
        <v>409</v>
      </c>
      <c r="E15" s="15">
        <v>1</v>
      </c>
      <c r="F15" s="15">
        <v>5</v>
      </c>
      <c r="G15" s="15"/>
      <c r="H15" s="15"/>
      <c r="I15" s="15">
        <f t="shared" si="0"/>
        <v>24</v>
      </c>
      <c r="J15" s="4" t="s">
        <v>412</v>
      </c>
    </row>
    <row r="16" spans="1:10" ht="18" customHeight="1">
      <c r="A16" s="4" t="s">
        <v>106</v>
      </c>
      <c r="B16" s="4"/>
      <c r="C16" s="15">
        <v>0</v>
      </c>
      <c r="D16" s="15" t="s">
        <v>409</v>
      </c>
      <c r="E16" s="15">
        <v>1</v>
      </c>
      <c r="F16" s="15">
        <v>5</v>
      </c>
      <c r="G16" s="15"/>
      <c r="H16" s="15"/>
      <c r="I16" s="15">
        <f t="shared" si="0"/>
        <v>24</v>
      </c>
      <c r="J16" s="4" t="s">
        <v>412</v>
      </c>
    </row>
    <row r="17" spans="1:10" ht="18" customHeight="1">
      <c r="A17" s="4" t="s">
        <v>107</v>
      </c>
      <c r="B17" s="4"/>
      <c r="C17" s="15">
        <v>0</v>
      </c>
      <c r="D17" s="15" t="s">
        <v>409</v>
      </c>
      <c r="E17" s="15">
        <v>1</v>
      </c>
      <c r="F17" s="15">
        <v>5</v>
      </c>
      <c r="G17" s="15"/>
      <c r="H17" s="15"/>
      <c r="I17" s="15">
        <f t="shared" si="0"/>
        <v>24</v>
      </c>
      <c r="J17" s="4" t="s">
        <v>412</v>
      </c>
    </row>
    <row r="18" spans="1:10" ht="18" customHeight="1">
      <c r="A18" s="4" t="s">
        <v>108</v>
      </c>
      <c r="B18" s="4"/>
      <c r="C18" s="15">
        <v>0</v>
      </c>
      <c r="D18" s="15" t="s">
        <v>409</v>
      </c>
      <c r="E18" s="15">
        <v>1</v>
      </c>
      <c r="F18" s="15">
        <v>5</v>
      </c>
      <c r="G18" s="15"/>
      <c r="H18" s="15"/>
      <c r="I18" s="15">
        <f t="shared" si="0"/>
        <v>24</v>
      </c>
      <c r="J18" s="4" t="s">
        <v>411</v>
      </c>
    </row>
    <row r="19" spans="1:10" ht="18" customHeight="1">
      <c r="A19" s="4" t="s">
        <v>109</v>
      </c>
      <c r="B19" s="4"/>
      <c r="C19" s="15">
        <v>0</v>
      </c>
      <c r="D19" s="15" t="s">
        <v>410</v>
      </c>
      <c r="E19" s="15">
        <v>1</v>
      </c>
      <c r="F19" s="15">
        <v>5</v>
      </c>
      <c r="G19" s="15"/>
      <c r="H19" s="15"/>
      <c r="I19" s="15">
        <f t="shared" si="0"/>
        <v>24</v>
      </c>
      <c r="J19" s="4" t="s">
        <v>412</v>
      </c>
    </row>
    <row r="20" spans="1:10" ht="18" customHeight="1">
      <c r="A20" s="4" t="s">
        <v>110</v>
      </c>
      <c r="B20" s="4"/>
      <c r="C20" s="15">
        <v>0</v>
      </c>
      <c r="D20" s="15" t="s">
        <v>410</v>
      </c>
      <c r="E20" s="15">
        <v>1</v>
      </c>
      <c r="F20" s="15">
        <v>5</v>
      </c>
      <c r="G20" s="15"/>
      <c r="H20" s="15"/>
      <c r="I20" s="15">
        <f t="shared" si="0"/>
        <v>24</v>
      </c>
      <c r="J20" s="4" t="s">
        <v>412</v>
      </c>
    </row>
    <row r="21" spans="1:10" ht="18" customHeight="1">
      <c r="A21" s="4" t="s">
        <v>111</v>
      </c>
      <c r="B21" s="4"/>
      <c r="C21" s="15">
        <v>0</v>
      </c>
      <c r="D21" s="15" t="s">
        <v>410</v>
      </c>
      <c r="E21" s="15">
        <v>1</v>
      </c>
      <c r="F21" s="15">
        <v>5</v>
      </c>
      <c r="G21" s="15"/>
      <c r="H21" s="15"/>
      <c r="I21" s="15">
        <f t="shared" si="0"/>
        <v>24</v>
      </c>
      <c r="J21" s="4" t="s">
        <v>412</v>
      </c>
    </row>
    <row r="22" spans="1:10" ht="18" customHeight="1">
      <c r="A22" s="4" t="s">
        <v>112</v>
      </c>
      <c r="B22" s="4"/>
      <c r="C22" s="15">
        <v>0</v>
      </c>
      <c r="D22" s="15" t="s">
        <v>410</v>
      </c>
      <c r="E22" s="15">
        <v>1</v>
      </c>
      <c r="F22" s="15">
        <v>5</v>
      </c>
      <c r="G22" s="15"/>
      <c r="H22" s="15"/>
      <c r="I22" s="15">
        <f t="shared" si="0"/>
        <v>24</v>
      </c>
      <c r="J22" s="4" t="s">
        <v>412</v>
      </c>
    </row>
    <row r="23" spans="1:10" ht="18" customHeight="1">
      <c r="A23" s="4" t="s">
        <v>113</v>
      </c>
      <c r="B23" s="4"/>
      <c r="C23" s="15">
        <v>0</v>
      </c>
      <c r="D23" s="15" t="s">
        <v>410</v>
      </c>
      <c r="E23" s="15">
        <v>1</v>
      </c>
      <c r="F23" s="15">
        <v>5</v>
      </c>
      <c r="G23" s="15"/>
      <c r="H23" s="15"/>
      <c r="I23" s="15">
        <f t="shared" si="0"/>
        <v>24</v>
      </c>
      <c r="J23" s="4" t="s">
        <v>412</v>
      </c>
    </row>
    <row r="24" spans="1:10" ht="27.75" customHeight="1">
      <c r="A24" s="4" t="s">
        <v>114</v>
      </c>
      <c r="B24" s="4"/>
      <c r="C24" s="15">
        <v>0</v>
      </c>
      <c r="D24" s="15" t="s">
        <v>410</v>
      </c>
      <c r="E24" s="15">
        <v>1</v>
      </c>
      <c r="F24" s="15">
        <v>5</v>
      </c>
      <c r="G24" s="15"/>
      <c r="H24" s="15"/>
      <c r="I24" s="15">
        <f t="shared" si="0"/>
        <v>24</v>
      </c>
      <c r="J24" s="4" t="s">
        <v>413</v>
      </c>
    </row>
    <row r="25" spans="1:10" ht="28.5" customHeight="1">
      <c r="A25" s="4" t="s">
        <v>115</v>
      </c>
      <c r="B25" s="4"/>
      <c r="C25" s="15">
        <v>0</v>
      </c>
      <c r="D25" s="15" t="s">
        <v>410</v>
      </c>
      <c r="E25" s="15">
        <v>1</v>
      </c>
      <c r="F25" s="15">
        <v>5</v>
      </c>
      <c r="G25" s="15"/>
      <c r="H25" s="15"/>
      <c r="I25" s="15">
        <f t="shared" si="0"/>
        <v>24</v>
      </c>
      <c r="J25" s="4" t="s">
        <v>413</v>
      </c>
    </row>
    <row r="26" spans="1:10" ht="18" customHeight="1">
      <c r="A26" s="4" t="s">
        <v>116</v>
      </c>
      <c r="B26" s="4"/>
      <c r="C26" s="15">
        <v>0</v>
      </c>
      <c r="D26" s="15" t="s">
        <v>410</v>
      </c>
      <c r="E26" s="15">
        <v>1</v>
      </c>
      <c r="F26" s="15">
        <v>5</v>
      </c>
      <c r="G26" s="15"/>
      <c r="H26" s="15"/>
      <c r="I26" s="15">
        <f t="shared" si="0"/>
        <v>24</v>
      </c>
      <c r="J26" s="4" t="s">
        <v>414</v>
      </c>
    </row>
    <row r="27" spans="1:10" ht="25.5" customHeight="1">
      <c r="A27" s="34" t="s">
        <v>117</v>
      </c>
      <c r="B27" s="34"/>
      <c r="C27" s="34"/>
      <c r="D27" s="34"/>
      <c r="E27" s="34"/>
      <c r="F27" s="34"/>
      <c r="G27" s="34"/>
      <c r="H27" s="34"/>
      <c r="I27" s="2">
        <f>IF(COUNT(I4:I26)=0,"",AVERAGE(I4:I26))</f>
        <v>24</v>
      </c>
      <c r="J27" s="4"/>
    </row>
  </sheetData>
  <mergeCells count="3">
    <mergeCell ref="A1:J1"/>
    <mergeCell ref="A27:H27"/>
    <mergeCell ref="J4:J9"/>
  </mergeCells>
  <conditionalFormatting sqref="I4:I27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dataValidations count="2">
    <dataValidation type="list" sqref="C4:C26 E4:F26" xr:uid="{00000000-0002-0000-0300-000000000000}">
      <formula1>"1,2,3,4,5"</formula1>
    </dataValidation>
    <dataValidation type="list" sqref="D4:D26" xr:uid="{00000000-0002-0000-0300-000001000000}">
      <formula1>"Y,N"</formula1>
    </dataValidation>
  </dataValidations>
  <pageMargins left="0.25" right="0.25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2"/>
  <sheetViews>
    <sheetView workbookViewId="0">
      <selection activeCell="L4" sqref="L4"/>
    </sheetView>
  </sheetViews>
  <sheetFormatPr defaultRowHeight="14.25"/>
  <cols>
    <col min="1" max="1" width="14" customWidth="1"/>
    <col min="2" max="2" width="16" customWidth="1"/>
    <col min="3" max="8" width="13" customWidth="1"/>
    <col min="9" max="11" width="15" customWidth="1"/>
    <col min="12" max="13" width="13" customWidth="1"/>
    <col min="14" max="14" width="14" customWidth="1"/>
  </cols>
  <sheetData>
    <row r="1" spans="1:14" ht="30" customHeight="1">
      <c r="A1" s="27" t="s">
        <v>118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ht="30">
      <c r="A3" s="3" t="s">
        <v>119</v>
      </c>
      <c r="B3" s="3" t="s">
        <v>120</v>
      </c>
      <c r="C3" s="3" t="s">
        <v>121</v>
      </c>
      <c r="D3" s="3" t="s">
        <v>122</v>
      </c>
      <c r="E3" s="3" t="s">
        <v>123</v>
      </c>
      <c r="F3" s="3" t="s">
        <v>124</v>
      </c>
      <c r="G3" s="3" t="s">
        <v>125</v>
      </c>
      <c r="H3" s="3" t="s">
        <v>126</v>
      </c>
      <c r="I3" s="3" t="s">
        <v>127</v>
      </c>
      <c r="J3" s="3" t="s">
        <v>128</v>
      </c>
      <c r="K3" s="3" t="s">
        <v>129</v>
      </c>
      <c r="L3" s="3" t="s">
        <v>130</v>
      </c>
      <c r="M3" s="3" t="s">
        <v>131</v>
      </c>
      <c r="N3" s="3" t="s">
        <v>132</v>
      </c>
    </row>
    <row r="4" spans="1:14">
      <c r="A4" t="s">
        <v>133</v>
      </c>
      <c r="B4" t="s">
        <v>134</v>
      </c>
      <c r="L4">
        <f t="shared" ref="L4:L39" si="0">COUNT(C4:H4)+COUNTIF(I4:K4,"Yes")+COUNTIF(I4:K4,"No")</f>
        <v>0</v>
      </c>
      <c r="M4">
        <f t="shared" ref="M4:M39" si="1">IF(L4=0,0,IF(AND(C4&gt;=1,C4&lt;=3),1,0)+IF(D4&lt;=0.5,1,0)+IF(AND(E4&gt;=7.2,E4&lt;=7.8),1,0)+IF(AND(F4&gt;=80,F4&lt;=120),1,0)+IF(G4&gt;=150,1,0)+IF(AND(H4&gt;=24,H4&lt;=30),1,0)+IF(I4="Yes",1,0)+IF(J4="Yes",1,0)+IF(K4="Yes",1,0))</f>
        <v>0</v>
      </c>
      <c r="N4" s="8" t="str">
        <f t="shared" ref="N4:N39" si="2">IF(L4=0,"",M4/L4)</f>
        <v/>
      </c>
    </row>
    <row r="5" spans="1:14">
      <c r="A5" t="s">
        <v>133</v>
      </c>
      <c r="B5" t="s">
        <v>135</v>
      </c>
      <c r="L5">
        <f t="shared" si="0"/>
        <v>0</v>
      </c>
      <c r="M5">
        <f t="shared" si="1"/>
        <v>0</v>
      </c>
      <c r="N5" s="8" t="str">
        <f t="shared" si="2"/>
        <v/>
      </c>
    </row>
    <row r="6" spans="1:14">
      <c r="A6" t="s">
        <v>133</v>
      </c>
      <c r="B6" t="s">
        <v>43</v>
      </c>
      <c r="L6">
        <f t="shared" si="0"/>
        <v>0</v>
      </c>
      <c r="M6">
        <f t="shared" si="1"/>
        <v>0</v>
      </c>
      <c r="N6" s="8" t="str">
        <f t="shared" si="2"/>
        <v/>
      </c>
    </row>
    <row r="7" spans="1:14">
      <c r="A7" t="s">
        <v>136</v>
      </c>
      <c r="B7" t="s">
        <v>134</v>
      </c>
      <c r="L7">
        <f t="shared" si="0"/>
        <v>0</v>
      </c>
      <c r="M7">
        <f t="shared" si="1"/>
        <v>0</v>
      </c>
      <c r="N7" s="8" t="str">
        <f t="shared" si="2"/>
        <v/>
      </c>
    </row>
    <row r="8" spans="1:14">
      <c r="A8" t="s">
        <v>136</v>
      </c>
      <c r="B8" t="s">
        <v>135</v>
      </c>
      <c r="L8">
        <f t="shared" si="0"/>
        <v>0</v>
      </c>
      <c r="M8">
        <f t="shared" si="1"/>
        <v>0</v>
      </c>
      <c r="N8" s="8" t="str">
        <f t="shared" si="2"/>
        <v/>
      </c>
    </row>
    <row r="9" spans="1:14">
      <c r="A9" t="s">
        <v>136</v>
      </c>
      <c r="B9" t="s">
        <v>43</v>
      </c>
      <c r="L9">
        <f t="shared" si="0"/>
        <v>0</v>
      </c>
      <c r="M9">
        <f t="shared" si="1"/>
        <v>0</v>
      </c>
      <c r="N9" s="8" t="str">
        <f t="shared" si="2"/>
        <v/>
      </c>
    </row>
    <row r="10" spans="1:14">
      <c r="A10" t="s">
        <v>137</v>
      </c>
      <c r="B10" t="s">
        <v>134</v>
      </c>
      <c r="L10">
        <f t="shared" si="0"/>
        <v>0</v>
      </c>
      <c r="M10">
        <f t="shared" si="1"/>
        <v>0</v>
      </c>
      <c r="N10" s="8" t="str">
        <f t="shared" si="2"/>
        <v/>
      </c>
    </row>
    <row r="11" spans="1:14">
      <c r="A11" t="s">
        <v>137</v>
      </c>
      <c r="B11" t="s">
        <v>135</v>
      </c>
      <c r="L11">
        <f t="shared" si="0"/>
        <v>0</v>
      </c>
      <c r="M11">
        <f t="shared" si="1"/>
        <v>0</v>
      </c>
      <c r="N11" s="8" t="str">
        <f t="shared" si="2"/>
        <v/>
      </c>
    </row>
    <row r="12" spans="1:14">
      <c r="A12" t="s">
        <v>137</v>
      </c>
      <c r="B12" t="s">
        <v>43</v>
      </c>
      <c r="L12">
        <f t="shared" si="0"/>
        <v>0</v>
      </c>
      <c r="M12">
        <f t="shared" si="1"/>
        <v>0</v>
      </c>
      <c r="N12" s="8" t="str">
        <f t="shared" si="2"/>
        <v/>
      </c>
    </row>
    <row r="13" spans="1:14">
      <c r="A13" t="s">
        <v>138</v>
      </c>
      <c r="B13" t="s">
        <v>134</v>
      </c>
      <c r="L13">
        <f t="shared" si="0"/>
        <v>0</v>
      </c>
      <c r="M13">
        <f t="shared" si="1"/>
        <v>0</v>
      </c>
      <c r="N13" s="8" t="str">
        <f t="shared" si="2"/>
        <v/>
      </c>
    </row>
    <row r="14" spans="1:14">
      <c r="A14" t="s">
        <v>138</v>
      </c>
      <c r="B14" t="s">
        <v>135</v>
      </c>
      <c r="L14">
        <f t="shared" si="0"/>
        <v>0</v>
      </c>
      <c r="M14">
        <f t="shared" si="1"/>
        <v>0</v>
      </c>
      <c r="N14" s="8" t="str">
        <f t="shared" si="2"/>
        <v/>
      </c>
    </row>
    <row r="15" spans="1:14">
      <c r="A15" t="s">
        <v>138</v>
      </c>
      <c r="B15" t="s">
        <v>43</v>
      </c>
      <c r="L15">
        <f t="shared" si="0"/>
        <v>0</v>
      </c>
      <c r="M15">
        <f t="shared" si="1"/>
        <v>0</v>
      </c>
      <c r="N15" s="8" t="str">
        <f t="shared" si="2"/>
        <v/>
      </c>
    </row>
    <row r="16" spans="1:14">
      <c r="A16" t="s">
        <v>139</v>
      </c>
      <c r="B16" t="s">
        <v>134</v>
      </c>
      <c r="L16">
        <f t="shared" si="0"/>
        <v>0</v>
      </c>
      <c r="M16">
        <f t="shared" si="1"/>
        <v>0</v>
      </c>
      <c r="N16" s="8" t="str">
        <f t="shared" si="2"/>
        <v/>
      </c>
    </row>
    <row r="17" spans="1:14">
      <c r="A17" t="s">
        <v>139</v>
      </c>
      <c r="B17" t="s">
        <v>135</v>
      </c>
      <c r="L17">
        <f t="shared" si="0"/>
        <v>0</v>
      </c>
      <c r="M17">
        <f t="shared" si="1"/>
        <v>0</v>
      </c>
      <c r="N17" s="8" t="str">
        <f t="shared" si="2"/>
        <v/>
      </c>
    </row>
    <row r="18" spans="1:14">
      <c r="A18" t="s">
        <v>139</v>
      </c>
      <c r="B18" t="s">
        <v>43</v>
      </c>
      <c r="L18">
        <f t="shared" si="0"/>
        <v>0</v>
      </c>
      <c r="M18">
        <f t="shared" si="1"/>
        <v>0</v>
      </c>
      <c r="N18" s="8" t="str">
        <f t="shared" si="2"/>
        <v/>
      </c>
    </row>
    <row r="19" spans="1:14">
      <c r="A19" t="s">
        <v>140</v>
      </c>
      <c r="B19" t="s">
        <v>134</v>
      </c>
      <c r="L19">
        <f t="shared" si="0"/>
        <v>0</v>
      </c>
      <c r="M19">
        <f t="shared" si="1"/>
        <v>0</v>
      </c>
      <c r="N19" s="8" t="str">
        <f t="shared" si="2"/>
        <v/>
      </c>
    </row>
    <row r="20" spans="1:14">
      <c r="A20" t="s">
        <v>140</v>
      </c>
      <c r="B20" t="s">
        <v>135</v>
      </c>
      <c r="H20" s="7"/>
      <c r="L20">
        <f t="shared" si="0"/>
        <v>0</v>
      </c>
      <c r="M20">
        <f t="shared" si="1"/>
        <v>0</v>
      </c>
      <c r="N20" s="8" t="str">
        <f t="shared" si="2"/>
        <v/>
      </c>
    </row>
    <row r="21" spans="1:14">
      <c r="A21" t="s">
        <v>140</v>
      </c>
      <c r="B21" t="s">
        <v>43</v>
      </c>
      <c r="L21">
        <f t="shared" si="0"/>
        <v>0</v>
      </c>
      <c r="M21">
        <f t="shared" si="1"/>
        <v>0</v>
      </c>
      <c r="N21" s="8" t="str">
        <f t="shared" si="2"/>
        <v/>
      </c>
    </row>
    <row r="22" spans="1:14">
      <c r="A22" t="s">
        <v>141</v>
      </c>
      <c r="B22" t="s">
        <v>134</v>
      </c>
      <c r="L22">
        <f t="shared" si="0"/>
        <v>0</v>
      </c>
      <c r="M22">
        <f t="shared" si="1"/>
        <v>0</v>
      </c>
      <c r="N22" s="8" t="str">
        <f t="shared" si="2"/>
        <v/>
      </c>
    </row>
    <row r="23" spans="1:14">
      <c r="A23" t="s">
        <v>141</v>
      </c>
      <c r="B23" t="s">
        <v>135</v>
      </c>
      <c r="L23">
        <f t="shared" si="0"/>
        <v>0</v>
      </c>
      <c r="M23">
        <f t="shared" si="1"/>
        <v>0</v>
      </c>
      <c r="N23" s="8" t="str">
        <f t="shared" si="2"/>
        <v/>
      </c>
    </row>
    <row r="24" spans="1:14">
      <c r="A24" t="s">
        <v>141</v>
      </c>
      <c r="B24" t="s">
        <v>43</v>
      </c>
      <c r="L24">
        <f t="shared" si="0"/>
        <v>0</v>
      </c>
      <c r="M24">
        <f t="shared" si="1"/>
        <v>0</v>
      </c>
      <c r="N24" s="8" t="str">
        <f t="shared" si="2"/>
        <v/>
      </c>
    </row>
    <row r="25" spans="1:14">
      <c r="A25" t="s">
        <v>142</v>
      </c>
      <c r="B25" t="s">
        <v>134</v>
      </c>
      <c r="L25">
        <f t="shared" si="0"/>
        <v>0</v>
      </c>
      <c r="M25">
        <f t="shared" si="1"/>
        <v>0</v>
      </c>
      <c r="N25" s="8" t="str">
        <f t="shared" si="2"/>
        <v/>
      </c>
    </row>
    <row r="26" spans="1:14">
      <c r="A26" t="s">
        <v>142</v>
      </c>
      <c r="B26" t="s">
        <v>135</v>
      </c>
      <c r="L26">
        <f t="shared" si="0"/>
        <v>0</v>
      </c>
      <c r="M26">
        <f t="shared" si="1"/>
        <v>0</v>
      </c>
      <c r="N26" s="8" t="str">
        <f t="shared" si="2"/>
        <v/>
      </c>
    </row>
    <row r="27" spans="1:14">
      <c r="A27" t="s">
        <v>142</v>
      </c>
      <c r="B27" t="s">
        <v>43</v>
      </c>
      <c r="L27">
        <f t="shared" si="0"/>
        <v>0</v>
      </c>
      <c r="M27">
        <f t="shared" si="1"/>
        <v>0</v>
      </c>
      <c r="N27" s="8" t="str">
        <f t="shared" si="2"/>
        <v/>
      </c>
    </row>
    <row r="28" spans="1:14">
      <c r="A28" t="s">
        <v>143</v>
      </c>
      <c r="B28" t="s">
        <v>134</v>
      </c>
      <c r="L28">
        <f t="shared" si="0"/>
        <v>0</v>
      </c>
      <c r="M28">
        <f t="shared" si="1"/>
        <v>0</v>
      </c>
      <c r="N28" s="8" t="str">
        <f t="shared" si="2"/>
        <v/>
      </c>
    </row>
    <row r="29" spans="1:14">
      <c r="A29" t="s">
        <v>143</v>
      </c>
      <c r="B29" t="s">
        <v>135</v>
      </c>
      <c r="L29">
        <f t="shared" si="0"/>
        <v>0</v>
      </c>
      <c r="M29">
        <f t="shared" si="1"/>
        <v>0</v>
      </c>
      <c r="N29" s="8" t="str">
        <f t="shared" si="2"/>
        <v/>
      </c>
    </row>
    <row r="30" spans="1:14">
      <c r="A30" t="s">
        <v>143</v>
      </c>
      <c r="B30" t="s">
        <v>43</v>
      </c>
      <c r="L30">
        <f t="shared" si="0"/>
        <v>0</v>
      </c>
      <c r="M30">
        <f t="shared" si="1"/>
        <v>0</v>
      </c>
      <c r="N30" s="8" t="str">
        <f t="shared" si="2"/>
        <v/>
      </c>
    </row>
    <row r="31" spans="1:14">
      <c r="A31" t="s">
        <v>144</v>
      </c>
      <c r="B31" t="s">
        <v>134</v>
      </c>
      <c r="L31">
        <f t="shared" si="0"/>
        <v>0</v>
      </c>
      <c r="M31">
        <f t="shared" si="1"/>
        <v>0</v>
      </c>
      <c r="N31" s="8" t="str">
        <f t="shared" si="2"/>
        <v/>
      </c>
    </row>
    <row r="32" spans="1:14">
      <c r="A32" t="s">
        <v>144</v>
      </c>
      <c r="B32" t="s">
        <v>135</v>
      </c>
      <c r="L32">
        <f t="shared" si="0"/>
        <v>0</v>
      </c>
      <c r="M32">
        <f t="shared" si="1"/>
        <v>0</v>
      </c>
      <c r="N32" s="8" t="str">
        <f t="shared" si="2"/>
        <v/>
      </c>
    </row>
    <row r="33" spans="1:14">
      <c r="A33" t="s">
        <v>144</v>
      </c>
      <c r="B33" t="s">
        <v>43</v>
      </c>
      <c r="L33">
        <f t="shared" si="0"/>
        <v>0</v>
      </c>
      <c r="M33">
        <f t="shared" si="1"/>
        <v>0</v>
      </c>
      <c r="N33" s="8" t="str">
        <f t="shared" si="2"/>
        <v/>
      </c>
    </row>
    <row r="34" spans="1:14">
      <c r="A34" t="s">
        <v>145</v>
      </c>
      <c r="B34" t="s">
        <v>134</v>
      </c>
      <c r="L34">
        <f t="shared" si="0"/>
        <v>0</v>
      </c>
      <c r="M34">
        <f t="shared" si="1"/>
        <v>0</v>
      </c>
      <c r="N34" s="8" t="str">
        <f t="shared" si="2"/>
        <v/>
      </c>
    </row>
    <row r="35" spans="1:14">
      <c r="A35" t="s">
        <v>145</v>
      </c>
      <c r="B35" t="s">
        <v>135</v>
      </c>
      <c r="L35">
        <f t="shared" si="0"/>
        <v>0</v>
      </c>
      <c r="M35">
        <f t="shared" si="1"/>
        <v>0</v>
      </c>
      <c r="N35" s="8" t="str">
        <f t="shared" si="2"/>
        <v/>
      </c>
    </row>
    <row r="36" spans="1:14">
      <c r="A36" t="s">
        <v>145</v>
      </c>
      <c r="B36" t="s">
        <v>43</v>
      </c>
      <c r="L36">
        <f t="shared" si="0"/>
        <v>0</v>
      </c>
      <c r="M36">
        <f t="shared" si="1"/>
        <v>0</v>
      </c>
      <c r="N36" s="8" t="str">
        <f t="shared" si="2"/>
        <v/>
      </c>
    </row>
    <row r="37" spans="1:14">
      <c r="A37" t="s">
        <v>146</v>
      </c>
      <c r="B37" t="s">
        <v>134</v>
      </c>
      <c r="L37">
        <f t="shared" si="0"/>
        <v>0</v>
      </c>
      <c r="M37">
        <f t="shared" si="1"/>
        <v>0</v>
      </c>
      <c r="N37" s="8" t="str">
        <f t="shared" si="2"/>
        <v/>
      </c>
    </row>
    <row r="38" spans="1:14">
      <c r="A38" t="s">
        <v>146</v>
      </c>
      <c r="B38" t="s">
        <v>135</v>
      </c>
      <c r="L38">
        <f t="shared" si="0"/>
        <v>0</v>
      </c>
      <c r="M38">
        <f t="shared" si="1"/>
        <v>0</v>
      </c>
      <c r="N38" s="8" t="str">
        <f t="shared" si="2"/>
        <v/>
      </c>
    </row>
    <row r="39" spans="1:14">
      <c r="A39" t="s">
        <v>146</v>
      </c>
      <c r="B39" t="s">
        <v>43</v>
      </c>
      <c r="L39">
        <f t="shared" si="0"/>
        <v>0</v>
      </c>
      <c r="M39">
        <f t="shared" si="1"/>
        <v>0</v>
      </c>
      <c r="N39" s="8" t="str">
        <f t="shared" si="2"/>
        <v/>
      </c>
    </row>
    <row r="41" spans="1:14" ht="15">
      <c r="A41" s="30" t="s">
        <v>147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9" t="str">
        <f>IF(COUNT(N4:N39)=0,"",AVERAGE(N4:N39)*100)</f>
        <v/>
      </c>
    </row>
    <row r="42" spans="1:14" ht="18.75">
      <c r="A42" s="23" t="s">
        <v>416</v>
      </c>
    </row>
  </sheetData>
  <mergeCells count="2">
    <mergeCell ref="A1:N1"/>
    <mergeCell ref="A41:M41"/>
  </mergeCells>
  <conditionalFormatting sqref="N4:N41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dataValidations count="1">
    <dataValidation type="list" sqref="I4:K39" xr:uid="{00000000-0002-0000-0400-000000000000}">
      <formula1>"Yes,No"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"/>
  <sheetViews>
    <sheetView workbookViewId="0">
      <selection activeCell="E26" sqref="E26"/>
    </sheetView>
  </sheetViews>
  <sheetFormatPr defaultRowHeight="14.25"/>
  <cols>
    <col min="1" max="1" width="40" customWidth="1"/>
    <col min="2" max="2" width="14" customWidth="1"/>
    <col min="3" max="3" width="18" customWidth="1"/>
    <col min="4" max="4" width="39.125" customWidth="1"/>
    <col min="5" max="5" width="34" customWidth="1"/>
  </cols>
  <sheetData>
    <row r="1" spans="1:5" ht="30" customHeight="1">
      <c r="A1" s="27" t="s">
        <v>148</v>
      </c>
      <c r="B1" s="27"/>
      <c r="C1" s="27"/>
      <c r="D1" s="27"/>
      <c r="E1" s="27"/>
    </row>
    <row r="3" spans="1:5" ht="30">
      <c r="A3" s="3" t="s">
        <v>149</v>
      </c>
      <c r="B3" s="3" t="s">
        <v>150</v>
      </c>
      <c r="C3" s="3" t="s">
        <v>151</v>
      </c>
      <c r="D3" s="3" t="s">
        <v>152</v>
      </c>
      <c r="E3" s="3" t="s">
        <v>153</v>
      </c>
    </row>
    <row r="4" spans="1:5">
      <c r="A4" t="s">
        <v>154</v>
      </c>
      <c r="B4" s="17">
        <v>1</v>
      </c>
      <c r="C4" t="s">
        <v>417</v>
      </c>
      <c r="D4" t="s">
        <v>418</v>
      </c>
    </row>
    <row r="5" spans="1:5">
      <c r="A5" t="s">
        <v>155</v>
      </c>
      <c r="B5" s="17">
        <v>1</v>
      </c>
      <c r="C5" t="s">
        <v>417</v>
      </c>
      <c r="D5" t="s">
        <v>419</v>
      </c>
    </row>
    <row r="6" spans="1:5">
      <c r="A6" t="s">
        <v>156</v>
      </c>
      <c r="B6" s="17">
        <v>1</v>
      </c>
      <c r="C6" t="s">
        <v>417</v>
      </c>
      <c r="D6" t="s">
        <v>419</v>
      </c>
    </row>
    <row r="7" spans="1:5">
      <c r="A7" t="s">
        <v>157</v>
      </c>
      <c r="B7" s="17">
        <v>1</v>
      </c>
      <c r="C7" t="s">
        <v>417</v>
      </c>
      <c r="D7" t="s">
        <v>420</v>
      </c>
    </row>
    <row r="8" spans="1:5">
      <c r="A8" t="s">
        <v>158</v>
      </c>
      <c r="B8" s="17">
        <v>1</v>
      </c>
      <c r="C8" t="s">
        <v>417</v>
      </c>
      <c r="D8" t="s">
        <v>421</v>
      </c>
    </row>
    <row r="9" spans="1:5">
      <c r="A9" t="s">
        <v>159</v>
      </c>
      <c r="B9" s="17">
        <v>1</v>
      </c>
      <c r="C9" t="s">
        <v>417</v>
      </c>
      <c r="D9" t="s">
        <v>422</v>
      </c>
    </row>
    <row r="10" spans="1:5">
      <c r="A10" t="s">
        <v>160</v>
      </c>
      <c r="B10" s="17">
        <v>1</v>
      </c>
      <c r="C10" t="s">
        <v>417</v>
      </c>
      <c r="D10" t="s">
        <v>423</v>
      </c>
    </row>
    <row r="11" spans="1:5">
      <c r="A11" t="s">
        <v>161</v>
      </c>
      <c r="B11" s="17">
        <v>1</v>
      </c>
      <c r="C11" t="s">
        <v>417</v>
      </c>
      <c r="D11" t="s">
        <v>424</v>
      </c>
    </row>
    <row r="12" spans="1:5">
      <c r="A12" t="s">
        <v>162</v>
      </c>
      <c r="B12" s="17">
        <v>1</v>
      </c>
      <c r="C12" t="s">
        <v>417</v>
      </c>
      <c r="D12" t="s">
        <v>425</v>
      </c>
      <c r="E12" s="32" t="s">
        <v>428</v>
      </c>
    </row>
    <row r="13" spans="1:5">
      <c r="A13" t="s">
        <v>163</v>
      </c>
      <c r="B13" s="17">
        <v>1</v>
      </c>
      <c r="C13" t="s">
        <v>417</v>
      </c>
      <c r="D13" t="s">
        <v>426</v>
      </c>
      <c r="E13" s="32"/>
    </row>
    <row r="14" spans="1:5">
      <c r="A14" t="s">
        <v>164</v>
      </c>
      <c r="B14" s="17">
        <v>1</v>
      </c>
      <c r="C14" t="s">
        <v>417</v>
      </c>
      <c r="D14" t="s">
        <v>427</v>
      </c>
      <c r="E14" s="32"/>
    </row>
    <row r="15" spans="1:5">
      <c r="A15" t="s">
        <v>165</v>
      </c>
      <c r="B15" s="17">
        <v>1</v>
      </c>
      <c r="C15" t="s">
        <v>417</v>
      </c>
      <c r="D15" t="s">
        <v>427</v>
      </c>
      <c r="E15" s="32"/>
    </row>
    <row r="16" spans="1:5">
      <c r="A16" t="s">
        <v>166</v>
      </c>
      <c r="B16" s="17">
        <v>1</v>
      </c>
      <c r="C16" t="s">
        <v>417</v>
      </c>
      <c r="D16" t="s">
        <v>427</v>
      </c>
      <c r="E16" s="32"/>
    </row>
    <row r="17" spans="1:5">
      <c r="A17" t="s">
        <v>167</v>
      </c>
      <c r="B17" s="17">
        <v>1</v>
      </c>
      <c r="C17" t="s">
        <v>417</v>
      </c>
      <c r="D17" t="s">
        <v>427</v>
      </c>
      <c r="E17" s="32"/>
    </row>
    <row r="18" spans="1:5">
      <c r="A18" t="s">
        <v>168</v>
      </c>
      <c r="B18" s="17">
        <v>1</v>
      </c>
      <c r="C18" t="s">
        <v>417</v>
      </c>
      <c r="D18" t="s">
        <v>427</v>
      </c>
      <c r="E18" s="32"/>
    </row>
    <row r="19" spans="1:5">
      <c r="A19" t="s">
        <v>169</v>
      </c>
      <c r="B19" s="17">
        <v>1</v>
      </c>
      <c r="C19" t="s">
        <v>417</v>
      </c>
      <c r="D19" t="s">
        <v>427</v>
      </c>
      <c r="E19" s="32"/>
    </row>
    <row r="20" spans="1:5">
      <c r="A20" t="s">
        <v>170</v>
      </c>
      <c r="B20" s="17">
        <v>1</v>
      </c>
      <c r="C20" t="s">
        <v>417</v>
      </c>
      <c r="D20" t="s">
        <v>427</v>
      </c>
      <c r="E20" s="32"/>
    </row>
    <row r="21" spans="1:5">
      <c r="A21" t="s">
        <v>171</v>
      </c>
      <c r="B21" s="17">
        <v>1</v>
      </c>
      <c r="C21" t="s">
        <v>417</v>
      </c>
      <c r="D21" t="s">
        <v>427</v>
      </c>
      <c r="E21" s="32"/>
    </row>
    <row r="22" spans="1:5">
      <c r="B22" s="17"/>
    </row>
    <row r="23" spans="1:5" ht="15">
      <c r="A23" s="1" t="s">
        <v>172</v>
      </c>
      <c r="B23" s="20">
        <f>IF(COUNT(B4:B21)=0,"",AVERAGE(B4:B21)/5*100)</f>
        <v>20</v>
      </c>
    </row>
  </sheetData>
  <mergeCells count="2">
    <mergeCell ref="A1:E1"/>
    <mergeCell ref="E12:E21"/>
  </mergeCells>
  <conditionalFormatting sqref="B23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dataValidations count="2">
    <dataValidation type="list" sqref="B4:B21" xr:uid="{00000000-0002-0000-0500-000000000000}">
      <formula1>"1,2,3,4,5"</formula1>
    </dataValidation>
    <dataValidation type="list" sqref="C4:C21" xr:uid="{00000000-0002-0000-0500-000001000000}">
      <formula1>"Yes,Partial,No"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9"/>
  <sheetViews>
    <sheetView workbookViewId="0">
      <selection activeCell="I21" sqref="I21"/>
    </sheetView>
  </sheetViews>
  <sheetFormatPr defaultRowHeight="14.25"/>
  <cols>
    <col min="1" max="1" width="13" customWidth="1"/>
    <col min="2" max="10" width="14" customWidth="1"/>
    <col min="11" max="18" width="16" customWidth="1"/>
    <col min="19" max="26" width="14" customWidth="1"/>
    <col min="27" max="27" width="16" customWidth="1"/>
  </cols>
  <sheetData>
    <row r="1" spans="1:27" ht="30" customHeight="1">
      <c r="A1" s="27" t="s">
        <v>173</v>
      </c>
      <c r="B1" s="27"/>
      <c r="C1" s="27"/>
      <c r="D1" s="27"/>
      <c r="E1" s="27"/>
      <c r="F1" s="27"/>
      <c r="G1" s="27"/>
      <c r="H1" s="27"/>
      <c r="I1" s="27"/>
      <c r="J1" s="27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12"/>
    </row>
    <row r="3" spans="1:27" ht="30">
      <c r="A3" s="3" t="s">
        <v>119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  <c r="I3" s="3" t="s">
        <v>181</v>
      </c>
      <c r="J3" s="3" t="s">
        <v>182</v>
      </c>
      <c r="K3" s="3" t="s">
        <v>183</v>
      </c>
      <c r="L3" s="3" t="s">
        <v>184</v>
      </c>
      <c r="M3" s="3" t="s">
        <v>185</v>
      </c>
      <c r="N3" s="3" t="s">
        <v>186</v>
      </c>
      <c r="O3" s="3" t="s">
        <v>187</v>
      </c>
      <c r="P3" s="3" t="s">
        <v>188</v>
      </c>
      <c r="Q3" s="3" t="s">
        <v>189</v>
      </c>
      <c r="R3" s="3" t="s">
        <v>190</v>
      </c>
      <c r="S3" s="3" t="s">
        <v>191</v>
      </c>
      <c r="T3" s="3" t="s">
        <v>192</v>
      </c>
      <c r="U3" s="3" t="s">
        <v>193</v>
      </c>
      <c r="V3" s="3" t="s">
        <v>194</v>
      </c>
      <c r="W3" s="3" t="s">
        <v>195</v>
      </c>
      <c r="X3" s="3" t="s">
        <v>196</v>
      </c>
      <c r="Y3" s="3" t="s">
        <v>197</v>
      </c>
      <c r="Z3" s="3" t="s">
        <v>198</v>
      </c>
      <c r="AA3" s="3" t="s">
        <v>199</v>
      </c>
    </row>
    <row r="4" spans="1:27">
      <c r="A4" t="s">
        <v>133</v>
      </c>
      <c r="B4" s="17"/>
      <c r="C4" s="17"/>
      <c r="D4" s="17"/>
      <c r="E4" s="17"/>
      <c r="F4" s="17"/>
      <c r="G4" s="17"/>
      <c r="H4" s="17"/>
      <c r="I4" s="17"/>
      <c r="J4" s="17">
        <f t="shared" ref="J4:J15" si="0">SUM(B4:I4)</f>
        <v>0</v>
      </c>
      <c r="K4" s="17"/>
      <c r="L4" s="17"/>
      <c r="M4" s="17"/>
      <c r="N4" s="17"/>
      <c r="O4" s="17"/>
      <c r="P4" s="17"/>
      <c r="Q4" s="17"/>
      <c r="R4" s="17">
        <f t="shared" ref="R4:R15" si="1">SUM(K4:Q4)</f>
        <v>0</v>
      </c>
      <c r="S4" s="17"/>
      <c r="T4" s="17"/>
      <c r="U4" s="17"/>
      <c r="V4" s="17"/>
      <c r="W4" s="17"/>
      <c r="X4" s="17"/>
      <c r="Y4" s="17"/>
      <c r="Z4" s="17">
        <f t="shared" ref="Z4:Z15" si="2">SUM(S4:Y4)</f>
        <v>0</v>
      </c>
      <c r="AA4" s="17">
        <f t="shared" ref="AA4:AA15" si="3">R4-Z4</f>
        <v>0</v>
      </c>
    </row>
    <row r="5" spans="1:27">
      <c r="A5" t="s">
        <v>136</v>
      </c>
      <c r="B5" s="17"/>
      <c r="C5" s="17"/>
      <c r="D5" s="17"/>
      <c r="E5" s="17"/>
      <c r="F5" s="17"/>
      <c r="G5" s="17"/>
      <c r="H5" s="17"/>
      <c r="I5" s="17"/>
      <c r="J5" s="17">
        <f t="shared" si="0"/>
        <v>0</v>
      </c>
      <c r="K5" s="17"/>
      <c r="L5" s="17"/>
      <c r="M5" s="17"/>
      <c r="N5" s="17"/>
      <c r="O5" s="17"/>
      <c r="P5" s="17"/>
      <c r="Q5" s="17"/>
      <c r="R5" s="17">
        <f t="shared" si="1"/>
        <v>0</v>
      </c>
      <c r="S5" s="17"/>
      <c r="T5" s="17"/>
      <c r="U5" s="17"/>
      <c r="V5" s="17"/>
      <c r="W5" s="17"/>
      <c r="X5" s="17"/>
      <c r="Y5" s="17"/>
      <c r="Z5" s="17">
        <f t="shared" si="2"/>
        <v>0</v>
      </c>
      <c r="AA5" s="17">
        <f t="shared" si="3"/>
        <v>0</v>
      </c>
    </row>
    <row r="6" spans="1:27">
      <c r="A6" t="s">
        <v>137</v>
      </c>
      <c r="B6" s="17"/>
      <c r="C6" s="17"/>
      <c r="D6" s="17"/>
      <c r="E6" s="17"/>
      <c r="F6" s="17"/>
      <c r="G6" s="17"/>
      <c r="H6" s="17"/>
      <c r="I6" s="17"/>
      <c r="J6" s="17">
        <f t="shared" si="0"/>
        <v>0</v>
      </c>
      <c r="K6" s="17"/>
      <c r="L6" s="17"/>
      <c r="M6" s="17"/>
      <c r="N6" s="17"/>
      <c r="O6" s="17"/>
      <c r="P6" s="17"/>
      <c r="Q6" s="17"/>
      <c r="R6" s="17">
        <f t="shared" si="1"/>
        <v>0</v>
      </c>
      <c r="S6" s="17"/>
      <c r="T6" s="17"/>
      <c r="U6" s="17"/>
      <c r="V6" s="17"/>
      <c r="W6" s="17"/>
      <c r="X6" s="17"/>
      <c r="Y6" s="17"/>
      <c r="Z6" s="17">
        <f t="shared" si="2"/>
        <v>0</v>
      </c>
      <c r="AA6" s="17">
        <f t="shared" si="3"/>
        <v>0</v>
      </c>
    </row>
    <row r="7" spans="1:27">
      <c r="A7" t="s">
        <v>138</v>
      </c>
      <c r="B7" s="17"/>
      <c r="C7" s="17"/>
      <c r="D7" s="17"/>
      <c r="E7" s="17"/>
      <c r="F7" s="17"/>
      <c r="G7" s="17"/>
      <c r="H7" s="17"/>
      <c r="I7" s="17"/>
      <c r="J7" s="17">
        <f t="shared" si="0"/>
        <v>0</v>
      </c>
      <c r="K7" s="17"/>
      <c r="L7" s="17"/>
      <c r="M7" s="17"/>
      <c r="N7" s="17"/>
      <c r="O7" s="17"/>
      <c r="P7" s="17"/>
      <c r="Q7" s="17"/>
      <c r="R7" s="17">
        <f t="shared" si="1"/>
        <v>0</v>
      </c>
      <c r="S7" s="17"/>
      <c r="T7" s="17"/>
      <c r="U7" s="17"/>
      <c r="V7" s="17"/>
      <c r="W7" s="17"/>
      <c r="X7" s="17"/>
      <c r="Y7" s="17"/>
      <c r="Z7" s="17">
        <f t="shared" si="2"/>
        <v>0</v>
      </c>
      <c r="AA7" s="17">
        <f t="shared" si="3"/>
        <v>0</v>
      </c>
    </row>
    <row r="8" spans="1:27">
      <c r="A8" t="s">
        <v>139</v>
      </c>
      <c r="B8" s="17"/>
      <c r="C8" s="17"/>
      <c r="D8" s="17"/>
      <c r="E8" s="17"/>
      <c r="F8" s="17"/>
      <c r="G8" s="17"/>
      <c r="H8" s="17"/>
      <c r="I8" s="17"/>
      <c r="J8" s="17">
        <f t="shared" si="0"/>
        <v>0</v>
      </c>
      <c r="K8" s="17"/>
      <c r="L8" s="17"/>
      <c r="M8" s="17"/>
      <c r="N8" s="17"/>
      <c r="O8" s="17"/>
      <c r="P8" s="17"/>
      <c r="Q8" s="17"/>
      <c r="R8" s="17">
        <f t="shared" si="1"/>
        <v>0</v>
      </c>
      <c r="S8" s="17"/>
      <c r="T8" s="17"/>
      <c r="U8" s="17"/>
      <c r="V8" s="17"/>
      <c r="W8" s="17"/>
      <c r="X8" s="17"/>
      <c r="Y8" s="17"/>
      <c r="Z8" s="17">
        <f t="shared" si="2"/>
        <v>0</v>
      </c>
      <c r="AA8" s="17">
        <f t="shared" si="3"/>
        <v>0</v>
      </c>
    </row>
    <row r="9" spans="1:27">
      <c r="A9" t="s">
        <v>140</v>
      </c>
      <c r="B9" s="17"/>
      <c r="C9" s="17"/>
      <c r="D9" s="17"/>
      <c r="E9" s="17"/>
      <c r="F9" s="17"/>
      <c r="G9" s="17"/>
      <c r="H9" s="17"/>
      <c r="I9" s="17"/>
      <c r="J9" s="17">
        <f t="shared" si="0"/>
        <v>0</v>
      </c>
      <c r="K9" s="17"/>
      <c r="L9" s="17"/>
      <c r="M9" s="17"/>
      <c r="N9" s="17"/>
      <c r="O9" s="17"/>
      <c r="P9" s="17"/>
      <c r="Q9" s="17"/>
      <c r="R9" s="17">
        <f t="shared" si="1"/>
        <v>0</v>
      </c>
      <c r="S9" s="17"/>
      <c r="T9" s="17"/>
      <c r="U9" s="17"/>
      <c r="V9" s="17"/>
      <c r="W9" s="17"/>
      <c r="X9" s="17"/>
      <c r="Y9" s="17"/>
      <c r="Z9" s="17">
        <f t="shared" si="2"/>
        <v>0</v>
      </c>
      <c r="AA9" s="17">
        <f t="shared" si="3"/>
        <v>0</v>
      </c>
    </row>
    <row r="10" spans="1:27">
      <c r="A10" t="s">
        <v>141</v>
      </c>
      <c r="B10" s="17"/>
      <c r="C10" s="17"/>
      <c r="D10" s="17"/>
      <c r="E10" s="17"/>
      <c r="F10" s="17"/>
      <c r="G10" s="17"/>
      <c r="H10" s="17"/>
      <c r="I10" s="17"/>
      <c r="J10" s="17">
        <f t="shared" si="0"/>
        <v>0</v>
      </c>
      <c r="K10" s="17"/>
      <c r="L10" s="17"/>
      <c r="M10" s="17"/>
      <c r="N10" s="17"/>
      <c r="O10" s="17"/>
      <c r="P10" s="17"/>
      <c r="Q10" s="17"/>
      <c r="R10" s="17">
        <f t="shared" si="1"/>
        <v>0</v>
      </c>
      <c r="S10" s="17"/>
      <c r="T10" s="17"/>
      <c r="U10" s="17"/>
      <c r="V10" s="17"/>
      <c r="W10" s="17"/>
      <c r="X10" s="17"/>
      <c r="Y10" s="17"/>
      <c r="Z10" s="17">
        <f t="shared" si="2"/>
        <v>0</v>
      </c>
      <c r="AA10" s="17">
        <f t="shared" si="3"/>
        <v>0</v>
      </c>
    </row>
    <row r="11" spans="1:27">
      <c r="A11" t="s">
        <v>142</v>
      </c>
      <c r="B11" s="17"/>
      <c r="C11" s="17"/>
      <c r="D11" s="17"/>
      <c r="E11" s="17"/>
      <c r="F11" s="17"/>
      <c r="G11" s="17"/>
      <c r="H11" s="17"/>
      <c r="I11" s="17"/>
      <c r="J11" s="17">
        <f t="shared" si="0"/>
        <v>0</v>
      </c>
      <c r="K11" s="17"/>
      <c r="L11" s="17"/>
      <c r="M11" s="17"/>
      <c r="N11" s="17"/>
      <c r="O11" s="17"/>
      <c r="P11" s="17"/>
      <c r="Q11" s="17"/>
      <c r="R11" s="17">
        <f t="shared" si="1"/>
        <v>0</v>
      </c>
      <c r="S11" s="17"/>
      <c r="T11" s="17"/>
      <c r="U11" s="17"/>
      <c r="V11" s="17"/>
      <c r="W11" s="17"/>
      <c r="X11" s="17"/>
      <c r="Y11" s="17"/>
      <c r="Z11" s="17">
        <f t="shared" si="2"/>
        <v>0</v>
      </c>
      <c r="AA11" s="17">
        <f t="shared" si="3"/>
        <v>0</v>
      </c>
    </row>
    <row r="12" spans="1:27">
      <c r="A12" t="s">
        <v>143</v>
      </c>
      <c r="B12" s="17"/>
      <c r="C12" s="17"/>
      <c r="D12" s="17"/>
      <c r="E12" s="17"/>
      <c r="F12" s="17"/>
      <c r="G12" s="17"/>
      <c r="H12" s="17"/>
      <c r="I12" s="17"/>
      <c r="J12" s="17">
        <f t="shared" si="0"/>
        <v>0</v>
      </c>
      <c r="K12" s="17"/>
      <c r="L12" s="17"/>
      <c r="M12" s="17"/>
      <c r="N12" s="17"/>
      <c r="O12" s="17"/>
      <c r="P12" s="17"/>
      <c r="Q12" s="17"/>
      <c r="R12" s="17">
        <f t="shared" si="1"/>
        <v>0</v>
      </c>
      <c r="S12" s="17"/>
      <c r="T12" s="17"/>
      <c r="U12" s="17"/>
      <c r="V12" s="17"/>
      <c r="W12" s="17"/>
      <c r="X12" s="17"/>
      <c r="Y12" s="17"/>
      <c r="Z12" s="17">
        <f t="shared" si="2"/>
        <v>0</v>
      </c>
      <c r="AA12" s="17">
        <f t="shared" si="3"/>
        <v>0</v>
      </c>
    </row>
    <row r="13" spans="1:27">
      <c r="A13" t="s">
        <v>144</v>
      </c>
      <c r="B13" s="17"/>
      <c r="C13" s="17"/>
      <c r="D13" s="17"/>
      <c r="E13" s="17"/>
      <c r="F13" s="17"/>
      <c r="G13" s="17"/>
      <c r="H13" s="17"/>
      <c r="I13" s="17"/>
      <c r="J13" s="17">
        <f t="shared" si="0"/>
        <v>0</v>
      </c>
      <c r="K13" s="17"/>
      <c r="L13" s="17"/>
      <c r="M13" s="17"/>
      <c r="N13" s="17"/>
      <c r="O13" s="17"/>
      <c r="P13" s="17"/>
      <c r="Q13" s="17"/>
      <c r="R13" s="17">
        <f t="shared" si="1"/>
        <v>0</v>
      </c>
      <c r="S13" s="17"/>
      <c r="T13" s="17"/>
      <c r="U13" s="17"/>
      <c r="V13" s="17"/>
      <c r="W13" s="17"/>
      <c r="X13" s="17"/>
      <c r="Y13" s="17"/>
      <c r="Z13" s="17">
        <f t="shared" si="2"/>
        <v>0</v>
      </c>
      <c r="AA13" s="17">
        <f t="shared" si="3"/>
        <v>0</v>
      </c>
    </row>
    <row r="14" spans="1:27">
      <c r="A14" t="s">
        <v>145</v>
      </c>
      <c r="B14" s="17"/>
      <c r="C14" s="17"/>
      <c r="D14" s="17"/>
      <c r="E14" s="17"/>
      <c r="F14" s="17"/>
      <c r="G14" s="17"/>
      <c r="H14" s="17"/>
      <c r="I14" s="17"/>
      <c r="J14" s="17">
        <f t="shared" si="0"/>
        <v>0</v>
      </c>
      <c r="K14" s="17"/>
      <c r="L14" s="17"/>
      <c r="M14" s="17"/>
      <c r="N14" s="17"/>
      <c r="O14" s="17"/>
      <c r="P14" s="17"/>
      <c r="Q14" s="17"/>
      <c r="R14" s="17">
        <f t="shared" si="1"/>
        <v>0</v>
      </c>
      <c r="S14" s="17"/>
      <c r="T14" s="17"/>
      <c r="U14" s="17"/>
      <c r="V14" s="17"/>
      <c r="W14" s="17"/>
      <c r="X14" s="17"/>
      <c r="Y14" s="17"/>
      <c r="Z14" s="17">
        <f t="shared" si="2"/>
        <v>0</v>
      </c>
      <c r="AA14" s="17">
        <f t="shared" si="3"/>
        <v>0</v>
      </c>
    </row>
    <row r="15" spans="1:27">
      <c r="A15" t="s">
        <v>146</v>
      </c>
      <c r="B15" s="17"/>
      <c r="C15" s="17"/>
      <c r="D15" s="17"/>
      <c r="E15" s="17"/>
      <c r="F15" s="17"/>
      <c r="G15" s="17"/>
      <c r="H15" s="17"/>
      <c r="I15" s="17"/>
      <c r="J15" s="17">
        <f t="shared" si="0"/>
        <v>0</v>
      </c>
      <c r="K15" s="17"/>
      <c r="L15" s="17"/>
      <c r="M15" s="17"/>
      <c r="N15" s="17"/>
      <c r="O15" s="17"/>
      <c r="P15" s="17"/>
      <c r="Q15" s="17"/>
      <c r="R15" s="17">
        <f t="shared" si="1"/>
        <v>0</v>
      </c>
      <c r="S15" s="17"/>
      <c r="T15" s="17"/>
      <c r="U15" s="17"/>
      <c r="V15" s="17"/>
      <c r="W15" s="17"/>
      <c r="X15" s="17"/>
      <c r="Y15" s="17"/>
      <c r="Z15" s="17">
        <f t="shared" si="2"/>
        <v>0</v>
      </c>
      <c r="AA15" s="17">
        <f t="shared" si="3"/>
        <v>0</v>
      </c>
    </row>
    <row r="16" spans="1:27">
      <c r="A16" t="s">
        <v>200</v>
      </c>
      <c r="B16" s="17">
        <f t="shared" ref="B16:AA16" si="4">SUM(B4:B15)</f>
        <v>0</v>
      </c>
      <c r="C16" s="17">
        <f t="shared" si="4"/>
        <v>0</v>
      </c>
      <c r="D16" s="17">
        <f t="shared" si="4"/>
        <v>0</v>
      </c>
      <c r="E16" s="17">
        <f t="shared" si="4"/>
        <v>0</v>
      </c>
      <c r="F16" s="17">
        <f t="shared" si="4"/>
        <v>0</v>
      </c>
      <c r="G16" s="17">
        <f t="shared" si="4"/>
        <v>0</v>
      </c>
      <c r="H16" s="17">
        <f t="shared" si="4"/>
        <v>0</v>
      </c>
      <c r="I16" s="17">
        <f t="shared" si="4"/>
        <v>0</v>
      </c>
      <c r="J16" s="17">
        <f t="shared" si="4"/>
        <v>0</v>
      </c>
      <c r="K16" s="17">
        <f t="shared" si="4"/>
        <v>0</v>
      </c>
      <c r="L16" s="17">
        <f t="shared" si="4"/>
        <v>0</v>
      </c>
      <c r="M16" s="17">
        <f t="shared" si="4"/>
        <v>0</v>
      </c>
      <c r="N16" s="17">
        <f t="shared" si="4"/>
        <v>0</v>
      </c>
      <c r="O16" s="17">
        <f t="shared" si="4"/>
        <v>0</v>
      </c>
      <c r="P16" s="17">
        <f t="shared" si="4"/>
        <v>0</v>
      </c>
      <c r="Q16" s="17">
        <f t="shared" si="4"/>
        <v>0</v>
      </c>
      <c r="R16" s="17">
        <f t="shared" si="4"/>
        <v>0</v>
      </c>
      <c r="S16" s="17">
        <f t="shared" si="4"/>
        <v>0</v>
      </c>
      <c r="T16" s="17">
        <f t="shared" si="4"/>
        <v>0</v>
      </c>
      <c r="U16" s="17">
        <f t="shared" si="4"/>
        <v>0</v>
      </c>
      <c r="V16" s="17">
        <f t="shared" si="4"/>
        <v>0</v>
      </c>
      <c r="W16" s="17">
        <f t="shared" si="4"/>
        <v>0</v>
      </c>
      <c r="X16" s="17">
        <f t="shared" si="4"/>
        <v>0</v>
      </c>
      <c r="Y16" s="17">
        <f t="shared" si="4"/>
        <v>0</v>
      </c>
      <c r="Z16" s="17">
        <f t="shared" si="4"/>
        <v>0</v>
      </c>
      <c r="AA16" s="17">
        <f t="shared" si="4"/>
        <v>0</v>
      </c>
    </row>
    <row r="19" spans="1:8" ht="30">
      <c r="A19" s="2" t="s">
        <v>201</v>
      </c>
      <c r="B19" s="17">
        <f>J16</f>
        <v>0</v>
      </c>
      <c r="D19" s="3" t="s">
        <v>202</v>
      </c>
      <c r="E19" s="3" t="s">
        <v>203</v>
      </c>
    </row>
    <row r="20" spans="1:8" ht="45">
      <c r="A20" s="2" t="s">
        <v>204</v>
      </c>
      <c r="B20" s="17">
        <f>SUM(K16:P16)</f>
        <v>0</v>
      </c>
      <c r="D20" s="4" t="s">
        <v>205</v>
      </c>
      <c r="E20" s="24">
        <v>50000</v>
      </c>
      <c r="G20" s="37" t="s">
        <v>429</v>
      </c>
      <c r="H20" s="37"/>
    </row>
    <row r="21" spans="1:8" ht="45">
      <c r="A21" s="2" t="s">
        <v>206</v>
      </c>
      <c r="B21" s="17">
        <f>Q16</f>
        <v>0</v>
      </c>
      <c r="D21" s="4" t="s">
        <v>207</v>
      </c>
      <c r="E21" s="25">
        <v>0.5</v>
      </c>
      <c r="G21" s="37"/>
      <c r="H21" s="37"/>
    </row>
    <row r="22" spans="1:8" ht="30">
      <c r="A22" s="2" t="s">
        <v>208</v>
      </c>
      <c r="B22" s="17">
        <f>R16</f>
        <v>0</v>
      </c>
      <c r="D22" s="4" t="s">
        <v>209</v>
      </c>
      <c r="E22" s="26">
        <f>MIN(100,B19/E20*100)</f>
        <v>0</v>
      </c>
      <c r="G22" s="37"/>
      <c r="H22" s="37"/>
    </row>
    <row r="23" spans="1:8" ht="43.5">
      <c r="A23" s="2" t="s">
        <v>210</v>
      </c>
      <c r="B23" s="17">
        <f>Z16</f>
        <v>0</v>
      </c>
      <c r="D23" s="4" t="s">
        <v>211</v>
      </c>
      <c r="E23" s="26">
        <f>MIN(100,B25/E21*100)</f>
        <v>0</v>
      </c>
      <c r="G23" s="37"/>
      <c r="H23" s="37"/>
    </row>
    <row r="24" spans="1:8" ht="45">
      <c r="A24" s="2" t="s">
        <v>212</v>
      </c>
      <c r="B24" s="17">
        <f>AA16</f>
        <v>0</v>
      </c>
      <c r="D24" s="4" t="s">
        <v>213</v>
      </c>
      <c r="E24" s="26">
        <f>MIN(100,B26*100)</f>
        <v>0</v>
      </c>
      <c r="G24" s="37"/>
      <c r="H24" s="37"/>
    </row>
    <row r="25" spans="1:8" ht="75">
      <c r="A25" s="2" t="s">
        <v>214</v>
      </c>
      <c r="B25" s="25">
        <f>IF(Z16=0,0,SUM(K16:P16)/Z16)</f>
        <v>0</v>
      </c>
      <c r="D25" s="4" t="s">
        <v>215</v>
      </c>
      <c r="E25" s="26">
        <f>MAX(0,100-(B27*100))</f>
        <v>100</v>
      </c>
      <c r="G25" s="37"/>
      <c r="H25" s="37"/>
    </row>
    <row r="26" spans="1:8" ht="45">
      <c r="A26" s="2" t="s">
        <v>216</v>
      </c>
      <c r="B26" s="25">
        <f>IF(Z16=0,0,R16/Z16)</f>
        <v>0</v>
      </c>
      <c r="D26" s="4" t="s">
        <v>217</v>
      </c>
      <c r="E26" s="26">
        <f>(E22*0.6)+(MIN(E23,100)*0.4)</f>
        <v>0</v>
      </c>
      <c r="G26" s="37"/>
      <c r="H26" s="37"/>
    </row>
    <row r="27" spans="1:8" ht="45">
      <c r="A27" s="2" t="s">
        <v>218</v>
      </c>
      <c r="B27" s="25">
        <f>IF(R16=0,0,Q16/R16)</f>
        <v>0</v>
      </c>
      <c r="D27" s="4" t="s">
        <v>219</v>
      </c>
      <c r="E27" s="26">
        <f>IF(Z16=0,0,(E23*0.5)+(E24*0.3)+(E25*0.2))</f>
        <v>0</v>
      </c>
    </row>
    <row r="28" spans="1:8" ht="43.5">
      <c r="A28" s="2" t="s">
        <v>220</v>
      </c>
      <c r="B28" s="17">
        <f>IF(J16=0,0,SUM(K16:P16)/J16)</f>
        <v>0</v>
      </c>
      <c r="D28" s="4" t="s">
        <v>221</v>
      </c>
      <c r="E28" s="26">
        <f>COUNT(B4:I15)/96*100</f>
        <v>0</v>
      </c>
    </row>
    <row r="29" spans="1:8" ht="30">
      <c r="A29" s="2" t="s">
        <v>222</v>
      </c>
      <c r="B29" s="17">
        <f>IF(J16=0,0,Z16/J16)</f>
        <v>0</v>
      </c>
      <c r="D29" t="s">
        <v>153</v>
      </c>
      <c r="E29" t="s">
        <v>223</v>
      </c>
    </row>
  </sheetData>
  <mergeCells count="2">
    <mergeCell ref="A1:Z1"/>
    <mergeCell ref="G20:H26"/>
  </mergeCells>
  <conditionalFormatting sqref="E22:E27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conditionalFormatting sqref="AA4:AA16">
    <cfRule type="expression" dxfId="3" priority="2">
      <formula>AA4&lt;0</formula>
    </cfRule>
    <cfRule type="expression" dxfId="2" priority="3">
      <formula>AA4&gt;=0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"/>
  <sheetViews>
    <sheetView workbookViewId="0">
      <selection activeCell="F4" sqref="F4:F17"/>
    </sheetView>
  </sheetViews>
  <sheetFormatPr defaultRowHeight="14.25"/>
  <cols>
    <col min="1" max="1" width="32" customWidth="1"/>
    <col min="2" max="2" width="22" customWidth="1"/>
    <col min="3" max="4" width="13" customWidth="1"/>
    <col min="5" max="9" width="17" customWidth="1"/>
    <col min="10" max="10" width="16" customWidth="1"/>
  </cols>
  <sheetData>
    <row r="1" spans="1:10" ht="30" customHeight="1">
      <c r="A1" s="27" t="s">
        <v>224</v>
      </c>
      <c r="B1" s="27"/>
      <c r="C1" s="27"/>
      <c r="D1" s="27"/>
      <c r="E1" s="28"/>
      <c r="F1" s="29"/>
      <c r="G1" s="28"/>
      <c r="H1" s="28"/>
      <c r="I1" s="28"/>
      <c r="J1" s="27"/>
    </row>
    <row r="3" spans="1:10" ht="30">
      <c r="A3" s="3" t="s">
        <v>225</v>
      </c>
      <c r="B3" s="3" t="s">
        <v>226</v>
      </c>
      <c r="C3" s="3" t="s">
        <v>55</v>
      </c>
      <c r="D3" s="3" t="s">
        <v>227</v>
      </c>
      <c r="E3" s="3" t="s">
        <v>60</v>
      </c>
      <c r="F3" s="3" t="s">
        <v>228</v>
      </c>
      <c r="G3" s="3" t="s">
        <v>229</v>
      </c>
      <c r="H3" s="3" t="s">
        <v>230</v>
      </c>
      <c r="I3" s="3" t="s">
        <v>231</v>
      </c>
      <c r="J3" s="3" t="s">
        <v>232</v>
      </c>
    </row>
    <row r="4" spans="1:10">
      <c r="A4" t="s">
        <v>233</v>
      </c>
      <c r="C4" s="17">
        <v>1</v>
      </c>
      <c r="D4" s="17">
        <v>5</v>
      </c>
      <c r="F4" s="17">
        <v>0.15</v>
      </c>
      <c r="G4" t="str">
        <f t="shared" ref="G4:G17" si="0">IF(E4="","",E4*(1+F4))</f>
        <v/>
      </c>
      <c r="H4" t="str">
        <f t="shared" ref="H4:H17" si="1">IF(E4="","",E4*(1+F4)^3)</f>
        <v/>
      </c>
      <c r="I4" t="str">
        <f t="shared" ref="I4:I17" si="2">IF(E4="","",E4*(1+F4)^5)</f>
        <v/>
      </c>
    </row>
    <row r="5" spans="1:10">
      <c r="A5" t="s">
        <v>234</v>
      </c>
      <c r="C5" s="17">
        <v>1</v>
      </c>
      <c r="D5" s="17">
        <v>5</v>
      </c>
      <c r="F5" s="17">
        <v>0.1</v>
      </c>
      <c r="G5" t="str">
        <f t="shared" si="0"/>
        <v/>
      </c>
      <c r="H5" t="str">
        <f t="shared" si="1"/>
        <v/>
      </c>
      <c r="I5" t="str">
        <f t="shared" si="2"/>
        <v/>
      </c>
    </row>
    <row r="6" spans="1:10">
      <c r="A6" t="s">
        <v>235</v>
      </c>
      <c r="C6" s="17">
        <v>1</v>
      </c>
      <c r="D6" s="17">
        <v>5</v>
      </c>
      <c r="F6" s="17">
        <v>0.15</v>
      </c>
      <c r="G6" t="str">
        <f t="shared" si="0"/>
        <v/>
      </c>
      <c r="H6" t="str">
        <f t="shared" si="1"/>
        <v/>
      </c>
      <c r="I6" t="str">
        <f t="shared" si="2"/>
        <v/>
      </c>
    </row>
    <row r="7" spans="1:10">
      <c r="A7" t="s">
        <v>109</v>
      </c>
      <c r="C7" s="17">
        <v>1</v>
      </c>
      <c r="D7" s="17">
        <v>5</v>
      </c>
      <c r="F7" s="17">
        <v>0.12</v>
      </c>
      <c r="G7" t="str">
        <f t="shared" si="0"/>
        <v/>
      </c>
      <c r="H7" t="str">
        <f t="shared" si="1"/>
        <v/>
      </c>
      <c r="I7" t="str">
        <f t="shared" si="2"/>
        <v/>
      </c>
    </row>
    <row r="8" spans="1:10">
      <c r="A8" t="s">
        <v>236</v>
      </c>
      <c r="C8" s="17">
        <v>1</v>
      </c>
      <c r="D8" s="17">
        <v>5</v>
      </c>
      <c r="F8" s="17">
        <v>0.1</v>
      </c>
      <c r="G8" t="str">
        <f t="shared" si="0"/>
        <v/>
      </c>
      <c r="H8" t="str">
        <f t="shared" si="1"/>
        <v/>
      </c>
      <c r="I8" t="str">
        <f t="shared" si="2"/>
        <v/>
      </c>
    </row>
    <row r="9" spans="1:10">
      <c r="A9" t="s">
        <v>237</v>
      </c>
      <c r="C9" s="17">
        <v>1</v>
      </c>
      <c r="D9" s="17">
        <v>5</v>
      </c>
      <c r="F9" s="17">
        <v>0.12</v>
      </c>
      <c r="G9" t="str">
        <f t="shared" si="0"/>
        <v/>
      </c>
      <c r="H9" t="str">
        <f t="shared" si="1"/>
        <v/>
      </c>
      <c r="I9" t="str">
        <f t="shared" si="2"/>
        <v/>
      </c>
    </row>
    <row r="10" spans="1:10">
      <c r="A10" t="s">
        <v>238</v>
      </c>
      <c r="C10" s="17">
        <v>1</v>
      </c>
      <c r="D10" s="17">
        <v>5</v>
      </c>
      <c r="F10" s="17">
        <v>0.08</v>
      </c>
      <c r="G10" t="str">
        <f t="shared" si="0"/>
        <v/>
      </c>
      <c r="H10" t="str">
        <f t="shared" si="1"/>
        <v/>
      </c>
      <c r="I10" t="str">
        <f t="shared" si="2"/>
        <v/>
      </c>
    </row>
    <row r="11" spans="1:10">
      <c r="A11" t="s">
        <v>239</v>
      </c>
      <c r="C11" s="17">
        <v>1</v>
      </c>
      <c r="D11" s="17">
        <v>5</v>
      </c>
      <c r="F11" s="17">
        <v>0.15</v>
      </c>
      <c r="G11" t="str">
        <f t="shared" si="0"/>
        <v/>
      </c>
      <c r="H11" t="str">
        <f t="shared" si="1"/>
        <v/>
      </c>
      <c r="I11" t="str">
        <f t="shared" si="2"/>
        <v/>
      </c>
    </row>
    <row r="12" spans="1:10">
      <c r="A12" t="s">
        <v>240</v>
      </c>
      <c r="C12" s="17">
        <v>1</v>
      </c>
      <c r="D12" s="17">
        <v>5</v>
      </c>
      <c r="F12" s="17">
        <v>0.12</v>
      </c>
      <c r="G12" t="str">
        <f t="shared" si="0"/>
        <v/>
      </c>
      <c r="H12" t="str">
        <f t="shared" si="1"/>
        <v/>
      </c>
      <c r="I12" t="str">
        <f t="shared" si="2"/>
        <v/>
      </c>
    </row>
    <row r="13" spans="1:10">
      <c r="A13" t="s">
        <v>241</v>
      </c>
      <c r="C13" s="17">
        <v>1</v>
      </c>
      <c r="D13" s="17">
        <v>5</v>
      </c>
      <c r="F13" s="17">
        <v>0.1</v>
      </c>
      <c r="G13" t="str">
        <f t="shared" si="0"/>
        <v/>
      </c>
      <c r="H13" t="str">
        <f t="shared" si="1"/>
        <v/>
      </c>
      <c r="I13" t="str">
        <f t="shared" si="2"/>
        <v/>
      </c>
    </row>
    <row r="14" spans="1:10">
      <c r="A14" t="s">
        <v>242</v>
      </c>
      <c r="C14" s="17">
        <v>1</v>
      </c>
      <c r="D14" s="17">
        <v>5</v>
      </c>
      <c r="F14" s="17">
        <v>0.1</v>
      </c>
      <c r="G14" t="str">
        <f t="shared" si="0"/>
        <v/>
      </c>
      <c r="H14" t="str">
        <f t="shared" si="1"/>
        <v/>
      </c>
      <c r="I14" t="str">
        <f t="shared" si="2"/>
        <v/>
      </c>
    </row>
    <row r="15" spans="1:10">
      <c r="A15" t="s">
        <v>243</v>
      </c>
      <c r="C15" s="17">
        <v>1</v>
      </c>
      <c r="D15" s="17">
        <v>5</v>
      </c>
      <c r="F15" s="17">
        <v>0.08</v>
      </c>
      <c r="G15" t="str">
        <f t="shared" si="0"/>
        <v/>
      </c>
      <c r="H15" t="str">
        <f t="shared" si="1"/>
        <v/>
      </c>
      <c r="I15" t="str">
        <f t="shared" si="2"/>
        <v/>
      </c>
    </row>
    <row r="16" spans="1:10">
      <c r="A16" t="s">
        <v>244</v>
      </c>
      <c r="C16" s="17">
        <v>1</v>
      </c>
      <c r="D16" s="17">
        <v>5</v>
      </c>
      <c r="F16" s="17">
        <v>0.2</v>
      </c>
      <c r="G16" t="str">
        <f t="shared" si="0"/>
        <v/>
      </c>
      <c r="H16" t="str">
        <f t="shared" si="1"/>
        <v/>
      </c>
      <c r="I16" t="str">
        <f t="shared" si="2"/>
        <v/>
      </c>
    </row>
    <row r="17" spans="1:9">
      <c r="A17" t="s">
        <v>245</v>
      </c>
      <c r="C17" s="17">
        <v>1</v>
      </c>
      <c r="D17" s="17">
        <v>5</v>
      </c>
      <c r="F17" s="17">
        <v>0.1</v>
      </c>
      <c r="G17" t="str">
        <f t="shared" si="0"/>
        <v/>
      </c>
      <c r="H17" t="str">
        <f t="shared" si="1"/>
        <v/>
      </c>
      <c r="I17" t="str">
        <f t="shared" si="2"/>
        <v/>
      </c>
    </row>
    <row r="19" spans="1:9" ht="15">
      <c r="A19" s="30" t="s">
        <v>246</v>
      </c>
      <c r="B19" s="30"/>
      <c r="C19" s="30"/>
      <c r="D19" s="30"/>
      <c r="E19" s="1">
        <f>SUM(E4:E17)</f>
        <v>0</v>
      </c>
      <c r="F19" s="1"/>
      <c r="G19" s="1">
        <f>SUM(G4:G17)</f>
        <v>0</v>
      </c>
      <c r="H19" s="1">
        <f>SUM(H4:H17)</f>
        <v>0</v>
      </c>
      <c r="I19" s="1">
        <f>SUM(I4:I17)</f>
        <v>0</v>
      </c>
    </row>
    <row r="20" spans="1:9">
      <c r="A20" s="31" t="s">
        <v>430</v>
      </c>
      <c r="B20" s="32"/>
      <c r="C20" s="32"/>
    </row>
    <row r="21" spans="1:9">
      <c r="A21" s="32"/>
      <c r="B21" s="32"/>
      <c r="C21" s="32"/>
    </row>
    <row r="22" spans="1:9">
      <c r="A22" s="32"/>
      <c r="B22" s="32"/>
      <c r="C22" s="32"/>
    </row>
    <row r="23" spans="1:9">
      <c r="A23" s="32"/>
      <c r="B23" s="32"/>
      <c r="C23" s="32"/>
    </row>
    <row r="24" spans="1:9" ht="15">
      <c r="A24" s="30" t="s">
        <v>247</v>
      </c>
      <c r="B24" s="30"/>
      <c r="C24" s="30"/>
      <c r="D24" s="30"/>
      <c r="E24" s="30"/>
      <c r="F24" s="30"/>
      <c r="G24" s="30"/>
      <c r="H24" s="9">
        <f>IF(E19=0,100,MAX(0,100-((I19-E19)/E19*50)))</f>
        <v>100</v>
      </c>
    </row>
  </sheetData>
  <mergeCells count="4">
    <mergeCell ref="A1:J1"/>
    <mergeCell ref="A19:D19"/>
    <mergeCell ref="A24:G24"/>
    <mergeCell ref="A20:C23"/>
  </mergeCells>
  <conditionalFormatting sqref="H24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dataValidations count="2">
    <dataValidation type="list" sqref="C4:D17" xr:uid="{00000000-0002-0000-0700-000000000000}">
      <formula1>"1,2,3,4,5"</formula1>
    </dataValidation>
    <dataValidation type="list" sqref="J4:J17" xr:uid="{00000000-0002-0000-0700-000001000000}">
      <formula1>"Immediate,0–3 months,3–12 months,1–3 years"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5"/>
  <sheetViews>
    <sheetView workbookViewId="0">
      <selection activeCell="D18" sqref="D18"/>
    </sheetView>
  </sheetViews>
  <sheetFormatPr defaultRowHeight="14.25"/>
  <cols>
    <col min="1" max="1" width="34" customWidth="1"/>
    <col min="2" max="3" width="15" customWidth="1"/>
    <col min="4" max="6" width="16" customWidth="1"/>
    <col min="7" max="11" width="18" customWidth="1"/>
    <col min="12" max="12" width="17" customWidth="1"/>
  </cols>
  <sheetData>
    <row r="1" spans="1:12" ht="30" customHeight="1">
      <c r="A1" s="27" t="s">
        <v>248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7"/>
    </row>
    <row r="3" spans="1:12" ht="30">
      <c r="A3" s="3" t="s">
        <v>249</v>
      </c>
      <c r="B3" s="3" t="s">
        <v>250</v>
      </c>
      <c r="C3" s="3" t="s">
        <v>251</v>
      </c>
      <c r="D3" s="3" t="s">
        <v>252</v>
      </c>
      <c r="E3" s="3" t="s">
        <v>253</v>
      </c>
      <c r="F3" s="3" t="s">
        <v>254</v>
      </c>
      <c r="G3" s="3" t="s">
        <v>255</v>
      </c>
      <c r="H3" s="3" t="s">
        <v>256</v>
      </c>
      <c r="I3" s="3" t="s">
        <v>257</v>
      </c>
      <c r="J3" s="3" t="s">
        <v>258</v>
      </c>
      <c r="K3" s="3" t="s">
        <v>259</v>
      </c>
      <c r="L3" s="3" t="s">
        <v>232</v>
      </c>
    </row>
    <row r="4" spans="1:12">
      <c r="A4" s="22" t="s">
        <v>260</v>
      </c>
      <c r="B4" s="17">
        <v>60</v>
      </c>
      <c r="C4" s="17">
        <v>100</v>
      </c>
      <c r="D4" s="17">
        <v>20000</v>
      </c>
      <c r="E4" s="17">
        <v>0</v>
      </c>
      <c r="F4" s="17"/>
      <c r="G4" s="17">
        <f t="shared" ref="G4:G18" si="0">(B4*C4*D4)+(B4*E4)+F4</f>
        <v>120000000</v>
      </c>
      <c r="H4" s="17">
        <v>60000000</v>
      </c>
      <c r="I4" s="17"/>
      <c r="J4" s="17">
        <f t="shared" ref="J4:J18" si="1">H4+I4</f>
        <v>60000000</v>
      </c>
      <c r="K4" s="17">
        <f t="shared" ref="K4:K18" si="2">G4-J4</f>
        <v>60000000</v>
      </c>
      <c r="L4" s="17" t="s">
        <v>364</v>
      </c>
    </row>
    <row r="5" spans="1:12">
      <c r="A5" s="22" t="s">
        <v>261</v>
      </c>
      <c r="B5" s="17">
        <v>250</v>
      </c>
      <c r="C5" s="17">
        <v>10</v>
      </c>
      <c r="D5" s="17">
        <v>50000</v>
      </c>
      <c r="E5" s="17">
        <v>0</v>
      </c>
      <c r="F5" s="17"/>
      <c r="G5" s="17">
        <f t="shared" si="0"/>
        <v>125000000</v>
      </c>
      <c r="H5" s="17">
        <v>50000000</v>
      </c>
      <c r="I5" s="17"/>
      <c r="J5" s="17">
        <f t="shared" si="1"/>
        <v>50000000</v>
      </c>
      <c r="K5" s="17">
        <f t="shared" si="2"/>
        <v>75000000</v>
      </c>
      <c r="L5" s="17" t="s">
        <v>364</v>
      </c>
    </row>
    <row r="6" spans="1:12">
      <c r="A6" s="22" t="s">
        <v>262</v>
      </c>
      <c r="B6" s="17">
        <v>30</v>
      </c>
      <c r="C6" s="17">
        <v>200</v>
      </c>
      <c r="D6" s="17">
        <v>10000</v>
      </c>
      <c r="E6" s="17">
        <v>0</v>
      </c>
      <c r="F6" s="17"/>
      <c r="G6" s="17">
        <f t="shared" si="0"/>
        <v>60000000</v>
      </c>
      <c r="H6" s="17">
        <v>75000000</v>
      </c>
      <c r="I6" s="17"/>
      <c r="J6" s="17">
        <f t="shared" si="1"/>
        <v>75000000</v>
      </c>
      <c r="K6" s="17">
        <f t="shared" si="2"/>
        <v>-15000000</v>
      </c>
      <c r="L6" s="17" t="s">
        <v>352</v>
      </c>
    </row>
    <row r="7" spans="1:12">
      <c r="A7" s="22" t="s">
        <v>263</v>
      </c>
      <c r="B7" s="17">
        <v>48</v>
      </c>
      <c r="C7" s="17">
        <v>30</v>
      </c>
      <c r="D7" s="17">
        <v>10000</v>
      </c>
      <c r="E7" s="17">
        <v>0</v>
      </c>
      <c r="F7" s="17"/>
      <c r="G7" s="17">
        <f t="shared" si="0"/>
        <v>14400000</v>
      </c>
      <c r="H7" s="17">
        <v>0</v>
      </c>
      <c r="I7" s="17"/>
      <c r="J7" s="17">
        <f t="shared" si="1"/>
        <v>0</v>
      </c>
      <c r="K7" s="17">
        <f t="shared" si="2"/>
        <v>14400000</v>
      </c>
      <c r="L7" s="17" t="s">
        <v>352</v>
      </c>
    </row>
    <row r="8" spans="1:12">
      <c r="A8" s="22" t="s">
        <v>264</v>
      </c>
      <c r="B8" s="17">
        <v>10</v>
      </c>
      <c r="C8" s="17">
        <v>20</v>
      </c>
      <c r="D8" s="17">
        <v>20000</v>
      </c>
      <c r="E8" s="17">
        <v>0</v>
      </c>
      <c r="F8" s="17"/>
      <c r="G8" s="17">
        <f t="shared" si="0"/>
        <v>4000000</v>
      </c>
      <c r="H8" s="17">
        <v>0</v>
      </c>
      <c r="I8" s="17"/>
      <c r="J8" s="17">
        <f t="shared" si="1"/>
        <v>0</v>
      </c>
      <c r="K8" s="17">
        <f t="shared" si="2"/>
        <v>4000000</v>
      </c>
      <c r="L8" s="17" t="s">
        <v>434</v>
      </c>
    </row>
    <row r="9" spans="1:12">
      <c r="A9" s="22" t="s">
        <v>265</v>
      </c>
      <c r="B9" s="17">
        <v>10</v>
      </c>
      <c r="C9" s="17">
        <v>30</v>
      </c>
      <c r="D9" s="17">
        <v>20000</v>
      </c>
      <c r="E9" s="17">
        <v>0</v>
      </c>
      <c r="F9" s="17"/>
      <c r="G9" s="17">
        <f t="shared" si="0"/>
        <v>6000000</v>
      </c>
      <c r="H9" s="17">
        <v>0</v>
      </c>
      <c r="I9" s="17"/>
      <c r="J9" s="17">
        <f>H9+I9</f>
        <v>0</v>
      </c>
      <c r="K9" s="17">
        <f t="shared" si="2"/>
        <v>6000000</v>
      </c>
      <c r="L9" s="17" t="s">
        <v>434</v>
      </c>
    </row>
    <row r="10" spans="1:12">
      <c r="A10" s="22" t="s">
        <v>266</v>
      </c>
      <c r="B10" s="17">
        <v>20</v>
      </c>
      <c r="C10" s="17">
        <v>20</v>
      </c>
      <c r="D10" s="17">
        <v>20000</v>
      </c>
      <c r="E10" s="17"/>
      <c r="F10" s="17"/>
      <c r="G10" s="17">
        <f t="shared" si="0"/>
        <v>8000000</v>
      </c>
      <c r="H10" s="17">
        <v>4000000</v>
      </c>
      <c r="I10" s="17"/>
      <c r="J10" s="17">
        <f t="shared" si="1"/>
        <v>4000000</v>
      </c>
      <c r="K10" s="17">
        <f t="shared" si="2"/>
        <v>4000000</v>
      </c>
      <c r="L10" s="17" t="s">
        <v>364</v>
      </c>
    </row>
    <row r="11" spans="1:12">
      <c r="A11" s="22" t="s">
        <v>267</v>
      </c>
      <c r="B11" s="17">
        <v>20</v>
      </c>
      <c r="C11" s="17">
        <v>20</v>
      </c>
      <c r="D11" s="17">
        <v>50000</v>
      </c>
      <c r="E11" s="17"/>
      <c r="F11" s="17"/>
      <c r="G11" s="17">
        <f t="shared" si="0"/>
        <v>20000000</v>
      </c>
      <c r="H11" s="17">
        <v>4000000</v>
      </c>
      <c r="I11" s="17"/>
      <c r="J11" s="17">
        <f t="shared" si="1"/>
        <v>4000000</v>
      </c>
      <c r="K11" s="17">
        <f t="shared" si="2"/>
        <v>16000000</v>
      </c>
      <c r="L11" s="17" t="s">
        <v>434</v>
      </c>
    </row>
    <row r="12" spans="1:12">
      <c r="A12" s="22" t="s">
        <v>268</v>
      </c>
      <c r="B12" s="17"/>
      <c r="C12" s="17"/>
      <c r="D12" s="17"/>
      <c r="E12" s="17"/>
      <c r="F12" s="17">
        <v>500000</v>
      </c>
      <c r="G12" s="17">
        <f t="shared" si="0"/>
        <v>500000</v>
      </c>
      <c r="H12" s="17"/>
      <c r="I12" s="17"/>
      <c r="J12" s="17">
        <f t="shared" si="1"/>
        <v>0</v>
      </c>
      <c r="K12" s="17">
        <f t="shared" si="2"/>
        <v>500000</v>
      </c>
      <c r="L12" s="17" t="s">
        <v>364</v>
      </c>
    </row>
    <row r="13" spans="1:12">
      <c r="A13" s="22" t="s">
        <v>269</v>
      </c>
      <c r="B13" s="17">
        <v>4</v>
      </c>
      <c r="C13" s="17"/>
      <c r="D13" s="17"/>
      <c r="E13" s="17"/>
      <c r="F13" s="17">
        <v>10000000</v>
      </c>
      <c r="G13" s="17">
        <f t="shared" si="0"/>
        <v>10000000</v>
      </c>
      <c r="H13" s="17"/>
      <c r="I13" s="17"/>
      <c r="J13" s="17">
        <f t="shared" si="1"/>
        <v>0</v>
      </c>
      <c r="K13" s="17">
        <f t="shared" si="2"/>
        <v>10000000</v>
      </c>
      <c r="L13" s="17" t="s">
        <v>435</v>
      </c>
    </row>
    <row r="14" spans="1:12">
      <c r="A14" s="22" t="s">
        <v>270</v>
      </c>
      <c r="B14" s="17">
        <v>1</v>
      </c>
      <c r="C14" s="17"/>
      <c r="D14" s="17"/>
      <c r="E14" s="17"/>
      <c r="F14" s="17">
        <v>10000000</v>
      </c>
      <c r="G14" s="17">
        <f>(B14*C14*D14)+(B14*E14)+F14</f>
        <v>10000000</v>
      </c>
      <c r="H14" s="17"/>
      <c r="I14" s="17"/>
      <c r="J14" s="17">
        <f t="shared" si="1"/>
        <v>0</v>
      </c>
      <c r="K14" s="17">
        <f t="shared" si="2"/>
        <v>10000000</v>
      </c>
      <c r="L14" s="17" t="s">
        <v>435</v>
      </c>
    </row>
    <row r="15" spans="1:12">
      <c r="A15" s="22" t="s">
        <v>271</v>
      </c>
      <c r="B15" s="17">
        <v>10</v>
      </c>
      <c r="C15" s="17"/>
      <c r="D15" s="17"/>
      <c r="E15" s="17"/>
      <c r="F15" s="17">
        <v>2500000</v>
      </c>
      <c r="G15" s="17">
        <f>(B15*C15*D15)+(B15*E15)+F15</f>
        <v>2500000</v>
      </c>
      <c r="H15" s="17"/>
      <c r="I15" s="17"/>
      <c r="J15" s="17">
        <f t="shared" si="1"/>
        <v>0</v>
      </c>
      <c r="K15" s="17">
        <f>G15-J15</f>
        <v>2500000</v>
      </c>
      <c r="L15" s="17" t="s">
        <v>435</v>
      </c>
    </row>
    <row r="16" spans="1:12">
      <c r="A16" s="22" t="s">
        <v>272</v>
      </c>
      <c r="B16" s="17">
        <v>12</v>
      </c>
      <c r="C16" s="17"/>
      <c r="D16" s="17"/>
      <c r="F16" s="17">
        <v>5000000</v>
      </c>
      <c r="G16" s="17">
        <f>(B16*C16*D16)+(B16*E16)+F16</f>
        <v>5000000</v>
      </c>
      <c r="H16" s="17"/>
      <c r="I16" s="17"/>
      <c r="J16" s="17">
        <f t="shared" si="1"/>
        <v>0</v>
      </c>
      <c r="K16" s="17">
        <f>G16-J16</f>
        <v>5000000</v>
      </c>
      <c r="L16" s="17" t="s">
        <v>435</v>
      </c>
    </row>
    <row r="17" spans="1:12">
      <c r="A17" s="22" t="s">
        <v>273</v>
      </c>
      <c r="B17" s="17">
        <v>1</v>
      </c>
      <c r="C17" s="17"/>
      <c r="D17" s="17"/>
      <c r="E17" s="17"/>
      <c r="F17" s="17">
        <v>100000000</v>
      </c>
      <c r="G17" s="17">
        <f t="shared" si="0"/>
        <v>100000000</v>
      </c>
      <c r="H17" s="17"/>
      <c r="I17" s="17"/>
      <c r="J17" s="17">
        <f t="shared" si="1"/>
        <v>0</v>
      </c>
      <c r="K17" s="17">
        <f t="shared" si="2"/>
        <v>100000000</v>
      </c>
      <c r="L17" s="17" t="s">
        <v>435</v>
      </c>
    </row>
    <row r="18" spans="1:12">
      <c r="A18" s="22" t="s">
        <v>274</v>
      </c>
      <c r="B18" s="17">
        <v>1</v>
      </c>
      <c r="C18" s="17"/>
      <c r="D18" s="17"/>
      <c r="E18" s="17"/>
      <c r="F18" s="17">
        <v>450000000</v>
      </c>
      <c r="G18" s="17">
        <f t="shared" si="0"/>
        <v>450000000</v>
      </c>
      <c r="H18" s="17">
        <v>450000000</v>
      </c>
      <c r="I18" s="17"/>
      <c r="J18" s="17">
        <f t="shared" si="1"/>
        <v>450000000</v>
      </c>
      <c r="K18" s="17">
        <f t="shared" si="2"/>
        <v>0</v>
      </c>
      <c r="L18" s="17" t="s">
        <v>352</v>
      </c>
    </row>
    <row r="19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ht="15">
      <c r="A20" s="38" t="s">
        <v>275</v>
      </c>
      <c r="B20" s="38"/>
      <c r="C20" s="38"/>
      <c r="D20" s="38"/>
      <c r="E20" s="38"/>
      <c r="F20" s="38"/>
      <c r="G20" s="21">
        <f>SUM(G4:G18)</f>
        <v>935400000</v>
      </c>
      <c r="H20" s="21"/>
      <c r="I20" s="21"/>
      <c r="J20" s="21">
        <f>SUM(J4:J18)</f>
        <v>643000000</v>
      </c>
      <c r="K20" s="21">
        <f>SUM(K4:K18)</f>
        <v>292400000</v>
      </c>
      <c r="L20" s="17"/>
    </row>
    <row r="21" spans="1:12">
      <c r="F21" t="s">
        <v>433</v>
      </c>
    </row>
    <row r="22" spans="1:12">
      <c r="A22" s="39" t="s">
        <v>431</v>
      </c>
      <c r="B22" s="36"/>
      <c r="C22" s="36"/>
      <c r="F22" t="s">
        <v>432</v>
      </c>
    </row>
    <row r="23" spans="1:12">
      <c r="A23" s="36"/>
      <c r="B23" s="36"/>
      <c r="C23" s="36"/>
    </row>
    <row r="24" spans="1:12">
      <c r="A24" s="36"/>
      <c r="B24" s="36"/>
      <c r="C24" s="36"/>
    </row>
    <row r="25" spans="1:12">
      <c r="A25" s="36"/>
      <c r="B25" s="36"/>
      <c r="C25" s="36"/>
      <c r="F25">
        <f>200000*250</f>
        <v>50000000</v>
      </c>
    </row>
  </sheetData>
  <mergeCells count="3">
    <mergeCell ref="A1:L1"/>
    <mergeCell ref="A20:F20"/>
    <mergeCell ref="A22:C25"/>
  </mergeCells>
  <conditionalFormatting sqref="K20">
    <cfRule type="expression" dxfId="1" priority="1">
      <formula>K20&lt;0</formula>
    </cfRule>
    <cfRule type="expression" dxfId="0" priority="2">
      <formula>K20&gt;=0</formula>
    </cfRule>
  </conditionalFormatting>
  <dataValidations count="1">
    <dataValidation type="list" sqref="L4:L18" xr:uid="{00000000-0002-0000-0800-000000000000}">
      <formula1>"Immediate,0–3 months,3–6 months,6–18 months,Long-term"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"/>
  <sheetViews>
    <sheetView workbookViewId="0">
      <selection sqref="A1:F1"/>
    </sheetView>
  </sheetViews>
  <sheetFormatPr defaultRowHeight="14.25"/>
  <cols>
    <col min="1" max="1" width="40" customWidth="1"/>
    <col min="2" max="2" width="14" customWidth="1"/>
    <col min="3" max="4" width="34" customWidth="1"/>
    <col min="5" max="5" width="13" customWidth="1"/>
    <col min="6" max="6" width="30" customWidth="1"/>
  </cols>
  <sheetData>
    <row r="1" spans="1:6" ht="30" customHeight="1">
      <c r="A1" s="27" t="s">
        <v>276</v>
      </c>
      <c r="B1" s="27"/>
      <c r="C1" s="27"/>
      <c r="D1" s="27"/>
      <c r="E1" s="27"/>
      <c r="F1" s="27"/>
    </row>
    <row r="3" spans="1:6" ht="15">
      <c r="A3" s="3" t="s">
        <v>149</v>
      </c>
      <c r="B3" s="3" t="s">
        <v>150</v>
      </c>
      <c r="C3" s="3" t="s">
        <v>277</v>
      </c>
      <c r="D3" s="3" t="s">
        <v>278</v>
      </c>
      <c r="E3" s="3" t="s">
        <v>232</v>
      </c>
      <c r="F3" s="3" t="s">
        <v>279</v>
      </c>
    </row>
    <row r="4" spans="1:6">
      <c r="A4" t="s">
        <v>280</v>
      </c>
    </row>
    <row r="5" spans="1:6">
      <c r="A5" t="s">
        <v>281</v>
      </c>
    </row>
    <row r="6" spans="1:6">
      <c r="A6" t="s">
        <v>282</v>
      </c>
    </row>
    <row r="7" spans="1:6">
      <c r="A7" t="s">
        <v>283</v>
      </c>
    </row>
    <row r="8" spans="1:6">
      <c r="A8" t="s">
        <v>284</v>
      </c>
    </row>
    <row r="9" spans="1:6">
      <c r="A9" t="s">
        <v>285</v>
      </c>
    </row>
    <row r="10" spans="1:6">
      <c r="A10" t="s">
        <v>286</v>
      </c>
    </row>
    <row r="11" spans="1:6">
      <c r="A11" t="s">
        <v>287</v>
      </c>
    </row>
    <row r="12" spans="1:6">
      <c r="A12" t="s">
        <v>269</v>
      </c>
    </row>
    <row r="13" spans="1:6">
      <c r="A13" t="s">
        <v>288</v>
      </c>
    </row>
    <row r="14" spans="1:6">
      <c r="A14" t="s">
        <v>289</v>
      </c>
    </row>
    <row r="15" spans="1:6">
      <c r="A15" t="s">
        <v>290</v>
      </c>
    </row>
    <row r="16" spans="1:6">
      <c r="A16" t="s">
        <v>291</v>
      </c>
    </row>
    <row r="17" spans="1:2">
      <c r="A17" t="s">
        <v>292</v>
      </c>
    </row>
    <row r="18" spans="1:2">
      <c r="A18" t="s">
        <v>293</v>
      </c>
    </row>
    <row r="20" spans="1:2" ht="15">
      <c r="A20" s="1" t="s">
        <v>294</v>
      </c>
      <c r="B20" s="9" t="str">
        <f>IF(COUNT(B4:B18)=0,"",AVERAGE(B4:B18)/5*100)</f>
        <v/>
      </c>
    </row>
  </sheetData>
  <mergeCells count="1">
    <mergeCell ref="A1:F1"/>
  </mergeCells>
  <conditionalFormatting sqref="B20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dataValidations count="2">
    <dataValidation type="list" sqref="B4:B18" xr:uid="{00000000-0002-0000-0900-000000000000}">
      <formula1>"1,2,3,4,5"</formula1>
    </dataValidation>
    <dataValidation type="list" sqref="E4:E18" xr:uid="{00000000-0002-0000-0900-000001000000}">
      <formula1>"High,Medium,Low"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6"/>
  <sheetViews>
    <sheetView workbookViewId="0">
      <selection activeCell="F6" sqref="F6"/>
    </sheetView>
  </sheetViews>
  <sheetFormatPr defaultRowHeight="14.25"/>
  <cols>
    <col min="1" max="1" width="34" customWidth="1"/>
    <col min="2" max="4" width="20" customWidth="1"/>
    <col min="5" max="8" width="16" customWidth="1"/>
  </cols>
  <sheetData>
    <row r="1" spans="1:8" ht="30" customHeight="1">
      <c r="A1" s="27" t="s">
        <v>295</v>
      </c>
      <c r="B1" s="27"/>
      <c r="C1" s="27"/>
      <c r="D1" s="27"/>
      <c r="E1" s="27"/>
      <c r="F1" s="27"/>
      <c r="G1" s="27"/>
      <c r="H1" s="27"/>
    </row>
    <row r="3" spans="1:8" ht="30">
      <c r="A3" s="3" t="s">
        <v>296</v>
      </c>
      <c r="B3" s="3" t="s">
        <v>297</v>
      </c>
      <c r="C3" s="3" t="s">
        <v>298</v>
      </c>
      <c r="D3" s="3" t="s">
        <v>299</v>
      </c>
    </row>
    <row r="4" spans="1:8">
      <c r="A4" t="s">
        <v>300</v>
      </c>
      <c r="B4">
        <v>15</v>
      </c>
      <c r="C4" s="10">
        <f>'3_Pool Assets'!H29</f>
        <v>65.44</v>
      </c>
      <c r="D4" s="10">
        <f t="shared" ref="D4:D11" si="0">B4*C4/100</f>
        <v>9.8159999999999989</v>
      </c>
    </row>
    <row r="5" spans="1:8">
      <c r="A5" t="s">
        <v>301</v>
      </c>
      <c r="B5">
        <v>15</v>
      </c>
      <c r="C5" s="10">
        <f>'4_Plant Room'!I27</f>
        <v>24</v>
      </c>
      <c r="D5" s="10">
        <f t="shared" si="0"/>
        <v>3.6</v>
      </c>
    </row>
    <row r="6" spans="1:8">
      <c r="A6" t="s">
        <v>302</v>
      </c>
      <c r="B6">
        <v>10</v>
      </c>
      <c r="C6" s="10" t="str">
        <f>'5_Water Quality'!N41</f>
        <v/>
      </c>
      <c r="D6" s="10" t="e">
        <f t="shared" si="0"/>
        <v>#VALUE!</v>
      </c>
    </row>
    <row r="7" spans="1:8">
      <c r="A7" t="s">
        <v>303</v>
      </c>
      <c r="B7">
        <v>10</v>
      </c>
      <c r="C7" s="10">
        <f>'6_Operations'!B23</f>
        <v>20</v>
      </c>
      <c r="D7" s="10">
        <f t="shared" si="0"/>
        <v>2</v>
      </c>
    </row>
    <row r="8" spans="1:8">
      <c r="A8" t="s">
        <v>304</v>
      </c>
      <c r="B8">
        <v>15</v>
      </c>
      <c r="C8" s="10">
        <f>'7_Monthly Use Finance'!E26</f>
        <v>0</v>
      </c>
      <c r="D8" s="10">
        <f t="shared" si="0"/>
        <v>0</v>
      </c>
    </row>
    <row r="9" spans="1:8">
      <c r="A9" t="s">
        <v>305</v>
      </c>
      <c r="B9">
        <v>20</v>
      </c>
      <c r="C9" s="10">
        <f>'7_Monthly Use Finance'!E27</f>
        <v>0</v>
      </c>
      <c r="D9" s="10">
        <f t="shared" si="0"/>
        <v>0</v>
      </c>
    </row>
    <row r="10" spans="1:8">
      <c r="A10" t="s">
        <v>306</v>
      </c>
      <c r="B10">
        <v>10</v>
      </c>
      <c r="C10" s="10" t="str">
        <f>'10_Community Value'!B20</f>
        <v/>
      </c>
      <c r="D10" s="10" t="e">
        <f t="shared" si="0"/>
        <v>#VALUE!</v>
      </c>
    </row>
    <row r="11" spans="1:8">
      <c r="A11" t="s">
        <v>307</v>
      </c>
      <c r="B11">
        <v>5</v>
      </c>
      <c r="C11" s="10">
        <f>'8_Deferred Maintenance'!H24</f>
        <v>100</v>
      </c>
      <c r="D11" s="10">
        <f t="shared" si="0"/>
        <v>5</v>
      </c>
    </row>
    <row r="12" spans="1:8" ht="16.5">
      <c r="A12" s="40" t="s">
        <v>308</v>
      </c>
      <c r="B12" s="40"/>
      <c r="C12" s="41"/>
      <c r="D12" s="13" t="e">
        <f>SUM(D4:D11)</f>
        <v>#VALUE!</v>
      </c>
    </row>
    <row r="14" spans="1:8" ht="15">
      <c r="A14" s="3" t="s">
        <v>309</v>
      </c>
      <c r="B14" s="3" t="s">
        <v>310</v>
      </c>
      <c r="D14" s="42" t="s">
        <v>311</v>
      </c>
      <c r="E14" s="42"/>
      <c r="F14" s="42"/>
      <c r="G14" s="42"/>
      <c r="H14" s="42"/>
    </row>
    <row r="15" spans="1:8">
      <c r="A15" t="s">
        <v>312</v>
      </c>
      <c r="B15" t="s">
        <v>313</v>
      </c>
      <c r="D15" s="43" t="e">
        <f>IF(D12="","Enter assessment data",IF(D12&gt;=80,"Strongly viable – protect asset and expand programming",IF(D12&gt;=65,"Viable with targeted operational and business improvements",IF(D12&gt;=50,"Conditional viability – intervention required",IF(D12&gt;=35,"Major restructuring and funding decision required","Critical – immediate recovery and strategic review")))))</f>
        <v>#VALUE!</v>
      </c>
      <c r="E15" s="43"/>
      <c r="F15" s="43"/>
      <c r="G15" s="43"/>
      <c r="H15" s="43"/>
    </row>
    <row r="16" spans="1:8">
      <c r="A16" t="s">
        <v>314</v>
      </c>
      <c r="B16" t="s">
        <v>315</v>
      </c>
      <c r="D16" s="43"/>
      <c r="E16" s="43"/>
      <c r="F16" s="43"/>
      <c r="G16" s="43"/>
      <c r="H16" s="43"/>
    </row>
    <row r="17" spans="1:8">
      <c r="A17" t="s">
        <v>316</v>
      </c>
      <c r="B17" t="s">
        <v>317</v>
      </c>
      <c r="D17" s="43"/>
      <c r="E17" s="43"/>
      <c r="F17" s="43"/>
      <c r="G17" s="43"/>
      <c r="H17" s="43"/>
    </row>
    <row r="18" spans="1:8">
      <c r="A18" t="s">
        <v>318</v>
      </c>
      <c r="B18" t="s">
        <v>319</v>
      </c>
      <c r="D18" s="43"/>
      <c r="E18" s="43"/>
      <c r="F18" s="43"/>
      <c r="G18" s="43"/>
      <c r="H18" s="43"/>
    </row>
    <row r="19" spans="1:8">
      <c r="A19" t="s">
        <v>320</v>
      </c>
      <c r="B19" t="s">
        <v>321</v>
      </c>
    </row>
    <row r="22" spans="1:8" ht="15">
      <c r="A22" s="3" t="s">
        <v>322</v>
      </c>
      <c r="B22" s="3" t="s">
        <v>203</v>
      </c>
      <c r="C22" s="3" t="s">
        <v>323</v>
      </c>
      <c r="D22" s="3" t="s">
        <v>203</v>
      </c>
    </row>
    <row r="23" spans="1:8">
      <c r="A23" t="s">
        <v>204</v>
      </c>
      <c r="B23" s="11">
        <f>'7_Monthly Use Finance'!B20</f>
        <v>0</v>
      </c>
      <c r="C23" t="s">
        <v>201</v>
      </c>
      <c r="D23" s="11">
        <f>'7_Monthly Use Finance'!B19</f>
        <v>0</v>
      </c>
    </row>
    <row r="24" spans="1:8">
      <c r="A24" t="s">
        <v>210</v>
      </c>
      <c r="B24" s="11">
        <f>'7_Monthly Use Finance'!B23</f>
        <v>0</v>
      </c>
      <c r="C24" t="s">
        <v>324</v>
      </c>
      <c r="D24" s="11" t="str">
        <f>'5_Water Quality'!N41</f>
        <v/>
      </c>
    </row>
    <row r="25" spans="1:8">
      <c r="A25" t="s">
        <v>325</v>
      </c>
      <c r="B25" s="11">
        <f>'7_Monthly Use Finance'!B25</f>
        <v>0</v>
      </c>
      <c r="C25" t="s">
        <v>326</v>
      </c>
      <c r="D25" s="11">
        <f>'8_Deferred Maintenance'!E19</f>
        <v>0</v>
      </c>
    </row>
    <row r="26" spans="1:8">
      <c r="A26" t="s">
        <v>199</v>
      </c>
      <c r="B26" s="11">
        <f>'7_Monthly Use Finance'!B24</f>
        <v>0</v>
      </c>
      <c r="C26" t="s">
        <v>327</v>
      </c>
      <c r="D26" s="11">
        <f>'8_Deferred Maintenance'!I19</f>
        <v>0</v>
      </c>
    </row>
  </sheetData>
  <mergeCells count="4">
    <mergeCell ref="A1:H1"/>
    <mergeCell ref="A12:C12"/>
    <mergeCell ref="D14:H14"/>
    <mergeCell ref="D15:H18"/>
  </mergeCells>
  <conditionalFormatting sqref="C4:D12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workbookViewId="0">
      <selection sqref="A1:I1"/>
    </sheetView>
  </sheetViews>
  <sheetFormatPr defaultRowHeight="14.25"/>
  <cols>
    <col min="1" max="1" width="9" customWidth="1"/>
    <col min="2" max="2" width="30" customWidth="1"/>
    <col min="3" max="3" width="44" customWidth="1"/>
    <col min="4" max="4" width="23" customWidth="1"/>
    <col min="5" max="5" width="27" customWidth="1"/>
    <col min="6" max="8" width="16" customWidth="1"/>
    <col min="9" max="9" width="34" customWidth="1"/>
  </cols>
  <sheetData>
    <row r="1" spans="1:9" ht="30" customHeight="1">
      <c r="A1" s="27" t="s">
        <v>328</v>
      </c>
      <c r="B1" s="27"/>
      <c r="C1" s="27"/>
      <c r="D1" s="27"/>
      <c r="E1" s="27"/>
      <c r="F1" s="27"/>
      <c r="G1" s="27"/>
      <c r="H1" s="27"/>
      <c r="I1" s="27"/>
    </row>
    <row r="3" spans="1:9" ht="30">
      <c r="A3" s="3" t="s">
        <v>232</v>
      </c>
      <c r="B3" s="3" t="s">
        <v>329</v>
      </c>
      <c r="C3" s="3" t="s">
        <v>330</v>
      </c>
      <c r="D3" s="3" t="s">
        <v>226</v>
      </c>
      <c r="E3" s="3" t="s">
        <v>331</v>
      </c>
      <c r="F3" s="3" t="s">
        <v>332</v>
      </c>
      <c r="G3" s="3" t="s">
        <v>333</v>
      </c>
      <c r="H3" s="3" t="s">
        <v>334</v>
      </c>
      <c r="I3" s="3" t="s">
        <v>335</v>
      </c>
    </row>
    <row r="4" spans="1:9">
      <c r="A4" t="s">
        <v>336</v>
      </c>
      <c r="B4" t="s">
        <v>337</v>
      </c>
      <c r="C4" t="s">
        <v>338</v>
      </c>
      <c r="D4" t="s">
        <v>339</v>
      </c>
      <c r="G4" t="s">
        <v>340</v>
      </c>
    </row>
    <row r="5" spans="1:9">
      <c r="A5" t="s">
        <v>341</v>
      </c>
      <c r="B5" t="s">
        <v>342</v>
      </c>
      <c r="C5" t="s">
        <v>343</v>
      </c>
      <c r="D5" t="s">
        <v>344</v>
      </c>
      <c r="G5" t="s">
        <v>340</v>
      </c>
    </row>
    <row r="6" spans="1:9">
      <c r="A6" t="s">
        <v>345</v>
      </c>
      <c r="B6" t="s">
        <v>346</v>
      </c>
      <c r="C6" t="s">
        <v>347</v>
      </c>
      <c r="D6" t="s">
        <v>348</v>
      </c>
      <c r="G6" t="s">
        <v>340</v>
      </c>
    </row>
    <row r="7" spans="1:9">
      <c r="A7" t="s">
        <v>349</v>
      </c>
      <c r="B7" t="s">
        <v>350</v>
      </c>
      <c r="C7" t="s">
        <v>351</v>
      </c>
      <c r="D7" t="s">
        <v>348</v>
      </c>
      <c r="G7" t="s">
        <v>352</v>
      </c>
    </row>
    <row r="8" spans="1:9">
      <c r="A8" t="s">
        <v>353</v>
      </c>
      <c r="B8" t="s">
        <v>354</v>
      </c>
      <c r="C8" t="s">
        <v>355</v>
      </c>
      <c r="D8" t="s">
        <v>356</v>
      </c>
      <c r="G8" t="s">
        <v>352</v>
      </c>
    </row>
    <row r="9" spans="1:9">
      <c r="A9" t="s">
        <v>357</v>
      </c>
      <c r="B9" t="s">
        <v>358</v>
      </c>
      <c r="C9" t="s">
        <v>359</v>
      </c>
      <c r="D9" t="s">
        <v>360</v>
      </c>
      <c r="G9" t="s">
        <v>352</v>
      </c>
    </row>
    <row r="10" spans="1:9">
      <c r="A10" t="s">
        <v>361</v>
      </c>
      <c r="B10" t="s">
        <v>362</v>
      </c>
      <c r="C10" t="s">
        <v>363</v>
      </c>
      <c r="D10" t="s">
        <v>360</v>
      </c>
      <c r="G10" t="s">
        <v>364</v>
      </c>
    </row>
    <row r="11" spans="1:9">
      <c r="A11" t="s">
        <v>365</v>
      </c>
      <c r="B11" t="s">
        <v>366</v>
      </c>
      <c r="C11" t="s">
        <v>367</v>
      </c>
      <c r="D11" t="s">
        <v>348</v>
      </c>
      <c r="G11" t="s">
        <v>364</v>
      </c>
    </row>
    <row r="12" spans="1:9">
      <c r="A12" t="s">
        <v>368</v>
      </c>
      <c r="B12" t="s">
        <v>369</v>
      </c>
      <c r="C12" t="s">
        <v>370</v>
      </c>
      <c r="D12" t="s">
        <v>348</v>
      </c>
      <c r="G12" t="s">
        <v>371</v>
      </c>
    </row>
    <row r="13" spans="1:9">
      <c r="A13" t="s">
        <v>372</v>
      </c>
      <c r="B13" t="s">
        <v>373</v>
      </c>
      <c r="C13" t="s">
        <v>374</v>
      </c>
      <c r="D13" t="s">
        <v>375</v>
      </c>
      <c r="G13" t="s">
        <v>371</v>
      </c>
    </row>
  </sheetData>
  <mergeCells count="1">
    <mergeCell ref="A1:I1"/>
  </mergeCells>
  <dataValidations count="1">
    <dataValidation type="list" sqref="H4:H40" xr:uid="{00000000-0002-0000-0B00-000000000000}">
      <formula1>"Not Started,In Progress,Completed,Deferred"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1_Home</vt:lpstr>
      <vt:lpstr>13_Instructions</vt:lpstr>
      <vt:lpstr>2_Facility Profile</vt:lpstr>
      <vt:lpstr>3_Pool Assets</vt:lpstr>
      <vt:lpstr>4_Plant Room</vt:lpstr>
      <vt:lpstr>5_Water Quality</vt:lpstr>
      <vt:lpstr>6_Operations</vt:lpstr>
      <vt:lpstr>7_Monthly Use Finance</vt:lpstr>
      <vt:lpstr>8_Deferred Maintenance</vt:lpstr>
      <vt:lpstr>9_Activation Planner</vt:lpstr>
      <vt:lpstr>10_Community Value</vt:lpstr>
      <vt:lpstr>11_Dashboard</vt:lpstr>
      <vt:lpstr>12_Action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2026-07-16T14:34:45Z</dcterms:created>
  <dcterms:modified xsi:type="dcterms:W3CDTF">2026-07-23T02:06:32Z</dcterms:modified>
</cp:coreProperties>
</file>