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My Projects\Excel Draw Sheets\Finalised Draws\"/>
    </mc:Choice>
  </mc:AlternateContent>
  <xr:revisionPtr revIDLastSave="0" documentId="13_ncr:1_{BD6643D4-50AB-40D5-86E1-0C21D3D9017E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Guide" sheetId="1" r:id="rId1"/>
    <sheet name="Setup" sheetId="2" r:id="rId2"/>
    <sheet name="Teams" sheetId="3" r:id="rId3"/>
    <sheet name="Knockout Draw" sheetId="4" r:id="rId4"/>
    <sheet name="Summary" sheetId="5" r:id="rId5"/>
    <sheet name="Knockout Progres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6" l="1"/>
  <c r="C67" i="6"/>
  <c r="H66" i="6"/>
  <c r="H65" i="6"/>
  <c r="C64" i="6"/>
  <c r="C63" i="6"/>
  <c r="M62" i="6"/>
  <c r="M61" i="6"/>
  <c r="C60" i="6"/>
  <c r="C59" i="6"/>
  <c r="H58" i="6"/>
  <c r="H57" i="6"/>
  <c r="C56" i="6"/>
  <c r="C55" i="6"/>
  <c r="R54" i="6"/>
  <c r="R53" i="6"/>
  <c r="C52" i="6"/>
  <c r="C51" i="6"/>
  <c r="H50" i="6"/>
  <c r="H49" i="6"/>
  <c r="C48" i="6"/>
  <c r="C47" i="6"/>
  <c r="M46" i="6"/>
  <c r="M45" i="6"/>
  <c r="C44" i="6"/>
  <c r="C43" i="6"/>
  <c r="H42" i="6"/>
  <c r="H41" i="6"/>
  <c r="C40" i="6"/>
  <c r="C39" i="6"/>
  <c r="W38" i="6"/>
  <c r="W37" i="6"/>
  <c r="C36" i="6"/>
  <c r="C35" i="6"/>
  <c r="H34" i="6"/>
  <c r="H33" i="6"/>
  <c r="C32" i="6"/>
  <c r="AB31" i="6"/>
  <c r="C31" i="6"/>
  <c r="M30" i="6"/>
  <c r="M29" i="6"/>
  <c r="C28" i="6"/>
  <c r="C27" i="6"/>
  <c r="H26" i="6"/>
  <c r="H25" i="6"/>
  <c r="C24" i="6"/>
  <c r="C23" i="6"/>
  <c r="R22" i="6"/>
  <c r="R21" i="6"/>
  <c r="C20" i="6"/>
  <c r="C19" i="6"/>
  <c r="H18" i="6"/>
  <c r="H17" i="6"/>
  <c r="C16" i="6"/>
  <c r="C15" i="6"/>
  <c r="M14" i="6"/>
  <c r="M13" i="6"/>
  <c r="C12" i="6"/>
  <c r="C11" i="6"/>
  <c r="H10" i="6"/>
  <c r="H9" i="6"/>
  <c r="C8" i="6"/>
  <c r="C7" i="6"/>
  <c r="B5" i="5"/>
  <c r="B4" i="5"/>
  <c r="E21" i="4"/>
  <c r="B68" i="6" s="1"/>
  <c r="C21" i="4"/>
  <c r="B67" i="6" s="1"/>
  <c r="E20" i="4"/>
  <c r="B64" i="6" s="1"/>
  <c r="C20" i="4"/>
  <c r="B63" i="6" s="1"/>
  <c r="E19" i="4"/>
  <c r="B60" i="6" s="1"/>
  <c r="C19" i="4"/>
  <c r="B59" i="6" s="1"/>
  <c r="E18" i="4"/>
  <c r="B56" i="6" s="1"/>
  <c r="C18" i="4"/>
  <c r="B55" i="6" s="1"/>
  <c r="E17" i="4"/>
  <c r="B52" i="6" s="1"/>
  <c r="C17" i="4"/>
  <c r="B51" i="6" s="1"/>
  <c r="E16" i="4"/>
  <c r="B48" i="6" s="1"/>
  <c r="C16" i="4"/>
  <c r="B47" i="6" s="1"/>
  <c r="E15" i="4"/>
  <c r="B44" i="6" s="1"/>
  <c r="C15" i="4"/>
  <c r="B43" i="6" s="1"/>
  <c r="E14" i="4"/>
  <c r="B40" i="6" s="1"/>
  <c r="C14" i="4"/>
  <c r="B39" i="6" s="1"/>
  <c r="E13" i="4"/>
  <c r="B36" i="6" s="1"/>
  <c r="C13" i="4"/>
  <c r="B35" i="6" s="1"/>
  <c r="E12" i="4"/>
  <c r="B32" i="6" s="1"/>
  <c r="C12" i="4"/>
  <c r="B31" i="6" s="1"/>
  <c r="E11" i="4"/>
  <c r="B28" i="6" s="1"/>
  <c r="C11" i="4"/>
  <c r="B27" i="6" s="1"/>
  <c r="E10" i="4"/>
  <c r="B24" i="6" s="1"/>
  <c r="C10" i="4"/>
  <c r="B23" i="6" s="1"/>
  <c r="E9" i="4"/>
  <c r="B20" i="6" s="1"/>
  <c r="C9" i="4"/>
  <c r="B19" i="6" s="1"/>
  <c r="E8" i="4"/>
  <c r="B16" i="6" s="1"/>
  <c r="C8" i="4"/>
  <c r="E7" i="4"/>
  <c r="B12" i="6" s="1"/>
  <c r="C7" i="4"/>
  <c r="E6" i="4"/>
  <c r="B8" i="6" s="1"/>
  <c r="C6" i="4"/>
  <c r="B9" i="2"/>
  <c r="B7" i="5" s="1"/>
  <c r="B8" i="2"/>
  <c r="B6" i="5" s="1"/>
  <c r="H7" i="4" l="1"/>
  <c r="H6" i="4"/>
  <c r="I6" i="4" s="1"/>
  <c r="H8" i="4"/>
  <c r="I8" i="4" s="1"/>
  <c r="D11" i="6"/>
  <c r="I7" i="4"/>
  <c r="E25" i="4"/>
  <c r="G10" i="6" s="1"/>
  <c r="D12" i="6"/>
  <c r="D16" i="6"/>
  <c r="B7" i="6"/>
  <c r="B11" i="6"/>
  <c r="B15" i="6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D7" i="6" l="1"/>
  <c r="C25" i="4"/>
  <c r="G9" i="6" s="1"/>
  <c r="D8" i="6"/>
  <c r="C26" i="4"/>
  <c r="D15" i="6"/>
  <c r="D44" i="6"/>
  <c r="I15" i="4"/>
  <c r="E29" i="4"/>
  <c r="G42" i="6" s="1"/>
  <c r="D43" i="6"/>
  <c r="D28" i="6"/>
  <c r="I11" i="4"/>
  <c r="E27" i="4"/>
  <c r="G26" i="6" s="1"/>
  <c r="D27" i="6"/>
  <c r="D48" i="6"/>
  <c r="I16" i="4"/>
  <c r="D47" i="6"/>
  <c r="C30" i="4"/>
  <c r="D40" i="6"/>
  <c r="I14" i="4"/>
  <c r="D39" i="6"/>
  <c r="C29" i="4"/>
  <c r="D64" i="6"/>
  <c r="I20" i="4"/>
  <c r="D63" i="6"/>
  <c r="C32" i="4"/>
  <c r="I12" i="4"/>
  <c r="D32" i="6"/>
  <c r="D31" i="6"/>
  <c r="C28" i="4"/>
  <c r="D60" i="6"/>
  <c r="I19" i="4"/>
  <c r="E31" i="4"/>
  <c r="G58" i="6" s="1"/>
  <c r="D59" i="6"/>
  <c r="D56" i="6"/>
  <c r="I18" i="4"/>
  <c r="D55" i="6"/>
  <c r="C31" i="4"/>
  <c r="I10" i="4"/>
  <c r="D24" i="6"/>
  <c r="D23" i="6"/>
  <c r="C27" i="4"/>
  <c r="D68" i="6"/>
  <c r="I21" i="4"/>
  <c r="E32" i="4"/>
  <c r="G66" i="6" s="1"/>
  <c r="D67" i="6"/>
  <c r="D52" i="6"/>
  <c r="I17" i="4"/>
  <c r="E30" i="4"/>
  <c r="G50" i="6" s="1"/>
  <c r="D51" i="6"/>
  <c r="D36" i="6"/>
  <c r="I13" i="4"/>
  <c r="E28" i="4"/>
  <c r="G34" i="6" s="1"/>
  <c r="D35" i="6"/>
  <c r="D20" i="6"/>
  <c r="I9" i="4"/>
  <c r="E26" i="4"/>
  <c r="G18" i="6" s="1"/>
  <c r="D19" i="6"/>
  <c r="G17" i="6"/>
  <c r="H25" i="4" l="1"/>
  <c r="I25" i="4" s="1"/>
  <c r="I10" i="6"/>
  <c r="C36" i="4"/>
  <c r="H29" i="4"/>
  <c r="G41" i="6"/>
  <c r="G25" i="6"/>
  <c r="H27" i="4"/>
  <c r="H32" i="4"/>
  <c r="G65" i="6"/>
  <c r="H31" i="4"/>
  <c r="G57" i="6"/>
  <c r="G33" i="6"/>
  <c r="H28" i="4"/>
  <c r="H30" i="4"/>
  <c r="G49" i="6"/>
  <c r="H26" i="4"/>
  <c r="I9" i="6" l="1"/>
  <c r="I31" i="4"/>
  <c r="I57" i="6"/>
  <c r="I58" i="6"/>
  <c r="C39" i="4"/>
  <c r="L13" i="6"/>
  <c r="I28" i="4"/>
  <c r="E37" i="4"/>
  <c r="L30" i="6" s="1"/>
  <c r="I34" i="6"/>
  <c r="I33" i="6"/>
  <c r="I30" i="4"/>
  <c r="I49" i="6"/>
  <c r="I50" i="6"/>
  <c r="E38" i="4"/>
  <c r="L46" i="6" s="1"/>
  <c r="I26" i="4"/>
  <c r="I17" i="6"/>
  <c r="I18" i="6"/>
  <c r="E36" i="4"/>
  <c r="L14" i="6" s="1"/>
  <c r="I32" i="4"/>
  <c r="I65" i="6"/>
  <c r="I66" i="6"/>
  <c r="E39" i="4"/>
  <c r="L62" i="6" s="1"/>
  <c r="I29" i="4"/>
  <c r="I41" i="6"/>
  <c r="I42" i="6"/>
  <c r="C38" i="4"/>
  <c r="I27" i="4"/>
  <c r="I26" i="6"/>
  <c r="I25" i="6"/>
  <c r="C37" i="4"/>
  <c r="H37" i="4" l="1"/>
  <c r="L29" i="6"/>
  <c r="H38" i="4"/>
  <c r="L45" i="6"/>
  <c r="H36" i="4"/>
  <c r="H39" i="4"/>
  <c r="L61" i="6"/>
  <c r="I38" i="4" l="1"/>
  <c r="N45" i="6"/>
  <c r="N46" i="6"/>
  <c r="C44" i="4"/>
  <c r="I39" i="4"/>
  <c r="N61" i="6"/>
  <c r="N62" i="6"/>
  <c r="E44" i="4"/>
  <c r="Q54" i="6" s="1"/>
  <c r="I36" i="4"/>
  <c r="N13" i="6"/>
  <c r="N14" i="6"/>
  <c r="C43" i="4"/>
  <c r="I37" i="4"/>
  <c r="N29" i="6"/>
  <c r="N30" i="6"/>
  <c r="E43" i="4"/>
  <c r="Q22" i="6" s="1"/>
  <c r="H44" i="4" l="1"/>
  <c r="Q53" i="6"/>
  <c r="H43" i="4"/>
  <c r="Q21" i="6"/>
  <c r="I43" i="4" l="1"/>
  <c r="C52" i="4" s="1"/>
  <c r="S21" i="6"/>
  <c r="S22" i="6"/>
  <c r="C48" i="4"/>
  <c r="I44" i="4"/>
  <c r="E52" i="4" s="1"/>
  <c r="S53" i="6"/>
  <c r="S54" i="6"/>
  <c r="E48" i="4"/>
  <c r="V38" i="6" s="1"/>
  <c r="H48" i="4" l="1"/>
  <c r="V37" i="6"/>
  <c r="H52" i="4"/>
  <c r="I52" i="4" l="1"/>
  <c r="AB25" i="6" s="1"/>
  <c r="AB24" i="6"/>
  <c r="B12" i="5"/>
  <c r="B10" i="2"/>
  <c r="I48" i="4"/>
  <c r="X37" i="6"/>
  <c r="AB22" i="6"/>
  <c r="B10" i="5"/>
  <c r="X38" i="6"/>
  <c r="Z15" i="6"/>
  <c r="AB32" i="6" l="1"/>
  <c r="B8" i="5"/>
  <c r="B11" i="2"/>
  <c r="B11" i="5"/>
  <c r="AB23" i="6"/>
  <c r="AB34" i="6" l="1"/>
  <c r="AB33" i="6"/>
  <c r="B9" i="5"/>
</calcChain>
</file>

<file path=xl/sharedStrings.xml><?xml version="1.0" encoding="utf-8"?>
<sst xmlns="http://schemas.openxmlformats.org/spreadsheetml/2006/main" count="346" uniqueCount="168">
  <si>
    <t>Knockout Master Workbook</t>
  </si>
  <si>
    <t>Purpose</t>
  </si>
  <si>
    <t>This workbook runs a simple knockout draw for 4, 8, 16, or 32 teams.</t>
  </si>
  <si>
    <t>Use the Setup sheet first, enter or rename teams on Teams, then enter scores on Knockout Draw.</t>
  </si>
  <si>
    <t>Winners progress automatically. If a match is tied or decided by penalties/extra time, type the winner into Winner Override.</t>
  </si>
  <si>
    <t>Basic workflow</t>
  </si>
  <si>
    <t>Step</t>
  </si>
  <si>
    <t>Action</t>
  </si>
  <si>
    <t>Setup: choose number of teams and whether to use a third-place match.</t>
  </si>
  <si>
    <t>Teams: enter team names against the correct seed/slot.</t>
  </si>
  <si>
    <t>Knockout Draw: enter scores in yellow cells only.</t>
  </si>
  <si>
    <t>Use Winner Override only when the score alone does not decide the winner.</t>
  </si>
  <si>
    <t>Summary: check champion, runner-up, third place and draw status.</t>
  </si>
  <si>
    <t>Do not type over green formula cells.</t>
  </si>
  <si>
    <t>Knockout Competition Setup</t>
  </si>
  <si>
    <t>Setting</t>
  </si>
  <si>
    <t>Value</t>
  </si>
  <si>
    <t>Competition Name</t>
  </si>
  <si>
    <t>Knockout Tournament</t>
  </si>
  <si>
    <t>Number of Teams</t>
  </si>
  <si>
    <t>Third Place Match</t>
  </si>
  <si>
    <t>Yes</t>
  </si>
  <si>
    <t>Winner Logic</t>
  </si>
  <si>
    <t>Higher score advances; use override for ties/penalties</t>
  </si>
  <si>
    <t>Active First Round</t>
  </si>
  <si>
    <t>Total Matches</t>
  </si>
  <si>
    <t>Remaining Matches</t>
  </si>
  <si>
    <t>Editable cells</t>
  </si>
  <si>
    <t>Yellow</t>
  </si>
  <si>
    <t>Teams / Seeding</t>
  </si>
  <si>
    <t>Seed</t>
  </si>
  <si>
    <t>Team Name</t>
  </si>
  <si>
    <t>Notes</t>
  </si>
  <si>
    <t>Seed 1</t>
  </si>
  <si>
    <t>Seed 2</t>
  </si>
  <si>
    <t>Seed 3</t>
  </si>
  <si>
    <t>Seed 4</t>
  </si>
  <si>
    <t>Seed 5</t>
  </si>
  <si>
    <t>Seed 6</t>
  </si>
  <si>
    <t>Seed 7</t>
  </si>
  <si>
    <t>Seed 8</t>
  </si>
  <si>
    <t>Seed 9</t>
  </si>
  <si>
    <t>Seed 10</t>
  </si>
  <si>
    <t>Seed 11</t>
  </si>
  <si>
    <t>Seed 12</t>
  </si>
  <si>
    <t>Seed 13</t>
  </si>
  <si>
    <t>Seed 14</t>
  </si>
  <si>
    <t>Seed 15</t>
  </si>
  <si>
    <t>Seed 16</t>
  </si>
  <si>
    <t>Seed 17</t>
  </si>
  <si>
    <t>Seed 18</t>
  </si>
  <si>
    <t>Seed 19</t>
  </si>
  <si>
    <t>Seed 20</t>
  </si>
  <si>
    <t>Seed 21</t>
  </si>
  <si>
    <t>Seed 22</t>
  </si>
  <si>
    <t>Seed 23</t>
  </si>
  <si>
    <t>Seed 24</t>
  </si>
  <si>
    <t>Seed 25</t>
  </si>
  <si>
    <t>Seed 26</t>
  </si>
  <si>
    <t>Seed 27</t>
  </si>
  <si>
    <t>Seed 28</t>
  </si>
  <si>
    <t>Seed 29</t>
  </si>
  <si>
    <t>Seed 30</t>
  </si>
  <si>
    <t>Seed 31</t>
  </si>
  <si>
    <t>Seed 32</t>
  </si>
  <si>
    <t>Knockout Draw Master</t>
  </si>
  <si>
    <t>Enter scores in yellow cells. Use Winner Override only when the score alone does not decide the winner.</t>
  </si>
  <si>
    <t>Round of 32</t>
  </si>
  <si>
    <t>Round</t>
  </si>
  <si>
    <t>Match</t>
  </si>
  <si>
    <t>Team 1</t>
  </si>
  <si>
    <t>Score 1</t>
  </si>
  <si>
    <t>Team 2</t>
  </si>
  <si>
    <t>Score 2</t>
  </si>
  <si>
    <t>Winner Override</t>
  </si>
  <si>
    <t>Winner</t>
  </si>
  <si>
    <t>Loser</t>
  </si>
  <si>
    <t>Round of 16</t>
  </si>
  <si>
    <t>Quarter Finals</t>
  </si>
  <si>
    <t>Semi Finals</t>
  </si>
  <si>
    <t>Final</t>
  </si>
  <si>
    <t>Knockout Summary</t>
  </si>
  <si>
    <t>Item</t>
  </si>
  <si>
    <t>Competition</t>
  </si>
  <si>
    <t>Teams</t>
  </si>
  <si>
    <t>Completed Matches</t>
  </si>
  <si>
    <t>Champion</t>
  </si>
  <si>
    <t>Runner-up</t>
  </si>
  <si>
    <t>Third Place</t>
  </si>
  <si>
    <t>Practical notes</t>
  </si>
  <si>
    <t>If scores are tied, the Winner cell stays blank until Winner Override is completed.</t>
  </si>
  <si>
    <t>Winner Override should match one of the two team names in that match.</t>
  </si>
  <si>
    <t>For smaller competitions, only the active first round is used; earlier rounds stay blank.</t>
  </si>
  <si>
    <t>This workbook is formula-driven and does not use macros.</t>
  </si>
  <si>
    <t>Keep the Scores columns clear until matches are completed.</t>
  </si>
  <si>
    <t>Active dropdown</t>
  </si>
  <si>
    <t>Use Teams column C to mark seeds Active or Inactive. Inactive seeds will not be pulled into the bracket.</t>
  </si>
  <si>
    <t>Completed matches</t>
  </si>
  <si>
    <t>Setup B10 now counts only real match rows with a winner, not header labels.</t>
  </si>
  <si>
    <t>Tip</t>
  </si>
  <si>
    <t>Use Winner Override only for penalties, extra time, tied scores, or organiser decisions.</t>
  </si>
  <si>
    <t>Presentation sheet</t>
  </si>
  <si>
    <t>The Knockout Progress sheet is designed for display/printing and updates from Knockout Draw. Do not enter scores on the presentation sheet.</t>
  </si>
  <si>
    <t>Teams!C4:C35 uses Active/Inactive</t>
  </si>
  <si>
    <t>Supported sizes: 4, 8, 16, 32 teams. The active first round changes automatically.</t>
  </si>
  <si>
    <t>Set unused seeds to Inactive so they do not appear in the draw.</t>
  </si>
  <si>
    <t>Status</t>
  </si>
  <si>
    <t>Suggested Use</t>
  </si>
  <si>
    <t>Active</t>
  </si>
  <si>
    <t>Use dropdown: Active/Inactive</t>
  </si>
  <si>
    <t>Knockout Progress Board</t>
  </si>
  <si>
    <t>Presentation view linked to the Knockout Draw sheet. Enter scores only on Knockout Draw.</t>
  </si>
  <si>
    <t>Champion / Status</t>
  </si>
  <si>
    <t>R32 1</t>
  </si>
  <si>
    <t>M1</t>
  </si>
  <si>
    <t>R16 1</t>
  </si>
  <si>
    <t>R32 2</t>
  </si>
  <si>
    <t>M2</t>
  </si>
  <si>
    <t>QF 1</t>
  </si>
  <si>
    <t>R32 3</t>
  </si>
  <si>
    <t>M3</t>
  </si>
  <si>
    <t>R16 2</t>
  </si>
  <si>
    <t>R32 4</t>
  </si>
  <si>
    <t>M4</t>
  </si>
  <si>
    <t>SF 1</t>
  </si>
  <si>
    <t>Placings</t>
  </si>
  <si>
    <t>R32 5</t>
  </si>
  <si>
    <t>M5</t>
  </si>
  <si>
    <t>R16 3</t>
  </si>
  <si>
    <t>Fourth Place</t>
  </si>
  <si>
    <t>R32 6</t>
  </si>
  <si>
    <t>M6</t>
  </si>
  <si>
    <t>QF 2</t>
  </si>
  <si>
    <t>R32 7</t>
  </si>
  <si>
    <t>Live Status</t>
  </si>
  <si>
    <t>M7</t>
  </si>
  <si>
    <t>R16 4</t>
  </si>
  <si>
    <t>Completed</t>
  </si>
  <si>
    <t>Remaining</t>
  </si>
  <si>
    <t>R32 8</t>
  </si>
  <si>
    <t>Next step</t>
  </si>
  <si>
    <t>M8</t>
  </si>
  <si>
    <t>FINAL 1</t>
  </si>
  <si>
    <t>R32 9</t>
  </si>
  <si>
    <t>M9</t>
  </si>
  <si>
    <t>R16 5</t>
  </si>
  <si>
    <t>R32 10</t>
  </si>
  <si>
    <t>M10</t>
  </si>
  <si>
    <t>QF 3</t>
  </si>
  <si>
    <t>R32 11</t>
  </si>
  <si>
    <t>M11</t>
  </si>
  <si>
    <t>R16 6</t>
  </si>
  <si>
    <t>R32 12</t>
  </si>
  <si>
    <t>M12</t>
  </si>
  <si>
    <t>SF 2</t>
  </si>
  <si>
    <t>R32 13</t>
  </si>
  <si>
    <t>M13</t>
  </si>
  <si>
    <t>R16 7</t>
  </si>
  <si>
    <t>R32 14</t>
  </si>
  <si>
    <t>M14</t>
  </si>
  <si>
    <t>QF 4</t>
  </si>
  <si>
    <t>R32 15</t>
  </si>
  <si>
    <t>M15</t>
  </si>
  <si>
    <t>R16 8</t>
  </si>
  <si>
    <t>R32 16</t>
  </si>
  <si>
    <t>M16</t>
  </si>
  <si>
    <t>Add team names in Column B. If unseeded just add randomly</t>
  </si>
  <si>
    <t>When printing use A3 and print on one page for a posatble graphic.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</si>
</sst>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sz val="11"/>
      <color rgb="FF1F1F1F"/>
      <name val="Carlito"/>
    </font>
    <font>
      <i/>
      <sz val="11"/>
      <name val="Carlito"/>
    </font>
    <font>
      <b/>
      <sz val="11"/>
      <name val="Carlito"/>
    </font>
    <font>
      <sz val="11"/>
      <color rgb="FF374151"/>
      <name val="Carlito"/>
    </font>
    <font>
      <b/>
      <sz val="11"/>
      <color rgb="FF374151"/>
      <name val="Carlito"/>
    </font>
    <font>
      <sz val="11"/>
      <color rgb="FF111827"/>
      <name val="Carlito"/>
    </font>
    <font>
      <b/>
      <sz val="11"/>
      <color rgb="FF111827"/>
      <name val="Carlito"/>
    </font>
    <font>
      <b/>
      <sz val="11"/>
      <color rgb="FF92400E"/>
      <name val="Carlito"/>
    </font>
    <font>
      <sz val="11"/>
      <color rgb="FF1E40AF"/>
      <name val="Carlito"/>
    </font>
    <font>
      <sz val="11"/>
      <color rgb="FFFF0000"/>
      <name val="Carlito"/>
    </font>
  </fonts>
  <fills count="2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305496"/>
      </patternFill>
    </fill>
    <fill>
      <patternFill patternType="solid">
        <fgColor rgb="FF5B9BD5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rgb="FF1F2937"/>
      </patternFill>
    </fill>
    <fill>
      <patternFill patternType="solid">
        <fgColor rgb="FFF3F4F6"/>
      </patternFill>
    </fill>
    <fill>
      <patternFill patternType="solid">
        <fgColor rgb="FF2563EB"/>
      </patternFill>
    </fill>
    <fill>
      <patternFill patternType="solid">
        <fgColor rgb="FF0F766E"/>
      </patternFill>
    </fill>
    <fill>
      <patternFill patternType="solid">
        <fgColor rgb="FF7C3AED"/>
      </patternFill>
    </fill>
    <fill>
      <patternFill patternType="solid">
        <fgColor rgb="FFEA580C"/>
      </patternFill>
    </fill>
    <fill>
      <patternFill patternType="solid">
        <fgColor rgb="FFB91C1C"/>
      </patternFill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374151"/>
      </patternFill>
    </fill>
    <fill>
      <patternFill patternType="solid">
        <fgColor rgb="FFEFF6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0" borderId="3" xfId="0" applyBorder="1"/>
    <xf numFmtId="0" fontId="3" fillId="5" borderId="4" xfId="0" applyFont="1" applyFill="1" applyBorder="1" applyAlignment="1">
      <alignment horizontal="center" vertical="center"/>
    </xf>
    <xf numFmtId="0" fontId="0" fillId="0" borderId="4" xfId="0" applyBorder="1"/>
    <xf numFmtId="0" fontId="3" fillId="6" borderId="4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" fillId="4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0" fillId="0" borderId="8" xfId="0" applyBorder="1"/>
    <xf numFmtId="0" fontId="3" fillId="6" borderId="9" xfId="0" applyFont="1" applyFill="1" applyBorder="1" applyAlignment="1">
      <alignment horizontal="center" vertic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8" xfId="0" applyNumberFormat="1" applyBorder="1"/>
    <xf numFmtId="1" fontId="0" fillId="0" borderId="9" xfId="0" applyNumberFormat="1" applyBorder="1"/>
    <xf numFmtId="0" fontId="2" fillId="4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3" fillId="5" borderId="8" xfId="0" applyFont="1" applyFill="1" applyBorder="1" applyAlignment="1">
      <alignment horizontal="center" vertical="center" wrapText="1"/>
    </xf>
    <xf numFmtId="0" fontId="0" fillId="10" borderId="0" xfId="0" applyFill="1"/>
    <xf numFmtId="0" fontId="8" fillId="18" borderId="14" xfId="0" applyFont="1" applyFill="1" applyBorder="1" applyAlignment="1">
      <alignment horizontal="left" vertical="center"/>
    </xf>
    <xf numFmtId="0" fontId="9" fillId="18" borderId="14" xfId="0" applyFont="1" applyFill="1" applyBorder="1" applyAlignment="1">
      <alignment horizontal="center" vertical="center"/>
    </xf>
    <xf numFmtId="0" fontId="9" fillId="18" borderId="15" xfId="0" applyFont="1" applyFill="1" applyBorder="1" applyAlignment="1">
      <alignment horizontal="center" vertical="center"/>
    </xf>
    <xf numFmtId="0" fontId="8" fillId="18" borderId="17" xfId="0" applyFont="1" applyFill="1" applyBorder="1" applyAlignment="1">
      <alignment horizontal="left" vertical="center"/>
    </xf>
    <xf numFmtId="0" fontId="9" fillId="18" borderId="17" xfId="0" applyFont="1" applyFill="1" applyBorder="1" applyAlignment="1">
      <alignment horizontal="center" vertical="center"/>
    </xf>
    <xf numFmtId="0" fontId="9" fillId="18" borderId="1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4" fillId="7" borderId="0" xfId="0" applyFont="1" applyFill="1" applyAlignment="1">
      <alignment wrapText="1"/>
    </xf>
    <xf numFmtId="0" fontId="2" fillId="3" borderId="3" xfId="0" applyFont="1" applyFill="1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wrapText="1"/>
    </xf>
    <xf numFmtId="1" fontId="0" fillId="0" borderId="8" xfId="0" applyNumberFormat="1" applyBorder="1"/>
    <xf numFmtId="0" fontId="0" fillId="0" borderId="4" xfId="0" applyBorder="1"/>
    <xf numFmtId="0" fontId="0" fillId="0" borderId="0" xfId="0" applyAlignment="1">
      <alignment wrapText="1"/>
    </xf>
    <xf numFmtId="1" fontId="0" fillId="0" borderId="0" xfId="0" applyNumberFormat="1"/>
    <xf numFmtId="0" fontId="4" fillId="8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wrapText="1"/>
    </xf>
    <xf numFmtId="1" fontId="0" fillId="0" borderId="7" xfId="0" applyNumberFormat="1" applyBorder="1"/>
    <xf numFmtId="0" fontId="0" fillId="0" borderId="2" xfId="0" applyBorder="1"/>
    <xf numFmtId="0" fontId="2" fillId="9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7" fillId="17" borderId="10" xfId="0" applyFont="1" applyFill="1" applyBorder="1" applyAlignment="1">
      <alignment horizontal="center" vertical="center"/>
    </xf>
    <xf numFmtId="0" fontId="7" fillId="17" borderId="11" xfId="0" applyFont="1" applyFill="1" applyBorder="1" applyAlignment="1">
      <alignment horizontal="center" vertical="center"/>
    </xf>
    <xf numFmtId="0" fontId="7" fillId="17" borderId="12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7" fillId="10" borderId="16" xfId="0" applyFont="1" applyFill="1" applyBorder="1" applyAlignment="1">
      <alignment horizontal="center" vertical="center"/>
    </xf>
    <xf numFmtId="0" fontId="10" fillId="19" borderId="0" xfId="0" applyFont="1" applyFill="1" applyAlignment="1">
      <alignment horizontal="center" vertical="center"/>
    </xf>
    <xf numFmtId="0" fontId="2" fillId="20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left" vertical="center"/>
    </xf>
    <xf numFmtId="0" fontId="9" fillId="18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1" fillId="21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5" fillId="7" borderId="5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1" fontId="3" fillId="5" borderId="1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workbookViewId="0">
      <selection activeCell="C8" sqref="C8"/>
    </sheetView>
  </sheetViews>
  <sheetFormatPr defaultRowHeight="14.25"/>
  <cols>
    <col min="1" max="1" width="28.375" customWidth="1"/>
    <col min="2" max="2" width="101.75" customWidth="1"/>
  </cols>
  <sheetData>
    <row r="1" spans="1:2" ht="27.95" customHeight="1">
      <c r="A1" s="38" t="s">
        <v>0</v>
      </c>
      <c r="B1" s="39"/>
    </row>
    <row r="3" spans="1:2" ht="15">
      <c r="A3" s="40" t="s">
        <v>1</v>
      </c>
      <c r="B3" s="39"/>
    </row>
    <row r="4" spans="1:2" s="75" customFormat="1" ht="21" customHeight="1">
      <c r="A4" s="75" t="s">
        <v>2</v>
      </c>
    </row>
    <row r="5" spans="1:2" s="75" customFormat="1" ht="21" customHeight="1">
      <c r="A5" s="75" t="s">
        <v>3</v>
      </c>
    </row>
    <row r="6" spans="1:2" s="75" customFormat="1" ht="21" customHeight="1">
      <c r="A6" s="75" t="s">
        <v>4</v>
      </c>
    </row>
    <row r="7" spans="1:2" s="75" customFormat="1" ht="21" customHeight="1"/>
    <row r="8" spans="1:2" s="75" customFormat="1" ht="21" customHeight="1">
      <c r="A8" s="72" t="s">
        <v>5</v>
      </c>
      <c r="B8" s="76"/>
    </row>
    <row r="9" spans="1:2" s="75" customFormat="1" ht="21" customHeight="1">
      <c r="A9" s="73" t="s">
        <v>6</v>
      </c>
      <c r="B9" s="74" t="s">
        <v>7</v>
      </c>
    </row>
    <row r="10" spans="1:2" s="75" customFormat="1" ht="21" customHeight="1">
      <c r="A10" s="77">
        <v>1</v>
      </c>
      <c r="B10" s="78" t="s">
        <v>8</v>
      </c>
    </row>
    <row r="11" spans="1:2" s="75" customFormat="1" ht="21" customHeight="1">
      <c r="A11" s="77">
        <v>2</v>
      </c>
      <c r="B11" s="78" t="s">
        <v>9</v>
      </c>
    </row>
    <row r="12" spans="1:2" s="75" customFormat="1" ht="21" customHeight="1">
      <c r="A12" s="77">
        <v>3</v>
      </c>
      <c r="B12" s="78" t="s">
        <v>10</v>
      </c>
    </row>
    <row r="13" spans="1:2" s="75" customFormat="1" ht="21" customHeight="1">
      <c r="A13" s="77">
        <v>4</v>
      </c>
      <c r="B13" s="78" t="s">
        <v>11</v>
      </c>
    </row>
    <row r="14" spans="1:2" s="75" customFormat="1" ht="21" customHeight="1">
      <c r="A14" s="77">
        <v>5</v>
      </c>
      <c r="B14" s="78" t="s">
        <v>12</v>
      </c>
    </row>
    <row r="15" spans="1:2" s="75" customFormat="1" ht="21" customHeight="1">
      <c r="A15" s="79">
        <v>6</v>
      </c>
      <c r="B15" s="80" t="s">
        <v>13</v>
      </c>
    </row>
    <row r="16" spans="1:2" s="75" customFormat="1" ht="21" customHeight="1">
      <c r="A16" s="75" t="s">
        <v>95</v>
      </c>
      <c r="B16" s="75" t="s">
        <v>96</v>
      </c>
    </row>
    <row r="17" spans="1:2" s="75" customFormat="1" ht="21" customHeight="1">
      <c r="A17" s="75" t="s">
        <v>97</v>
      </c>
      <c r="B17" s="75" t="s">
        <v>98</v>
      </c>
    </row>
    <row r="18" spans="1:2" ht="28.5">
      <c r="A18" s="81" t="s">
        <v>101</v>
      </c>
      <c r="B18" s="81" t="s">
        <v>102</v>
      </c>
    </row>
    <row r="19" spans="1:2" s="82" customFormat="1" ht="21" customHeight="1">
      <c r="A19" s="82" t="s">
        <v>99</v>
      </c>
      <c r="B19" s="82" t="s">
        <v>100</v>
      </c>
    </row>
    <row r="20" spans="1:2" s="75" customFormat="1" ht="21" customHeight="1"/>
  </sheetData>
  <mergeCells count="3">
    <mergeCell ref="A1:B1"/>
    <mergeCell ref="A3:B3"/>
    <mergeCell ref="A8:B8"/>
  </mergeCells>
  <pageMargins left="0.25" right="0.25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activeCell="A21" sqref="A21"/>
    </sheetView>
  </sheetViews>
  <sheetFormatPr defaultRowHeight="14.25"/>
  <cols>
    <col min="1" max="1" width="60.125" customWidth="1"/>
    <col min="2" max="2" width="47.625" customWidth="1"/>
  </cols>
  <sheetData>
    <row r="1" spans="1:2" ht="27.95" customHeight="1">
      <c r="A1" s="38" t="s">
        <v>14</v>
      </c>
      <c r="B1" s="39"/>
    </row>
    <row r="3" spans="1:2" ht="18" customHeight="1">
      <c r="A3" s="5" t="s">
        <v>15</v>
      </c>
      <c r="B3" s="6" t="s">
        <v>16</v>
      </c>
    </row>
    <row r="4" spans="1:2" ht="18" customHeight="1">
      <c r="A4" s="7" t="s">
        <v>17</v>
      </c>
      <c r="B4" s="8" t="s">
        <v>18</v>
      </c>
    </row>
    <row r="5" spans="1:2" ht="18" customHeight="1">
      <c r="A5" s="7" t="s">
        <v>19</v>
      </c>
      <c r="B5" s="8">
        <v>32</v>
      </c>
    </row>
    <row r="6" spans="1:2" ht="18" customHeight="1">
      <c r="A6" s="7" t="s">
        <v>20</v>
      </c>
      <c r="B6" s="8" t="s">
        <v>21</v>
      </c>
    </row>
    <row r="7" spans="1:2" ht="18" customHeight="1">
      <c r="A7" s="7" t="s">
        <v>22</v>
      </c>
      <c r="B7" s="9" t="s">
        <v>23</v>
      </c>
    </row>
    <row r="8" spans="1:2" ht="18" customHeight="1">
      <c r="A8" s="7" t="s">
        <v>24</v>
      </c>
      <c r="B8" s="10" t="str">
        <f>IF(B5=32,"Round of 32",IF(B5=16,"Round of 16",IF(B5=8,"Quarter Finals",IF(B5=4,"Semi Finals","Check setup"))))</f>
        <v>Round of 32</v>
      </c>
    </row>
    <row r="9" spans="1:2" ht="18" customHeight="1">
      <c r="A9" s="7" t="s">
        <v>25</v>
      </c>
      <c r="B9" s="10">
        <f>B5-1+IF(B6="Yes",1,0)</f>
        <v>32</v>
      </c>
    </row>
    <row r="10" spans="1:2" ht="18" customHeight="1">
      <c r="A10" s="7" t="s">
        <v>85</v>
      </c>
      <c r="B10" s="10">
        <f>COUNTIFS('Knockout Draw'!$B$6:$B$52,"&gt;0",'Knockout Draw'!$H$6:$H$52,"?*")</f>
        <v>0</v>
      </c>
    </row>
    <row r="11" spans="1:2" ht="18" customHeight="1">
      <c r="A11" s="7" t="s">
        <v>26</v>
      </c>
      <c r="B11" s="10">
        <f>MAX(0,B9-B10)</f>
        <v>32</v>
      </c>
    </row>
    <row r="12" spans="1:2" ht="18" customHeight="1">
      <c r="A12" s="11" t="s">
        <v>27</v>
      </c>
      <c r="B12" s="12" t="s">
        <v>28</v>
      </c>
    </row>
    <row r="13" spans="1:2" ht="18" customHeight="1">
      <c r="A13" t="s">
        <v>95</v>
      </c>
      <c r="B13" t="s">
        <v>103</v>
      </c>
    </row>
    <row r="14" spans="1:2" ht="18" customHeight="1">
      <c r="A14" s="41" t="s">
        <v>104</v>
      </c>
      <c r="B14" s="39"/>
    </row>
    <row r="15" spans="1:2" ht="18" customHeight="1">
      <c r="A15" t="s">
        <v>99</v>
      </c>
      <c r="B15" t="s">
        <v>105</v>
      </c>
    </row>
  </sheetData>
  <mergeCells count="2">
    <mergeCell ref="A1:B1"/>
    <mergeCell ref="A14:B14"/>
  </mergeCells>
  <dataValidations count="2">
    <dataValidation type="list" sqref="B5" xr:uid="{00000000-0002-0000-0100-000000000000}">
      <formula1>"4,8,16,32"</formula1>
    </dataValidation>
    <dataValidation type="list" sqref="B6" xr:uid="{00000000-0002-0000-0100-000001000000}">
      <formula1>"Yes,No"</formula1>
    </dataValidation>
  </dataValidations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workbookViewId="0">
      <selection activeCell="K5" sqref="K5"/>
    </sheetView>
  </sheetViews>
  <sheetFormatPr defaultRowHeight="14.25"/>
  <cols>
    <col min="1" max="1" width="7.125" style="85" customWidth="1"/>
    <col min="2" max="2" width="22.875" style="88" customWidth="1"/>
    <col min="3" max="3" width="11" customWidth="1"/>
    <col min="4" max="4" width="24.25" customWidth="1"/>
    <col min="5" max="5" width="25.875" customWidth="1"/>
  </cols>
  <sheetData>
    <row r="1" spans="1:5" ht="27.95" customHeight="1">
      <c r="A1" s="38" t="s">
        <v>29</v>
      </c>
      <c r="B1" s="39"/>
      <c r="C1" s="39"/>
      <c r="D1" s="39"/>
      <c r="E1" s="39"/>
    </row>
    <row r="2" spans="1:5">
      <c r="A2" s="75" t="s">
        <v>166</v>
      </c>
    </row>
    <row r="3" spans="1:5" ht="20.25" customHeight="1">
      <c r="A3" s="5" t="s">
        <v>30</v>
      </c>
      <c r="B3" s="86" t="s">
        <v>31</v>
      </c>
      <c r="C3" s="13" t="s">
        <v>106</v>
      </c>
      <c r="D3" s="13" t="s">
        <v>32</v>
      </c>
      <c r="E3" s="6" t="s">
        <v>107</v>
      </c>
    </row>
    <row r="4" spans="1:5" ht="20.25" customHeight="1">
      <c r="A4" s="83">
        <v>1</v>
      </c>
      <c r="B4" s="30" t="s">
        <v>33</v>
      </c>
      <c r="C4" s="14" t="s">
        <v>108</v>
      </c>
      <c r="D4" s="15"/>
      <c r="E4" s="3" t="s">
        <v>109</v>
      </c>
    </row>
    <row r="5" spans="1:5" ht="20.25" customHeight="1">
      <c r="A5" s="83">
        <v>2</v>
      </c>
      <c r="B5" s="30" t="s">
        <v>34</v>
      </c>
      <c r="C5" s="14" t="s">
        <v>108</v>
      </c>
      <c r="D5" s="15"/>
      <c r="E5" s="3" t="s">
        <v>109</v>
      </c>
    </row>
    <row r="6" spans="1:5" ht="20.25" customHeight="1">
      <c r="A6" s="83">
        <v>3</v>
      </c>
      <c r="B6" s="30" t="s">
        <v>35</v>
      </c>
      <c r="C6" s="14" t="s">
        <v>108</v>
      </c>
      <c r="D6" s="15"/>
      <c r="E6" s="3" t="s">
        <v>109</v>
      </c>
    </row>
    <row r="7" spans="1:5" ht="20.25" customHeight="1">
      <c r="A7" s="83">
        <v>4</v>
      </c>
      <c r="B7" s="30" t="s">
        <v>36</v>
      </c>
      <c r="C7" s="14" t="s">
        <v>108</v>
      </c>
      <c r="D7" s="15"/>
      <c r="E7" s="3" t="s">
        <v>109</v>
      </c>
    </row>
    <row r="8" spans="1:5" ht="20.25" customHeight="1">
      <c r="A8" s="83">
        <v>5</v>
      </c>
      <c r="B8" s="30" t="s">
        <v>37</v>
      </c>
      <c r="C8" s="14" t="s">
        <v>108</v>
      </c>
      <c r="D8" s="15"/>
      <c r="E8" s="3" t="s">
        <v>109</v>
      </c>
    </row>
    <row r="9" spans="1:5" ht="20.25" customHeight="1">
      <c r="A9" s="83">
        <v>6</v>
      </c>
      <c r="B9" s="30" t="s">
        <v>38</v>
      </c>
      <c r="C9" s="14" t="s">
        <v>108</v>
      </c>
      <c r="D9" s="15"/>
      <c r="E9" s="3" t="s">
        <v>109</v>
      </c>
    </row>
    <row r="10" spans="1:5" ht="20.25" customHeight="1">
      <c r="A10" s="83">
        <v>7</v>
      </c>
      <c r="B10" s="30" t="s">
        <v>39</v>
      </c>
      <c r="C10" s="14" t="s">
        <v>108</v>
      </c>
      <c r="D10" s="15"/>
      <c r="E10" s="3" t="s">
        <v>109</v>
      </c>
    </row>
    <row r="11" spans="1:5" ht="20.25" customHeight="1">
      <c r="A11" s="83">
        <v>8</v>
      </c>
      <c r="B11" s="30" t="s">
        <v>40</v>
      </c>
      <c r="C11" s="14" t="s">
        <v>108</v>
      </c>
      <c r="D11" s="15"/>
      <c r="E11" s="3" t="s">
        <v>109</v>
      </c>
    </row>
    <row r="12" spans="1:5" ht="20.25" customHeight="1">
      <c r="A12" s="83">
        <v>9</v>
      </c>
      <c r="B12" s="30" t="s">
        <v>41</v>
      </c>
      <c r="C12" s="14" t="s">
        <v>108</v>
      </c>
      <c r="D12" s="15"/>
      <c r="E12" s="3" t="s">
        <v>109</v>
      </c>
    </row>
    <row r="13" spans="1:5" ht="20.25" customHeight="1">
      <c r="A13" s="83">
        <v>10</v>
      </c>
      <c r="B13" s="30" t="s">
        <v>42</v>
      </c>
      <c r="C13" s="14" t="s">
        <v>108</v>
      </c>
      <c r="D13" s="15"/>
      <c r="E13" s="3" t="s">
        <v>109</v>
      </c>
    </row>
    <row r="14" spans="1:5" ht="20.25" customHeight="1">
      <c r="A14" s="83">
        <v>11</v>
      </c>
      <c r="B14" s="30" t="s">
        <v>43</v>
      </c>
      <c r="C14" s="14" t="s">
        <v>108</v>
      </c>
      <c r="D14" s="15"/>
      <c r="E14" s="3" t="s">
        <v>109</v>
      </c>
    </row>
    <row r="15" spans="1:5" ht="20.25" customHeight="1">
      <c r="A15" s="83">
        <v>12</v>
      </c>
      <c r="B15" s="30" t="s">
        <v>44</v>
      </c>
      <c r="C15" s="14" t="s">
        <v>108</v>
      </c>
      <c r="D15" s="15"/>
      <c r="E15" s="3" t="s">
        <v>109</v>
      </c>
    </row>
    <row r="16" spans="1:5" ht="20.25" customHeight="1">
      <c r="A16" s="83">
        <v>13</v>
      </c>
      <c r="B16" s="30" t="s">
        <v>45</v>
      </c>
      <c r="C16" s="14" t="s">
        <v>108</v>
      </c>
      <c r="D16" s="15"/>
      <c r="E16" s="3" t="s">
        <v>109</v>
      </c>
    </row>
    <row r="17" spans="1:5" ht="20.25" customHeight="1">
      <c r="A17" s="83">
        <v>14</v>
      </c>
      <c r="B17" s="30" t="s">
        <v>46</v>
      </c>
      <c r="C17" s="14" t="s">
        <v>108</v>
      </c>
      <c r="D17" s="15"/>
      <c r="E17" s="3" t="s">
        <v>109</v>
      </c>
    </row>
    <row r="18" spans="1:5" ht="20.25" customHeight="1">
      <c r="A18" s="83">
        <v>15</v>
      </c>
      <c r="B18" s="30" t="s">
        <v>47</v>
      </c>
      <c r="C18" s="14" t="s">
        <v>108</v>
      </c>
      <c r="D18" s="15"/>
      <c r="E18" s="3" t="s">
        <v>109</v>
      </c>
    </row>
    <row r="19" spans="1:5" ht="20.25" customHeight="1">
      <c r="A19" s="83">
        <v>16</v>
      </c>
      <c r="B19" s="30" t="s">
        <v>48</v>
      </c>
      <c r="C19" s="14" t="s">
        <v>108</v>
      </c>
      <c r="D19" s="15"/>
      <c r="E19" s="3" t="s">
        <v>109</v>
      </c>
    </row>
    <row r="20" spans="1:5" ht="20.25" customHeight="1">
      <c r="A20" s="83">
        <v>17</v>
      </c>
      <c r="B20" s="30" t="s">
        <v>49</v>
      </c>
      <c r="C20" s="14" t="s">
        <v>108</v>
      </c>
      <c r="D20" s="15"/>
      <c r="E20" s="3" t="s">
        <v>109</v>
      </c>
    </row>
    <row r="21" spans="1:5" ht="20.25" customHeight="1">
      <c r="A21" s="83">
        <v>18</v>
      </c>
      <c r="B21" s="30" t="s">
        <v>50</v>
      </c>
      <c r="C21" s="14" t="s">
        <v>108</v>
      </c>
      <c r="D21" s="15"/>
      <c r="E21" s="3" t="s">
        <v>109</v>
      </c>
    </row>
    <row r="22" spans="1:5" ht="20.25" customHeight="1">
      <c r="A22" s="83">
        <v>19</v>
      </c>
      <c r="B22" s="30" t="s">
        <v>51</v>
      </c>
      <c r="C22" s="14" t="s">
        <v>108</v>
      </c>
      <c r="D22" s="15"/>
      <c r="E22" s="3" t="s">
        <v>109</v>
      </c>
    </row>
    <row r="23" spans="1:5" ht="20.25" customHeight="1">
      <c r="A23" s="83">
        <v>20</v>
      </c>
      <c r="B23" s="30" t="s">
        <v>52</v>
      </c>
      <c r="C23" s="14" t="s">
        <v>108</v>
      </c>
      <c r="D23" s="15"/>
      <c r="E23" s="3" t="s">
        <v>109</v>
      </c>
    </row>
    <row r="24" spans="1:5" ht="20.25" customHeight="1">
      <c r="A24" s="83">
        <v>21</v>
      </c>
      <c r="B24" s="30" t="s">
        <v>53</v>
      </c>
      <c r="C24" s="14" t="s">
        <v>108</v>
      </c>
      <c r="D24" s="15"/>
      <c r="E24" s="3" t="s">
        <v>109</v>
      </c>
    </row>
    <row r="25" spans="1:5" ht="20.25" customHeight="1">
      <c r="A25" s="83">
        <v>22</v>
      </c>
      <c r="B25" s="30" t="s">
        <v>54</v>
      </c>
      <c r="C25" s="14" t="s">
        <v>108</v>
      </c>
      <c r="D25" s="15"/>
      <c r="E25" s="3" t="s">
        <v>109</v>
      </c>
    </row>
    <row r="26" spans="1:5" ht="20.25" customHeight="1">
      <c r="A26" s="83">
        <v>23</v>
      </c>
      <c r="B26" s="30" t="s">
        <v>55</v>
      </c>
      <c r="C26" s="14" t="s">
        <v>108</v>
      </c>
      <c r="D26" s="15"/>
      <c r="E26" s="3" t="s">
        <v>109</v>
      </c>
    </row>
    <row r="27" spans="1:5" ht="20.25" customHeight="1">
      <c r="A27" s="83">
        <v>24</v>
      </c>
      <c r="B27" s="30" t="s">
        <v>56</v>
      </c>
      <c r="C27" s="14" t="s">
        <v>108</v>
      </c>
      <c r="D27" s="15"/>
      <c r="E27" s="3" t="s">
        <v>109</v>
      </c>
    </row>
    <row r="28" spans="1:5" ht="20.25" customHeight="1">
      <c r="A28" s="83">
        <v>25</v>
      </c>
      <c r="B28" s="30" t="s">
        <v>57</v>
      </c>
      <c r="C28" s="14" t="s">
        <v>108</v>
      </c>
      <c r="D28" s="15"/>
      <c r="E28" s="3" t="s">
        <v>109</v>
      </c>
    </row>
    <row r="29" spans="1:5" ht="20.25" customHeight="1">
      <c r="A29" s="83">
        <v>26</v>
      </c>
      <c r="B29" s="30" t="s">
        <v>58</v>
      </c>
      <c r="C29" s="14" t="s">
        <v>108</v>
      </c>
      <c r="D29" s="15"/>
      <c r="E29" s="3" t="s">
        <v>109</v>
      </c>
    </row>
    <row r="30" spans="1:5" ht="20.25" customHeight="1">
      <c r="A30" s="83">
        <v>27</v>
      </c>
      <c r="B30" s="30" t="s">
        <v>59</v>
      </c>
      <c r="C30" s="14" t="s">
        <v>108</v>
      </c>
      <c r="D30" s="15"/>
      <c r="E30" s="3" t="s">
        <v>109</v>
      </c>
    </row>
    <row r="31" spans="1:5" ht="20.25" customHeight="1">
      <c r="A31" s="83">
        <v>28</v>
      </c>
      <c r="B31" s="30" t="s">
        <v>60</v>
      </c>
      <c r="C31" s="14" t="s">
        <v>108</v>
      </c>
      <c r="D31" s="15"/>
      <c r="E31" s="3" t="s">
        <v>109</v>
      </c>
    </row>
    <row r="32" spans="1:5" ht="20.25" customHeight="1">
      <c r="A32" s="83">
        <v>29</v>
      </c>
      <c r="B32" s="30" t="s">
        <v>61</v>
      </c>
      <c r="C32" s="14" t="s">
        <v>108</v>
      </c>
      <c r="D32" s="15"/>
      <c r="E32" s="3" t="s">
        <v>109</v>
      </c>
    </row>
    <row r="33" spans="1:5" ht="20.25" customHeight="1">
      <c r="A33" s="83">
        <v>30</v>
      </c>
      <c r="B33" s="30" t="s">
        <v>62</v>
      </c>
      <c r="C33" s="14" t="s">
        <v>108</v>
      </c>
      <c r="D33" s="15"/>
      <c r="E33" s="3" t="s">
        <v>109</v>
      </c>
    </row>
    <row r="34" spans="1:5" ht="20.25" customHeight="1">
      <c r="A34" s="83">
        <v>31</v>
      </c>
      <c r="B34" s="30" t="s">
        <v>63</v>
      </c>
      <c r="C34" s="14" t="s">
        <v>108</v>
      </c>
      <c r="D34" s="15"/>
      <c r="E34" s="3" t="s">
        <v>109</v>
      </c>
    </row>
    <row r="35" spans="1:5" ht="20.25" customHeight="1">
      <c r="A35" s="84">
        <v>32</v>
      </c>
      <c r="B35" s="87" t="s">
        <v>64</v>
      </c>
      <c r="C35" s="16" t="s">
        <v>108</v>
      </c>
      <c r="D35" s="17"/>
      <c r="E35" s="4" t="s">
        <v>109</v>
      </c>
    </row>
  </sheetData>
  <mergeCells count="1">
    <mergeCell ref="A1:E1"/>
  </mergeCells>
  <dataValidations count="1">
    <dataValidation type="list" sqref="C4:C35" xr:uid="{00000000-0002-0000-0200-000000000000}">
      <formula1>"Active,Inactive"</formula1>
    </dataValidation>
  </dataValidations>
  <pageMargins left="0.25" right="0.25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4"/>
  <sheetViews>
    <sheetView tabSelected="1" workbookViewId="0">
      <selection activeCell="E56" sqref="E56"/>
    </sheetView>
  </sheetViews>
  <sheetFormatPr defaultRowHeight="14.25"/>
  <cols>
    <col min="1" max="1" width="14.875" customWidth="1"/>
    <col min="2" max="2" width="6.5" customWidth="1"/>
    <col min="3" max="3" width="28" customWidth="1"/>
    <col min="4" max="4" width="10" customWidth="1"/>
    <col min="5" max="5" width="28" customWidth="1"/>
    <col min="6" max="6" width="10" customWidth="1"/>
    <col min="7" max="7" width="24" customWidth="1"/>
    <col min="8" max="9" width="28" customWidth="1"/>
    <col min="10" max="10" width="24" customWidth="1"/>
  </cols>
  <sheetData>
    <row r="1" spans="1:10" ht="27.95" customHeight="1">
      <c r="A1" s="38" t="s">
        <v>65</v>
      </c>
      <c r="B1" s="39"/>
      <c r="C1" s="47"/>
      <c r="D1" s="48"/>
      <c r="E1" s="47"/>
      <c r="F1" s="48"/>
      <c r="G1" s="47"/>
      <c r="H1" s="47"/>
      <c r="I1" s="47"/>
      <c r="J1" s="39"/>
    </row>
    <row r="2" spans="1:10">
      <c r="A2" s="49" t="s">
        <v>66</v>
      </c>
      <c r="B2" s="39"/>
      <c r="C2" s="47"/>
      <c r="D2" s="48"/>
      <c r="E2" s="47"/>
      <c r="F2" s="48"/>
      <c r="G2" s="47"/>
      <c r="H2" s="47"/>
      <c r="I2" s="47"/>
      <c r="J2" s="39"/>
    </row>
    <row r="3" spans="1:10">
      <c r="C3" s="1"/>
      <c r="D3" s="2"/>
      <c r="E3" s="1"/>
      <c r="F3" s="2"/>
      <c r="G3" s="1"/>
      <c r="H3" s="1"/>
      <c r="I3" s="1"/>
    </row>
    <row r="4" spans="1:10" ht="15">
      <c r="A4" s="50" t="s">
        <v>67</v>
      </c>
      <c r="B4" s="51"/>
      <c r="C4" s="52"/>
      <c r="D4" s="53"/>
      <c r="E4" s="52"/>
      <c r="F4" s="53"/>
      <c r="G4" s="52"/>
      <c r="H4" s="52"/>
      <c r="I4" s="52"/>
      <c r="J4" s="54"/>
    </row>
    <row r="5" spans="1:10" ht="15">
      <c r="A5" s="18" t="s">
        <v>68</v>
      </c>
      <c r="B5" s="19" t="s">
        <v>69</v>
      </c>
      <c r="C5" s="26" t="s">
        <v>70</v>
      </c>
      <c r="D5" s="20" t="s">
        <v>71</v>
      </c>
      <c r="E5" s="26" t="s">
        <v>72</v>
      </c>
      <c r="F5" s="20" t="s">
        <v>73</v>
      </c>
      <c r="G5" s="26" t="s">
        <v>74</v>
      </c>
      <c r="H5" s="26" t="s">
        <v>75</v>
      </c>
      <c r="I5" s="26" t="s">
        <v>76</v>
      </c>
      <c r="J5" s="21" t="s">
        <v>32</v>
      </c>
    </row>
    <row r="6" spans="1:10">
      <c r="A6" s="22" t="s">
        <v>67</v>
      </c>
      <c r="B6" s="23">
        <v>1</v>
      </c>
      <c r="C6" s="27" t="str">
        <f>IF(Setup!$B$5=32,IF(INDEX(Teams!$C$4:$C$35,1)="Active",INDEX(Teams!$B$4:$B$35,1),""),"")</f>
        <v>Seed 1</v>
      </c>
      <c r="D6" s="94"/>
      <c r="E6" s="27" t="str">
        <f>IF(Setup!$B$5=32,IF(INDEX(Teams!$C$4:$C$35,32)="Active",INDEX(Teams!$B$4:$B$35,32),""),"")</f>
        <v>Seed 32</v>
      </c>
      <c r="F6" s="94"/>
      <c r="G6" s="30"/>
      <c r="H6" s="27" t="str">
        <f t="shared" ref="H6:H21" si="0">IF(G6&lt;&gt;"",G6,IF(AND(C6&lt;&gt;"",E6&lt;&gt;"",D6&lt;&gt;"",F6&lt;&gt;""),IF(D6&gt;F6,C6,IF(F6&gt;D6,E6,"")),""))</f>
        <v/>
      </c>
      <c r="I6" s="27" t="str">
        <f t="shared" ref="I6:I21" si="1">IF(H6="","",IF(H6=C6,E6,IF(H6=E6,C6,"")))</f>
        <v/>
      </c>
      <c r="J6" s="9"/>
    </row>
    <row r="7" spans="1:10">
      <c r="A7" s="22" t="s">
        <v>67</v>
      </c>
      <c r="B7" s="23">
        <v>2</v>
      </c>
      <c r="C7" s="27" t="str">
        <f>IF(Setup!$B$5=32,IF(INDEX(Teams!$C$4:$C$35,16)="Active",INDEX(Teams!$B$4:$B$35,16),""),"")</f>
        <v>Seed 16</v>
      </c>
      <c r="D7" s="94"/>
      <c r="E7" s="27" t="str">
        <f>IF(Setup!$B$5=32,IF(INDEX(Teams!$C$4:$C$35,17)="Active",INDEX(Teams!$B$4:$B$35,17),""),"")</f>
        <v>Seed 17</v>
      </c>
      <c r="F7" s="94"/>
      <c r="G7" s="30"/>
      <c r="H7" s="27" t="str">
        <f t="shared" si="0"/>
        <v/>
      </c>
      <c r="I7" s="27" t="str">
        <f t="shared" si="1"/>
        <v/>
      </c>
      <c r="J7" s="9"/>
    </row>
    <row r="8" spans="1:10">
      <c r="A8" s="22" t="s">
        <v>67</v>
      </c>
      <c r="B8" s="23">
        <v>3</v>
      </c>
      <c r="C8" s="27" t="str">
        <f>IF(Setup!$B$5=32,IF(INDEX(Teams!$C$4:$C$35,8)="Active",INDEX(Teams!$B$4:$B$35,8),""),"")</f>
        <v>Seed 8</v>
      </c>
      <c r="D8" s="94"/>
      <c r="E8" s="27" t="str">
        <f>IF(Setup!$B$5=32,IF(INDEX(Teams!$C$4:$C$35,25)="Active",INDEX(Teams!$B$4:$B$35,25),""),"")</f>
        <v>Seed 25</v>
      </c>
      <c r="F8" s="94"/>
      <c r="G8" s="30"/>
      <c r="H8" s="27" t="str">
        <f t="shared" si="0"/>
        <v/>
      </c>
      <c r="I8" s="27" t="str">
        <f t="shared" si="1"/>
        <v/>
      </c>
      <c r="J8" s="9"/>
    </row>
    <row r="9" spans="1:10">
      <c r="A9" s="22" t="s">
        <v>67</v>
      </c>
      <c r="B9" s="23">
        <v>4</v>
      </c>
      <c r="C9" s="27" t="str">
        <f>IF(Setup!$B$5=32,IF(INDEX(Teams!$C$4:$C$35,9)="Active",INDEX(Teams!$B$4:$B$35,9),""),"")</f>
        <v>Seed 9</v>
      </c>
      <c r="D9" s="94"/>
      <c r="E9" s="27" t="str">
        <f>IF(Setup!$B$5=32,IF(INDEX(Teams!$C$4:$C$35,24)="Active",INDEX(Teams!$B$4:$B$35,24),""),"")</f>
        <v>Seed 24</v>
      </c>
      <c r="F9" s="94"/>
      <c r="G9" s="30"/>
      <c r="H9" s="27" t="str">
        <f t="shared" si="0"/>
        <v/>
      </c>
      <c r="I9" s="27" t="str">
        <f t="shared" si="1"/>
        <v/>
      </c>
      <c r="J9" s="9"/>
    </row>
    <row r="10" spans="1:10">
      <c r="A10" s="22" t="s">
        <v>67</v>
      </c>
      <c r="B10" s="23">
        <v>5</v>
      </c>
      <c r="C10" s="27" t="str">
        <f>IF(Setup!$B$5=32,IF(INDEX(Teams!$C$4:$C$35,4)="Active",INDEX(Teams!$B$4:$B$35,4),""),"")</f>
        <v>Seed 4</v>
      </c>
      <c r="D10" s="94"/>
      <c r="E10" s="27" t="str">
        <f>IF(Setup!$B$5=32,IF(INDEX(Teams!$C$4:$C$35,29)="Active",INDEX(Teams!$B$4:$B$35,29),""),"")</f>
        <v>Seed 29</v>
      </c>
      <c r="F10" s="94"/>
      <c r="G10" s="30"/>
      <c r="H10" s="27" t="str">
        <f t="shared" si="0"/>
        <v/>
      </c>
      <c r="I10" s="27" t="str">
        <f t="shared" si="1"/>
        <v/>
      </c>
      <c r="J10" s="9"/>
    </row>
    <row r="11" spans="1:10">
      <c r="A11" s="22" t="s">
        <v>67</v>
      </c>
      <c r="B11" s="23">
        <v>6</v>
      </c>
      <c r="C11" s="27" t="str">
        <f>IF(Setup!$B$5=32,IF(INDEX(Teams!$C$4:$C$35,13)="Active",INDEX(Teams!$B$4:$B$35,13),""),"")</f>
        <v>Seed 13</v>
      </c>
      <c r="D11" s="94"/>
      <c r="E11" s="27" t="str">
        <f>IF(Setup!$B$5=32,IF(INDEX(Teams!$C$4:$C$35,20)="Active",INDEX(Teams!$B$4:$B$35,20),""),"")</f>
        <v>Seed 20</v>
      </c>
      <c r="F11" s="94"/>
      <c r="G11" s="30"/>
      <c r="H11" s="27" t="str">
        <f t="shared" si="0"/>
        <v/>
      </c>
      <c r="I11" s="27" t="str">
        <f t="shared" si="1"/>
        <v/>
      </c>
      <c r="J11" s="9"/>
    </row>
    <row r="12" spans="1:10">
      <c r="A12" s="22" t="s">
        <v>67</v>
      </c>
      <c r="B12" s="23">
        <v>7</v>
      </c>
      <c r="C12" s="27" t="str">
        <f>IF(Setup!$B$5=32,IF(INDEX(Teams!$C$4:$C$35,5)="Active",INDEX(Teams!$B$4:$B$35,5),""),"")</f>
        <v>Seed 5</v>
      </c>
      <c r="D12" s="94"/>
      <c r="E12" s="27" t="str">
        <f>IF(Setup!$B$5=32,IF(INDEX(Teams!$C$4:$C$35,28)="Active",INDEX(Teams!$B$4:$B$35,28),""),"")</f>
        <v>Seed 28</v>
      </c>
      <c r="F12" s="94"/>
      <c r="G12" s="30"/>
      <c r="H12" s="27" t="str">
        <f t="shared" si="0"/>
        <v/>
      </c>
      <c r="I12" s="27" t="str">
        <f t="shared" si="1"/>
        <v/>
      </c>
      <c r="J12" s="9"/>
    </row>
    <row r="13" spans="1:10">
      <c r="A13" s="22" t="s">
        <v>67</v>
      </c>
      <c r="B13" s="23">
        <v>8</v>
      </c>
      <c r="C13" s="27" t="str">
        <f>IF(Setup!$B$5=32,IF(INDEX(Teams!$C$4:$C$35,12)="Active",INDEX(Teams!$B$4:$B$35,12),""),"")</f>
        <v>Seed 12</v>
      </c>
      <c r="D13" s="94"/>
      <c r="E13" s="27" t="str">
        <f>IF(Setup!$B$5=32,IF(INDEX(Teams!$C$4:$C$35,21)="Active",INDEX(Teams!$B$4:$B$35,21),""),"")</f>
        <v>Seed 21</v>
      </c>
      <c r="F13" s="94"/>
      <c r="G13" s="30"/>
      <c r="H13" s="27" t="str">
        <f t="shared" si="0"/>
        <v/>
      </c>
      <c r="I13" s="27" t="str">
        <f t="shared" si="1"/>
        <v/>
      </c>
      <c r="J13" s="9"/>
    </row>
    <row r="14" spans="1:10">
      <c r="A14" s="22" t="s">
        <v>67</v>
      </c>
      <c r="B14" s="23">
        <v>9</v>
      </c>
      <c r="C14" s="27" t="str">
        <f>IF(Setup!$B$5=32,IF(INDEX(Teams!$C$4:$C$35,2)="Active",INDEX(Teams!$B$4:$B$35,2),""),"")</f>
        <v>Seed 2</v>
      </c>
      <c r="D14" s="94"/>
      <c r="E14" s="27" t="str">
        <f>IF(Setup!$B$5=32,IF(INDEX(Teams!$C$4:$C$35,31)="Active",INDEX(Teams!$B$4:$B$35,31),""),"")</f>
        <v>Seed 31</v>
      </c>
      <c r="F14" s="94"/>
      <c r="G14" s="30"/>
      <c r="H14" s="27" t="str">
        <f t="shared" si="0"/>
        <v/>
      </c>
      <c r="I14" s="27" t="str">
        <f t="shared" si="1"/>
        <v/>
      </c>
      <c r="J14" s="9"/>
    </row>
    <row r="15" spans="1:10">
      <c r="A15" s="22" t="s">
        <v>67</v>
      </c>
      <c r="B15" s="23">
        <v>10</v>
      </c>
      <c r="C15" s="27" t="str">
        <f>IF(Setup!$B$5=32,IF(INDEX(Teams!$C$4:$C$35,15)="Active",INDEX(Teams!$B$4:$B$35,15),""),"")</f>
        <v>Seed 15</v>
      </c>
      <c r="D15" s="94"/>
      <c r="E15" s="27" t="str">
        <f>IF(Setup!$B$5=32,IF(INDEX(Teams!$C$4:$C$35,18)="Active",INDEX(Teams!$B$4:$B$35,18),""),"")</f>
        <v>Seed 18</v>
      </c>
      <c r="F15" s="94"/>
      <c r="G15" s="30"/>
      <c r="H15" s="27" t="str">
        <f t="shared" si="0"/>
        <v/>
      </c>
      <c r="I15" s="27" t="str">
        <f t="shared" si="1"/>
        <v/>
      </c>
      <c r="J15" s="9"/>
    </row>
    <row r="16" spans="1:10">
      <c r="A16" s="22" t="s">
        <v>67</v>
      </c>
      <c r="B16" s="23">
        <v>11</v>
      </c>
      <c r="C16" s="27" t="str">
        <f>IF(Setup!$B$5=32,IF(INDEX(Teams!$C$4:$C$35,7)="Active",INDEX(Teams!$B$4:$B$35,7),""),"")</f>
        <v>Seed 7</v>
      </c>
      <c r="D16" s="94"/>
      <c r="E16" s="27" t="str">
        <f>IF(Setup!$B$5=32,IF(INDEX(Teams!$C$4:$C$35,26)="Active",INDEX(Teams!$B$4:$B$35,26),""),"")</f>
        <v>Seed 26</v>
      </c>
      <c r="F16" s="94"/>
      <c r="G16" s="30"/>
      <c r="H16" s="27" t="str">
        <f t="shared" si="0"/>
        <v/>
      </c>
      <c r="I16" s="27" t="str">
        <f t="shared" si="1"/>
        <v/>
      </c>
      <c r="J16" s="9"/>
    </row>
    <row r="17" spans="1:10">
      <c r="A17" s="22" t="s">
        <v>67</v>
      </c>
      <c r="B17" s="23">
        <v>12</v>
      </c>
      <c r="C17" s="27" t="str">
        <f>IF(Setup!$B$5=32,IF(INDEX(Teams!$C$4:$C$35,10)="Active",INDEX(Teams!$B$4:$B$35,10),""),"")</f>
        <v>Seed 10</v>
      </c>
      <c r="D17" s="94"/>
      <c r="E17" s="27" t="str">
        <f>IF(Setup!$B$5=32,IF(INDEX(Teams!$C$4:$C$35,23)="Active",INDEX(Teams!$B$4:$B$35,23),""),"")</f>
        <v>Seed 23</v>
      </c>
      <c r="F17" s="94"/>
      <c r="G17" s="30"/>
      <c r="H17" s="27" t="str">
        <f t="shared" si="0"/>
        <v/>
      </c>
      <c r="I17" s="27" t="str">
        <f t="shared" si="1"/>
        <v/>
      </c>
      <c r="J17" s="9"/>
    </row>
    <row r="18" spans="1:10">
      <c r="A18" s="22" t="s">
        <v>67</v>
      </c>
      <c r="B18" s="23">
        <v>13</v>
      </c>
      <c r="C18" s="27" t="str">
        <f>IF(Setup!$B$5=32,IF(INDEX(Teams!$C$4:$C$35,3)="Active",INDEX(Teams!$B$4:$B$35,3),""),"")</f>
        <v>Seed 3</v>
      </c>
      <c r="D18" s="94"/>
      <c r="E18" s="27" t="str">
        <f>IF(Setup!$B$5=32,IF(INDEX(Teams!$C$4:$C$35,30)="Active",INDEX(Teams!$B$4:$B$35,30),""),"")</f>
        <v>Seed 30</v>
      </c>
      <c r="F18" s="94"/>
      <c r="G18" s="30"/>
      <c r="H18" s="27" t="str">
        <f t="shared" si="0"/>
        <v/>
      </c>
      <c r="I18" s="27" t="str">
        <f t="shared" si="1"/>
        <v/>
      </c>
      <c r="J18" s="9"/>
    </row>
    <row r="19" spans="1:10">
      <c r="A19" s="22" t="s">
        <v>67</v>
      </c>
      <c r="B19" s="23">
        <v>14</v>
      </c>
      <c r="C19" s="27" t="str">
        <f>IF(Setup!$B$5=32,IF(INDEX(Teams!$C$4:$C$35,14)="Active",INDEX(Teams!$B$4:$B$35,14),""),"")</f>
        <v>Seed 14</v>
      </c>
      <c r="D19" s="94"/>
      <c r="E19" s="27" t="str">
        <f>IF(Setup!$B$5=32,IF(INDEX(Teams!$C$4:$C$35,19)="Active",INDEX(Teams!$B$4:$B$35,19),""),"")</f>
        <v>Seed 19</v>
      </c>
      <c r="F19" s="94"/>
      <c r="G19" s="30"/>
      <c r="H19" s="27" t="str">
        <f t="shared" si="0"/>
        <v/>
      </c>
      <c r="I19" s="27" t="str">
        <f t="shared" si="1"/>
        <v/>
      </c>
      <c r="J19" s="9"/>
    </row>
    <row r="20" spans="1:10">
      <c r="A20" s="22" t="s">
        <v>67</v>
      </c>
      <c r="B20" s="23">
        <v>15</v>
      </c>
      <c r="C20" s="27" t="str">
        <f>IF(Setup!$B$5=32,IF(INDEX(Teams!$C$4:$C$35,6)="Active",INDEX(Teams!$B$4:$B$35,6),""),"")</f>
        <v>Seed 6</v>
      </c>
      <c r="D20" s="94"/>
      <c r="E20" s="27" t="str">
        <f>IF(Setup!$B$5=32,IF(INDEX(Teams!$C$4:$C$35,27)="Active",INDEX(Teams!$B$4:$B$35,27),""),"")</f>
        <v>Seed 27</v>
      </c>
      <c r="F20" s="94"/>
      <c r="G20" s="30"/>
      <c r="H20" s="27" t="str">
        <f t="shared" si="0"/>
        <v/>
      </c>
      <c r="I20" s="27" t="str">
        <f t="shared" si="1"/>
        <v/>
      </c>
      <c r="J20" s="9"/>
    </row>
    <row r="21" spans="1:10">
      <c r="A21" s="22" t="s">
        <v>67</v>
      </c>
      <c r="B21" s="23">
        <v>16</v>
      </c>
      <c r="C21" s="27" t="str">
        <f>IF(Setup!$B$5=32,IF(INDEX(Teams!$C$4:$C$35,11)="Active",INDEX(Teams!$B$4:$B$35,11),""),"")</f>
        <v>Seed 11</v>
      </c>
      <c r="D21" s="94"/>
      <c r="E21" s="27" t="str">
        <f>IF(Setup!$B$5=32,IF(INDEX(Teams!$C$4:$C$35,22)="Active",INDEX(Teams!$B$4:$B$35,22),""),"")</f>
        <v>Seed 22</v>
      </c>
      <c r="F21" s="94"/>
      <c r="G21" s="30"/>
      <c r="H21" s="27" t="str">
        <f t="shared" si="0"/>
        <v/>
      </c>
      <c r="I21" s="27" t="str">
        <f t="shared" si="1"/>
        <v/>
      </c>
      <c r="J21" s="9"/>
    </row>
    <row r="22" spans="1:10">
      <c r="A22" s="7"/>
      <c r="B22" s="15"/>
      <c r="C22" s="28"/>
      <c r="D22" s="24"/>
      <c r="E22" s="28"/>
      <c r="F22" s="24"/>
      <c r="G22" s="28"/>
      <c r="H22" s="28"/>
      <c r="I22" s="28"/>
      <c r="J22" s="9"/>
    </row>
    <row r="23" spans="1:10" ht="15">
      <c r="A23" s="42" t="s">
        <v>77</v>
      </c>
      <c r="B23" s="43"/>
      <c r="C23" s="44"/>
      <c r="D23" s="45"/>
      <c r="E23" s="44"/>
      <c r="F23" s="45"/>
      <c r="G23" s="44"/>
      <c r="H23" s="44"/>
      <c r="I23" s="44"/>
      <c r="J23" s="46"/>
    </row>
    <row r="24" spans="1:10" ht="15">
      <c r="A24" s="18" t="s">
        <v>68</v>
      </c>
      <c r="B24" s="19" t="s">
        <v>69</v>
      </c>
      <c r="C24" s="26" t="s">
        <v>70</v>
      </c>
      <c r="D24" s="20" t="s">
        <v>71</v>
      </c>
      <c r="E24" s="26" t="s">
        <v>72</v>
      </c>
      <c r="F24" s="20" t="s">
        <v>73</v>
      </c>
      <c r="G24" s="26" t="s">
        <v>74</v>
      </c>
      <c r="H24" s="26" t="s">
        <v>75</v>
      </c>
      <c r="I24" s="26" t="s">
        <v>76</v>
      </c>
      <c r="J24" s="21" t="s">
        <v>32</v>
      </c>
    </row>
    <row r="25" spans="1:10">
      <c r="A25" s="22" t="s">
        <v>77</v>
      </c>
      <c r="B25" s="23">
        <v>1</v>
      </c>
      <c r="C25" s="27" t="str">
        <f>IF(Setup!$B$5=16,IF(INDEX(Teams!$C$4:$C$35,1)="Active",INDEX(Teams!$B$4:$B$35,1),""),IF(Setup!$B$5=32,IF(H6="","",H6),""))</f>
        <v/>
      </c>
      <c r="D25" s="94"/>
      <c r="E25" s="27" t="str">
        <f>IF(Setup!$B$5=16,IF(INDEX(Teams!$C$4:$C$35,16)="Active",INDEX(Teams!$B$4:$B$35,16),""),IF(Setup!$B$5=32,IF(H7="","",H7),""))</f>
        <v/>
      </c>
      <c r="F25" s="94"/>
      <c r="G25" s="30"/>
      <c r="H25" s="27" t="str">
        <f t="shared" ref="H25:H32" si="2">IF(G25&lt;&gt;"",G25,IF(AND(C25&lt;&gt;"",E25&lt;&gt;"",D25&lt;&gt;"",F25&lt;&gt;""),IF(D25&gt;F25,C25,IF(F25&gt;D25,E25,"")),""))</f>
        <v/>
      </c>
      <c r="I25" s="27" t="str">
        <f t="shared" ref="I25:I32" si="3">IF(H25="","",IF(H25=C25,E25,IF(H25=E25,C25,"")))</f>
        <v/>
      </c>
      <c r="J25" s="9"/>
    </row>
    <row r="26" spans="1:10">
      <c r="A26" s="22" t="s">
        <v>77</v>
      </c>
      <c r="B26" s="23">
        <v>2</v>
      </c>
      <c r="C26" s="27" t="str">
        <f>IF(Setup!$B$5=16,IF(INDEX(Teams!$C$4:$C$35,8)="Active",INDEX(Teams!$B$4:$B$35,8),""),IF(Setup!$B$5=32,IF(H8="","",H8),""))</f>
        <v/>
      </c>
      <c r="D26" s="94"/>
      <c r="E26" s="27" t="str">
        <f>IF(Setup!$B$5=16,IF(INDEX(Teams!$C$4:$C$35,9)="Active",INDEX(Teams!$B$4:$B$35,9),""),IF(Setup!$B$5=32,IF(H9="","",H9),""))</f>
        <v/>
      </c>
      <c r="F26" s="94"/>
      <c r="G26" s="30"/>
      <c r="H26" s="27" t="str">
        <f t="shared" si="2"/>
        <v/>
      </c>
      <c r="I26" s="27" t="str">
        <f t="shared" si="3"/>
        <v/>
      </c>
      <c r="J26" s="9"/>
    </row>
    <row r="27" spans="1:10">
      <c r="A27" s="22" t="s">
        <v>77</v>
      </c>
      <c r="B27" s="23">
        <v>3</v>
      </c>
      <c r="C27" s="27" t="str">
        <f>IF(Setup!$B$5=16,IF(INDEX(Teams!$C$4:$C$35,4)="Active",INDEX(Teams!$B$4:$B$35,4),""),IF(Setup!$B$5=32,IF(H10="","",H10),""))</f>
        <v/>
      </c>
      <c r="D27" s="94"/>
      <c r="E27" s="27" t="str">
        <f>IF(Setup!$B$5=16,IF(INDEX(Teams!$C$4:$C$35,13)="Active",INDEX(Teams!$B$4:$B$35,13),""),IF(Setup!$B$5=32,IF(H11="","",H11),""))</f>
        <v/>
      </c>
      <c r="F27" s="94"/>
      <c r="G27" s="30"/>
      <c r="H27" s="27" t="str">
        <f t="shared" si="2"/>
        <v/>
      </c>
      <c r="I27" s="27" t="str">
        <f t="shared" si="3"/>
        <v/>
      </c>
      <c r="J27" s="9"/>
    </row>
    <row r="28" spans="1:10">
      <c r="A28" s="22" t="s">
        <v>77</v>
      </c>
      <c r="B28" s="23">
        <v>4</v>
      </c>
      <c r="C28" s="27" t="str">
        <f>IF(Setup!$B$5=16,IF(INDEX(Teams!$C$4:$C$35,5)="Active",INDEX(Teams!$B$4:$B$35,5),""),IF(Setup!$B$5=32,IF(H12="","",H12),""))</f>
        <v/>
      </c>
      <c r="D28" s="94"/>
      <c r="E28" s="27" t="str">
        <f>IF(Setup!$B$5=16,IF(INDEX(Teams!$C$4:$C$35,12)="Active",INDEX(Teams!$B$4:$B$35,12),""),IF(Setup!$B$5=32,IF(H13="","",H13),""))</f>
        <v/>
      </c>
      <c r="F28" s="94"/>
      <c r="G28" s="30"/>
      <c r="H28" s="27" t="str">
        <f t="shared" si="2"/>
        <v/>
      </c>
      <c r="I28" s="27" t="str">
        <f t="shared" si="3"/>
        <v/>
      </c>
      <c r="J28" s="9"/>
    </row>
    <row r="29" spans="1:10">
      <c r="A29" s="22" t="s">
        <v>77</v>
      </c>
      <c r="B29" s="23">
        <v>5</v>
      </c>
      <c r="C29" s="27" t="str">
        <f>IF(Setup!$B$5=16,IF(INDEX(Teams!$C$4:$C$35,2)="Active",INDEX(Teams!$B$4:$B$35,2),""),IF(Setup!$B$5=32,IF(H14="","",H14),""))</f>
        <v/>
      </c>
      <c r="D29" s="94"/>
      <c r="E29" s="27" t="str">
        <f>IF(Setup!$B$5=16,IF(INDEX(Teams!$C$4:$C$35,15)="Active",INDEX(Teams!$B$4:$B$35,15),""),IF(Setup!$B$5=32,IF(H15="","",H15),""))</f>
        <v/>
      </c>
      <c r="F29" s="94"/>
      <c r="G29" s="30"/>
      <c r="H29" s="27" t="str">
        <f t="shared" si="2"/>
        <v/>
      </c>
      <c r="I29" s="27" t="str">
        <f t="shared" si="3"/>
        <v/>
      </c>
      <c r="J29" s="9"/>
    </row>
    <row r="30" spans="1:10">
      <c r="A30" s="22" t="s">
        <v>77</v>
      </c>
      <c r="B30" s="23">
        <v>6</v>
      </c>
      <c r="C30" s="27" t="str">
        <f>IF(Setup!$B$5=16,IF(INDEX(Teams!$C$4:$C$35,7)="Active",INDEX(Teams!$B$4:$B$35,7),""),IF(Setup!$B$5=32,IF(H16="","",H16),""))</f>
        <v/>
      </c>
      <c r="D30" s="94"/>
      <c r="E30" s="27" t="str">
        <f>IF(Setup!$B$5=16,IF(INDEX(Teams!$C$4:$C$35,10)="Active",INDEX(Teams!$B$4:$B$35,10),""),IF(Setup!$B$5=32,IF(H17="","",H17),""))</f>
        <v/>
      </c>
      <c r="F30" s="94"/>
      <c r="G30" s="30"/>
      <c r="H30" s="27" t="str">
        <f t="shared" si="2"/>
        <v/>
      </c>
      <c r="I30" s="27" t="str">
        <f t="shared" si="3"/>
        <v/>
      </c>
      <c r="J30" s="9"/>
    </row>
    <row r="31" spans="1:10">
      <c r="A31" s="22" t="s">
        <v>77</v>
      </c>
      <c r="B31" s="23">
        <v>7</v>
      </c>
      <c r="C31" s="27" t="str">
        <f>IF(Setup!$B$5=16,IF(INDEX(Teams!$C$4:$C$35,3)="Active",INDEX(Teams!$B$4:$B$35,3),""),IF(Setup!$B$5=32,IF(H18="","",H18),""))</f>
        <v/>
      </c>
      <c r="D31" s="94"/>
      <c r="E31" s="27" t="str">
        <f>IF(Setup!$B$5=16,IF(INDEX(Teams!$C$4:$C$35,14)="Active",INDEX(Teams!$B$4:$B$35,14),""),IF(Setup!$B$5=32,IF(H19="","",H19),""))</f>
        <v/>
      </c>
      <c r="F31" s="94"/>
      <c r="G31" s="30"/>
      <c r="H31" s="27" t="str">
        <f t="shared" si="2"/>
        <v/>
      </c>
      <c r="I31" s="27" t="str">
        <f t="shared" si="3"/>
        <v/>
      </c>
      <c r="J31" s="9"/>
    </row>
    <row r="32" spans="1:10">
      <c r="A32" s="22" t="s">
        <v>77</v>
      </c>
      <c r="B32" s="23">
        <v>8</v>
      </c>
      <c r="C32" s="27" t="str">
        <f>IF(Setup!$B$5=16,IF(INDEX(Teams!$C$4:$C$35,6)="Active",INDEX(Teams!$B$4:$B$35,6),""),IF(Setup!$B$5=32,IF(H20="","",H20),""))</f>
        <v/>
      </c>
      <c r="D32" s="94"/>
      <c r="E32" s="27" t="str">
        <f>IF(Setup!$B$5=16,IF(INDEX(Teams!$C$4:$C$35,11)="Active",INDEX(Teams!$B$4:$B$35,11),""),IF(Setup!$B$5=32,IF(H21="","",H21),""))</f>
        <v/>
      </c>
      <c r="F32" s="94"/>
      <c r="G32" s="30"/>
      <c r="H32" s="27" t="str">
        <f t="shared" si="2"/>
        <v/>
      </c>
      <c r="I32" s="27" t="str">
        <f t="shared" si="3"/>
        <v/>
      </c>
      <c r="J32" s="9"/>
    </row>
    <row r="33" spans="1:10">
      <c r="A33" s="7"/>
      <c r="B33" s="15"/>
      <c r="C33" s="28"/>
      <c r="D33" s="24"/>
      <c r="E33" s="28"/>
      <c r="F33" s="24"/>
      <c r="G33" s="28"/>
      <c r="H33" s="28"/>
      <c r="I33" s="28"/>
      <c r="J33" s="9"/>
    </row>
    <row r="34" spans="1:10" ht="15">
      <c r="A34" s="42" t="s">
        <v>78</v>
      </c>
      <c r="B34" s="43"/>
      <c r="C34" s="44"/>
      <c r="D34" s="45"/>
      <c r="E34" s="44"/>
      <c r="F34" s="45"/>
      <c r="G34" s="44"/>
      <c r="H34" s="44"/>
      <c r="I34" s="44"/>
      <c r="J34" s="46"/>
    </row>
    <row r="35" spans="1:10" ht="15">
      <c r="A35" s="18" t="s">
        <v>68</v>
      </c>
      <c r="B35" s="19" t="s">
        <v>69</v>
      </c>
      <c r="C35" s="26" t="s">
        <v>70</v>
      </c>
      <c r="D35" s="20" t="s">
        <v>71</v>
      </c>
      <c r="E35" s="26" t="s">
        <v>72</v>
      </c>
      <c r="F35" s="20" t="s">
        <v>73</v>
      </c>
      <c r="G35" s="26" t="s">
        <v>74</v>
      </c>
      <c r="H35" s="26" t="s">
        <v>75</v>
      </c>
      <c r="I35" s="26" t="s">
        <v>76</v>
      </c>
      <c r="J35" s="21" t="s">
        <v>32</v>
      </c>
    </row>
    <row r="36" spans="1:10">
      <c r="A36" s="22" t="s">
        <v>78</v>
      </c>
      <c r="B36" s="23">
        <v>1</v>
      </c>
      <c r="C36" s="27" t="str">
        <f>IF(Setup!$B$5=8,IF(INDEX(Teams!$C$4:$C$35,1)="Active",INDEX(Teams!$B$4:$B$35,1),""),IF(OR(Setup!$B$5=16,Setup!$B$5=32),IF(H25="","",H25),""))</f>
        <v/>
      </c>
      <c r="D36" s="94"/>
      <c r="E36" s="27" t="str">
        <f>IF(Setup!$B$5=8,IF(INDEX(Teams!$C$4:$C$35,8)="Active",INDEX(Teams!$B$4:$B$35,8),""),IF(OR(Setup!$B$5=16,Setup!$B$5=32),IF(H26="","",H26),""))</f>
        <v/>
      </c>
      <c r="F36" s="94"/>
      <c r="G36" s="30"/>
      <c r="H36" s="27" t="str">
        <f>IF(G36&lt;&gt;"",G36,IF(AND(C36&lt;&gt;"",E36&lt;&gt;"",D36&lt;&gt;"",F36&lt;&gt;""),IF(D36&gt;F36,C36,IF(F36&gt;D36,E36,"")),""))</f>
        <v/>
      </c>
      <c r="I36" s="27" t="str">
        <f>IF(H36="","",IF(H36=C36,E36,IF(H36=E36,C36,"")))</f>
        <v/>
      </c>
      <c r="J36" s="9"/>
    </row>
    <row r="37" spans="1:10">
      <c r="A37" s="22" t="s">
        <v>78</v>
      </c>
      <c r="B37" s="23">
        <v>2</v>
      </c>
      <c r="C37" s="27" t="str">
        <f>IF(Setup!$B$5=8,IF(INDEX(Teams!$C$4:$C$35,4)="Active",INDEX(Teams!$B$4:$B$35,4),""),IF(OR(Setup!$B$5=16,Setup!$B$5=32),IF(H27="","",H27),""))</f>
        <v/>
      </c>
      <c r="D37" s="94"/>
      <c r="E37" s="27" t="str">
        <f>IF(Setup!$B$5=8,IF(INDEX(Teams!$C$4:$C$35,5)="Active",INDEX(Teams!$B$4:$B$35,5),""),IF(OR(Setup!$B$5=16,Setup!$B$5=32),IF(H28="","",H28),""))</f>
        <v/>
      </c>
      <c r="F37" s="94"/>
      <c r="G37" s="30"/>
      <c r="H37" s="27" t="str">
        <f>IF(G37&lt;&gt;"",G37,IF(AND(C37&lt;&gt;"",E37&lt;&gt;"",D37&lt;&gt;"",F37&lt;&gt;""),IF(D37&gt;F37,C37,IF(F37&gt;D37,E37,"")),""))</f>
        <v/>
      </c>
      <c r="I37" s="27" t="str">
        <f>IF(H37="","",IF(H37=C37,E37,IF(H37=E37,C37,"")))</f>
        <v/>
      </c>
      <c r="J37" s="9"/>
    </row>
    <row r="38" spans="1:10">
      <c r="A38" s="22" t="s">
        <v>78</v>
      </c>
      <c r="B38" s="23">
        <v>3</v>
      </c>
      <c r="C38" s="27" t="str">
        <f>IF(Setup!$B$5=8,IF(INDEX(Teams!$C$4:$C$35,2)="Active",INDEX(Teams!$B$4:$B$35,2),""),IF(OR(Setup!$B$5=16,Setup!$B$5=32),IF(H29="","",H29),""))</f>
        <v/>
      </c>
      <c r="D38" s="94"/>
      <c r="E38" s="27" t="str">
        <f>IF(Setup!$B$5=8,IF(INDEX(Teams!$C$4:$C$35,7)="Active",INDEX(Teams!$B$4:$B$35,7),""),IF(OR(Setup!$B$5=16,Setup!$B$5=32),IF(H30="","",H30),""))</f>
        <v/>
      </c>
      <c r="F38" s="94"/>
      <c r="G38" s="30"/>
      <c r="H38" s="27" t="str">
        <f>IF(G38&lt;&gt;"",G38,IF(AND(C38&lt;&gt;"",E38&lt;&gt;"",D38&lt;&gt;"",F38&lt;&gt;""),IF(D38&gt;F38,C38,IF(F38&gt;D38,E38,"")),""))</f>
        <v/>
      </c>
      <c r="I38" s="27" t="str">
        <f>IF(H38="","",IF(H38=C38,E38,IF(H38=E38,C38,"")))</f>
        <v/>
      </c>
      <c r="J38" s="9"/>
    </row>
    <row r="39" spans="1:10">
      <c r="A39" s="22" t="s">
        <v>78</v>
      </c>
      <c r="B39" s="23">
        <v>4</v>
      </c>
      <c r="C39" s="27" t="str">
        <f>IF(Setup!$B$5=8,IF(INDEX(Teams!$C$4:$C$35,3)="Active",INDEX(Teams!$B$4:$B$35,3),""),IF(OR(Setup!$B$5=16,Setup!$B$5=32),IF(H31="","",H31),""))</f>
        <v/>
      </c>
      <c r="D39" s="94"/>
      <c r="E39" s="27" t="str">
        <f>IF(Setup!$B$5=8,IF(INDEX(Teams!$C$4:$C$35,6)="Active",INDEX(Teams!$B$4:$B$35,6),""),IF(OR(Setup!$B$5=16,Setup!$B$5=32),IF(H32="","",H32),""))</f>
        <v/>
      </c>
      <c r="F39" s="94"/>
      <c r="G39" s="30"/>
      <c r="H39" s="27" t="str">
        <f>IF(G39&lt;&gt;"",G39,IF(AND(C39&lt;&gt;"",E39&lt;&gt;"",D39&lt;&gt;"",F39&lt;&gt;""),IF(D39&gt;F39,C39,IF(F39&gt;D39,E39,"")),""))</f>
        <v/>
      </c>
      <c r="I39" s="27" t="str">
        <f>IF(H39="","",IF(H39=C39,E39,IF(H39=E39,C39,"")))</f>
        <v/>
      </c>
      <c r="J39" s="9"/>
    </row>
    <row r="40" spans="1:10">
      <c r="A40" s="7"/>
      <c r="B40" s="15"/>
      <c r="C40" s="28"/>
      <c r="D40" s="24"/>
      <c r="E40" s="28"/>
      <c r="F40" s="24"/>
      <c r="G40" s="28"/>
      <c r="H40" s="28"/>
      <c r="I40" s="28"/>
      <c r="J40" s="9"/>
    </row>
    <row r="41" spans="1:10" ht="15">
      <c r="A41" s="42" t="s">
        <v>79</v>
      </c>
      <c r="B41" s="43"/>
      <c r="C41" s="44"/>
      <c r="D41" s="45"/>
      <c r="E41" s="44"/>
      <c r="F41" s="45"/>
      <c r="G41" s="44"/>
      <c r="H41" s="44"/>
      <c r="I41" s="44"/>
      <c r="J41" s="46"/>
    </row>
    <row r="42" spans="1:10" ht="15">
      <c r="A42" s="18" t="s">
        <v>68</v>
      </c>
      <c r="B42" s="19" t="s">
        <v>69</v>
      </c>
      <c r="C42" s="26" t="s">
        <v>70</v>
      </c>
      <c r="D42" s="20" t="s">
        <v>71</v>
      </c>
      <c r="E42" s="26" t="s">
        <v>72</v>
      </c>
      <c r="F42" s="20" t="s">
        <v>73</v>
      </c>
      <c r="G42" s="26" t="s">
        <v>74</v>
      </c>
      <c r="H42" s="26" t="s">
        <v>75</v>
      </c>
      <c r="I42" s="26" t="s">
        <v>76</v>
      </c>
      <c r="J42" s="21" t="s">
        <v>32</v>
      </c>
    </row>
    <row r="43" spans="1:10">
      <c r="A43" s="22" t="s">
        <v>79</v>
      </c>
      <c r="B43" s="23">
        <v>1</v>
      </c>
      <c r="C43" s="27" t="str">
        <f>IF(Setup!$B$5=4,IF(INDEX(Teams!$C$4:$C$35,1)="Active",INDEX(Teams!$B$4:$B$35,1),""),IF(H36="","",H36))</f>
        <v/>
      </c>
      <c r="D43" s="94"/>
      <c r="E43" s="27" t="str">
        <f>IF(Setup!$B$5=4,IF(INDEX(Teams!$C$4:$C$35,4)="Active",INDEX(Teams!$B$4:$B$35,4),""),IF(H37="","",H37))</f>
        <v/>
      </c>
      <c r="F43" s="94"/>
      <c r="G43" s="30"/>
      <c r="H43" s="27" t="str">
        <f>IF(G43&lt;&gt;"",G43,IF(AND(C43&lt;&gt;"",E43&lt;&gt;"",D43&lt;&gt;"",F43&lt;&gt;""),IF(D43&gt;F43,C43,IF(F43&gt;D43,E43,"")),""))</f>
        <v/>
      </c>
      <c r="I43" s="27" t="str">
        <f>IF(H43="","",IF(H43=C43,E43,IF(H43=E43,C43,"")))</f>
        <v/>
      </c>
      <c r="J43" s="9"/>
    </row>
    <row r="44" spans="1:10">
      <c r="A44" s="22" t="s">
        <v>79</v>
      </c>
      <c r="B44" s="23">
        <v>2</v>
      </c>
      <c r="C44" s="27" t="str">
        <f>IF(Setup!$B$5=4,IF(INDEX(Teams!$C$4:$C$35,2)="Active",INDEX(Teams!$B$4:$B$35,2),""),IF(H38="","",H38))</f>
        <v/>
      </c>
      <c r="D44" s="94"/>
      <c r="E44" s="27" t="str">
        <f>IF(Setup!$B$5=4,IF(INDEX(Teams!$C$4:$C$35,3)="Active",INDEX(Teams!$B$4:$B$35,3),""),IF(H39="","",H39))</f>
        <v/>
      </c>
      <c r="F44" s="94"/>
      <c r="G44" s="30"/>
      <c r="H44" s="27" t="str">
        <f>IF(G44&lt;&gt;"",G44,IF(AND(C44&lt;&gt;"",E44&lt;&gt;"",D44&lt;&gt;"",F44&lt;&gt;""),IF(D44&gt;F44,C44,IF(F44&gt;D44,E44,"")),""))</f>
        <v/>
      </c>
      <c r="I44" s="27" t="str">
        <f>IF(H44="","",IF(H44=C44,E44,IF(H44=E44,C44,"")))</f>
        <v/>
      </c>
      <c r="J44" s="9"/>
    </row>
    <row r="45" spans="1:10">
      <c r="A45" s="7"/>
      <c r="B45" s="15"/>
      <c r="C45" s="28"/>
      <c r="D45" s="24"/>
      <c r="E45" s="28"/>
      <c r="F45" s="24"/>
      <c r="G45" s="28"/>
      <c r="H45" s="28"/>
      <c r="I45" s="28"/>
      <c r="J45" s="9"/>
    </row>
    <row r="46" spans="1:10" ht="15">
      <c r="A46" s="42" t="s">
        <v>80</v>
      </c>
      <c r="B46" s="43"/>
      <c r="C46" s="44"/>
      <c r="D46" s="45"/>
      <c r="E46" s="44"/>
      <c r="F46" s="45"/>
      <c r="G46" s="44"/>
      <c r="H46" s="44"/>
      <c r="I46" s="44"/>
      <c r="J46" s="46"/>
    </row>
    <row r="47" spans="1:10" ht="15">
      <c r="A47" s="18" t="s">
        <v>68</v>
      </c>
      <c r="B47" s="19" t="s">
        <v>69</v>
      </c>
      <c r="C47" s="26" t="s">
        <v>70</v>
      </c>
      <c r="D47" s="20" t="s">
        <v>71</v>
      </c>
      <c r="E47" s="26" t="s">
        <v>72</v>
      </c>
      <c r="F47" s="20" t="s">
        <v>73</v>
      </c>
      <c r="G47" s="26" t="s">
        <v>74</v>
      </c>
      <c r="H47" s="26" t="s">
        <v>75</v>
      </c>
      <c r="I47" s="26" t="s">
        <v>76</v>
      </c>
      <c r="J47" s="21" t="s">
        <v>32</v>
      </c>
    </row>
    <row r="48" spans="1:10">
      <c r="A48" s="22" t="s">
        <v>80</v>
      </c>
      <c r="B48" s="23">
        <v>1</v>
      </c>
      <c r="C48" s="27" t="str">
        <f>IF(H43="","",H43)</f>
        <v/>
      </c>
      <c r="D48" s="94"/>
      <c r="E48" s="27" t="str">
        <f>IF(H44="","",H44)</f>
        <v/>
      </c>
      <c r="F48" s="94"/>
      <c r="G48" s="30"/>
      <c r="H48" s="27" t="str">
        <f>IF(G48&lt;&gt;"",G48,IF(AND(C48&lt;&gt;"",E48&lt;&gt;"",D48&lt;&gt;"",F48&lt;&gt;""),IF(D48&gt;F48,C48,IF(F48&gt;D48,E48,"")),""))</f>
        <v/>
      </c>
      <c r="I48" s="27" t="str">
        <f>IF(H48="","",IF(H48=C48,E48,IF(H48=E48,C48,"")))</f>
        <v/>
      </c>
      <c r="J48" s="9"/>
    </row>
    <row r="49" spans="1:10">
      <c r="A49" s="7"/>
      <c r="B49" s="15"/>
      <c r="C49" s="28"/>
      <c r="D49" s="24"/>
      <c r="E49" s="28"/>
      <c r="F49" s="24"/>
      <c r="G49" s="28"/>
      <c r="H49" s="28"/>
      <c r="I49" s="28"/>
      <c r="J49" s="9"/>
    </row>
    <row r="50" spans="1:10" ht="15">
      <c r="A50" s="42" t="s">
        <v>20</v>
      </c>
      <c r="B50" s="43"/>
      <c r="C50" s="44"/>
      <c r="D50" s="45"/>
      <c r="E50" s="44"/>
      <c r="F50" s="45"/>
      <c r="G50" s="44"/>
      <c r="H50" s="44"/>
      <c r="I50" s="44"/>
      <c r="J50" s="46"/>
    </row>
    <row r="51" spans="1:10" ht="15">
      <c r="A51" s="18" t="s">
        <v>68</v>
      </c>
      <c r="B51" s="19" t="s">
        <v>69</v>
      </c>
      <c r="C51" s="26" t="s">
        <v>70</v>
      </c>
      <c r="D51" s="20" t="s">
        <v>71</v>
      </c>
      <c r="E51" s="26" t="s">
        <v>72</v>
      </c>
      <c r="F51" s="20" t="s">
        <v>73</v>
      </c>
      <c r="G51" s="26" t="s">
        <v>74</v>
      </c>
      <c r="H51" s="26" t="s">
        <v>75</v>
      </c>
      <c r="I51" s="26" t="s">
        <v>76</v>
      </c>
      <c r="J51" s="21" t="s">
        <v>32</v>
      </c>
    </row>
    <row r="52" spans="1:10">
      <c r="A52" s="22" t="s">
        <v>20</v>
      </c>
      <c r="B52" s="23">
        <v>1</v>
      </c>
      <c r="C52" s="27" t="str">
        <f>IF(Setup!$B$6="Yes",IF(I43="","",I43),"")</f>
        <v/>
      </c>
      <c r="D52" s="94"/>
      <c r="E52" s="27" t="str">
        <f>IF(Setup!$B$6="Yes",IF(I44="","",I44),"")</f>
        <v/>
      </c>
      <c r="F52" s="94"/>
      <c r="G52" s="30"/>
      <c r="H52" s="27" t="str">
        <f>IF(G52&lt;&gt;"",G52,IF(AND(C52&lt;&gt;"",E52&lt;&gt;"",D52&lt;&gt;"",F52&lt;&gt;""),IF(D52&gt;F52,C52,IF(F52&gt;D52,E52,"")),""))</f>
        <v/>
      </c>
      <c r="I52" s="27" t="str">
        <f>IF(H52="","",IF(H52=C52,E52,IF(H52=E52,C52,"")))</f>
        <v/>
      </c>
      <c r="J52" s="9"/>
    </row>
    <row r="53" spans="1:10">
      <c r="A53" s="11"/>
      <c r="B53" s="17"/>
      <c r="C53" s="29"/>
      <c r="D53" s="25"/>
      <c r="E53" s="29"/>
      <c r="F53" s="25"/>
      <c r="G53" s="29"/>
      <c r="H53" s="29"/>
      <c r="I53" s="29"/>
      <c r="J53" s="12"/>
    </row>
    <row r="54" spans="1:10">
      <c r="C54" s="1"/>
      <c r="D54" s="2"/>
      <c r="E54" s="1"/>
      <c r="F54" s="2"/>
      <c r="G54" s="1"/>
      <c r="H54" s="1"/>
      <c r="I54" s="1"/>
    </row>
  </sheetData>
  <mergeCells count="8">
    <mergeCell ref="A41:J41"/>
    <mergeCell ref="A46:J46"/>
    <mergeCell ref="A50:J50"/>
    <mergeCell ref="A1:J1"/>
    <mergeCell ref="A2:J2"/>
    <mergeCell ref="A4:J4"/>
    <mergeCell ref="A23:J23"/>
    <mergeCell ref="A34:J34"/>
  </mergeCells>
  <pageMargins left="0.25" right="0.25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0"/>
  <sheetViews>
    <sheetView workbookViewId="0">
      <selection activeCell="C9" sqref="C8:C9"/>
    </sheetView>
  </sheetViews>
  <sheetFormatPr defaultRowHeight="14.25"/>
  <cols>
    <col min="1" max="1" width="42.125" customWidth="1"/>
    <col min="2" max="2" width="46.75" customWidth="1"/>
  </cols>
  <sheetData>
    <row r="1" spans="1:2" ht="27.95" customHeight="1">
      <c r="A1" s="38" t="s">
        <v>81</v>
      </c>
      <c r="B1" s="39"/>
    </row>
    <row r="3" spans="1:2" ht="19.5" customHeight="1">
      <c r="A3" s="5" t="s">
        <v>82</v>
      </c>
      <c r="B3" s="6" t="s">
        <v>16</v>
      </c>
    </row>
    <row r="4" spans="1:2" ht="19.5" customHeight="1">
      <c r="A4" s="90" t="s">
        <v>83</v>
      </c>
      <c r="B4" s="91" t="str">
        <f>Setup!$B$4</f>
        <v>Knockout Tournament</v>
      </c>
    </row>
    <row r="5" spans="1:2" ht="19.5" customHeight="1">
      <c r="A5" s="90" t="s">
        <v>84</v>
      </c>
      <c r="B5" s="91">
        <f>Setup!$B$5</f>
        <v>32</v>
      </c>
    </row>
    <row r="6" spans="1:2" ht="19.5" customHeight="1">
      <c r="A6" s="90" t="s">
        <v>24</v>
      </c>
      <c r="B6" s="91" t="str">
        <f>Setup!$B$8</f>
        <v>Round of 32</v>
      </c>
    </row>
    <row r="7" spans="1:2" ht="19.5" customHeight="1">
      <c r="A7" s="90" t="s">
        <v>25</v>
      </c>
      <c r="B7" s="91">
        <f>Setup!$B$9</f>
        <v>32</v>
      </c>
    </row>
    <row r="8" spans="1:2" ht="19.5" customHeight="1">
      <c r="A8" s="90" t="s">
        <v>85</v>
      </c>
      <c r="B8" s="91">
        <f>Setup!$B$10</f>
        <v>0</v>
      </c>
    </row>
    <row r="9" spans="1:2" ht="19.5" customHeight="1">
      <c r="A9" s="90" t="s">
        <v>26</v>
      </c>
      <c r="B9" s="91">
        <f>Setup!$B$11</f>
        <v>32</v>
      </c>
    </row>
    <row r="10" spans="1:2" ht="19.5" customHeight="1">
      <c r="A10" s="90" t="s">
        <v>86</v>
      </c>
      <c r="B10" s="91" t="str">
        <f>IF('Knockout Draw'!H48="","",'Knockout Draw'!H48)</f>
        <v/>
      </c>
    </row>
    <row r="11" spans="1:2" ht="19.5" customHeight="1">
      <c r="A11" s="90" t="s">
        <v>87</v>
      </c>
      <c r="B11" s="91" t="str">
        <f>IF('Knockout Draw'!I48="","",'Knockout Draw'!I48)</f>
        <v/>
      </c>
    </row>
    <row r="12" spans="1:2" ht="19.5" customHeight="1">
      <c r="A12" s="92" t="s">
        <v>88</v>
      </c>
      <c r="B12" s="93" t="str">
        <f>IF(Setup!$B$6="Yes",IF('Knockout Draw'!H52="","",'Knockout Draw'!H52),"")</f>
        <v/>
      </c>
    </row>
    <row r="15" spans="1:2" ht="15">
      <c r="A15" s="40" t="s">
        <v>89</v>
      </c>
      <c r="B15" s="39"/>
    </row>
    <row r="16" spans="1:2" ht="42.75">
      <c r="A16" s="89" t="s">
        <v>90</v>
      </c>
      <c r="B16" s="1"/>
    </row>
    <row r="17" spans="1:2" ht="28.5">
      <c r="A17" s="89" t="s">
        <v>91</v>
      </c>
      <c r="B17" s="1"/>
    </row>
    <row r="18" spans="1:2" ht="42.75">
      <c r="A18" s="89" t="s">
        <v>92</v>
      </c>
      <c r="B18" s="1"/>
    </row>
    <row r="19" spans="1:2" ht="28.5">
      <c r="A19" s="89" t="s">
        <v>93</v>
      </c>
      <c r="B19" s="1"/>
    </row>
    <row r="20" spans="1:2">
      <c r="A20" s="89" t="s">
        <v>94</v>
      </c>
      <c r="B20" s="1"/>
    </row>
  </sheetData>
  <mergeCells count="2">
    <mergeCell ref="A1:B1"/>
    <mergeCell ref="A15:B15"/>
  </mergeCells>
  <pageMargins left="0.25" right="0.25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69"/>
  <sheetViews>
    <sheetView workbookViewId="0">
      <selection activeCell="Q10" sqref="Q10"/>
    </sheetView>
  </sheetViews>
  <sheetFormatPr defaultRowHeight="14.25"/>
  <cols>
    <col min="1" max="1" width="5" customWidth="1"/>
    <col min="2" max="2" width="18" customWidth="1"/>
    <col min="3" max="3" width="5" customWidth="1"/>
    <col min="4" max="4" width="8" customWidth="1"/>
    <col min="5" max="5" width="2" customWidth="1"/>
    <col min="6" max="6" width="5" customWidth="1"/>
    <col min="7" max="7" width="18" customWidth="1"/>
    <col min="8" max="8" width="5" customWidth="1"/>
    <col min="9" max="9" width="8" customWidth="1"/>
    <col min="10" max="10" width="2" customWidth="1"/>
    <col min="11" max="11" width="5" customWidth="1"/>
    <col min="12" max="12" width="18" customWidth="1"/>
    <col min="13" max="13" width="5" customWidth="1"/>
    <col min="14" max="14" width="8" customWidth="1"/>
    <col min="15" max="15" width="2" customWidth="1"/>
    <col min="16" max="16" width="5" customWidth="1"/>
    <col min="17" max="17" width="18" customWidth="1"/>
    <col min="18" max="18" width="5" customWidth="1"/>
    <col min="19" max="19" width="8" customWidth="1"/>
    <col min="20" max="20" width="2" customWidth="1"/>
    <col min="21" max="21" width="5" customWidth="1"/>
    <col min="22" max="22" width="18" customWidth="1"/>
    <col min="23" max="23" width="5" customWidth="1"/>
    <col min="24" max="24" width="8" customWidth="1"/>
    <col min="25" max="25" width="2" customWidth="1"/>
    <col min="26" max="26" width="11" customWidth="1"/>
    <col min="27" max="27" width="12" customWidth="1"/>
    <col min="28" max="28" width="4.5" customWidth="1"/>
    <col min="29" max="29" width="6.125" customWidth="1"/>
    <col min="30" max="30" width="4.25" customWidth="1"/>
  </cols>
  <sheetData>
    <row r="1" spans="1:30" ht="27.95" customHeight="1">
      <c r="A1" s="55" t="s">
        <v>110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</row>
    <row r="2" spans="1:30" ht="20.100000000000001" customHeight="1">
      <c r="A2" s="56" t="s">
        <v>111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</row>
    <row r="3" spans="1:30">
      <c r="K3" t="s">
        <v>167</v>
      </c>
    </row>
    <row r="4" spans="1:30" ht="15">
      <c r="A4" s="57" t="s">
        <v>67</v>
      </c>
      <c r="B4" s="57"/>
      <c r="C4" s="57"/>
      <c r="D4" s="57"/>
      <c r="F4" s="58" t="s">
        <v>77</v>
      </c>
      <c r="G4" s="58"/>
      <c r="H4" s="58"/>
      <c r="I4" s="58"/>
      <c r="K4" s="59" t="s">
        <v>78</v>
      </c>
      <c r="L4" s="59"/>
      <c r="M4" s="59"/>
      <c r="N4" s="59"/>
      <c r="P4" s="60" t="s">
        <v>79</v>
      </c>
      <c r="Q4" s="60"/>
      <c r="R4" s="60"/>
      <c r="S4" s="60"/>
      <c r="U4" s="61" t="s">
        <v>80</v>
      </c>
      <c r="V4" s="61"/>
      <c r="W4" s="61"/>
      <c r="X4" s="61"/>
      <c r="Z4" s="62" t="s">
        <v>112</v>
      </c>
      <c r="AA4" s="62"/>
      <c r="AB4" s="62"/>
      <c r="AC4" s="62"/>
      <c r="AD4" s="62"/>
    </row>
    <row r="5" spans="1:30">
      <c r="E5" s="31"/>
      <c r="J5" s="31"/>
      <c r="O5" s="31"/>
      <c r="T5" s="31"/>
      <c r="Y5" s="31"/>
    </row>
    <row r="6" spans="1:30" ht="15.95" customHeight="1">
      <c r="A6" s="63" t="s">
        <v>113</v>
      </c>
      <c r="B6" s="64"/>
      <c r="C6" s="64"/>
      <c r="D6" s="65"/>
      <c r="E6" s="31"/>
      <c r="J6" s="31"/>
      <c r="O6" s="31"/>
      <c r="T6" s="31"/>
      <c r="Y6" s="31"/>
    </row>
    <row r="7" spans="1:30" ht="18.95" customHeight="1">
      <c r="A7" s="66" t="s">
        <v>114</v>
      </c>
      <c r="B7" s="32" t="str">
        <f>IF('Knockout Draw'!$C$6="","",'Knockout Draw'!$C$6)</f>
        <v>Seed 1</v>
      </c>
      <c r="C7" s="33" t="str">
        <f>IF('Knockout Draw'!$D$6="","",'Knockout Draw'!$D$6)</f>
        <v/>
      </c>
      <c r="D7" s="34" t="str">
        <f>IF(AND('Knockout Draw'!$H$6&lt;&gt;"",'Knockout Draw'!$H$6='Knockout Draw'!$C$6),"WIN","")</f>
        <v/>
      </c>
      <c r="E7" s="31"/>
      <c r="J7" s="31"/>
      <c r="O7" s="31"/>
      <c r="T7" s="31"/>
      <c r="Y7" s="31"/>
    </row>
    <row r="8" spans="1:30" ht="15.95" customHeight="1">
      <c r="A8" s="67"/>
      <c r="B8" s="35" t="str">
        <f>IF('Knockout Draw'!$E$6="","",'Knockout Draw'!$E$6)</f>
        <v>Seed 32</v>
      </c>
      <c r="C8" s="36" t="str">
        <f>IF('Knockout Draw'!$F$6="","",'Knockout Draw'!$F$6)</f>
        <v/>
      </c>
      <c r="D8" s="37" t="str">
        <f>IF(AND('Knockout Draw'!$H$6&lt;&gt;"",'Knockout Draw'!$H$6='Knockout Draw'!$E$6),"WIN","")</f>
        <v/>
      </c>
      <c r="E8" s="31"/>
      <c r="F8" s="63" t="s">
        <v>115</v>
      </c>
      <c r="G8" s="64"/>
      <c r="H8" s="64"/>
      <c r="I8" s="65"/>
      <c r="J8" s="31"/>
      <c r="O8" s="31"/>
      <c r="T8" s="31"/>
      <c r="Y8" s="31"/>
      <c r="Z8" s="68" t="s">
        <v>86</v>
      </c>
      <c r="AA8" s="68"/>
      <c r="AB8" s="68"/>
      <c r="AC8" s="68"/>
      <c r="AD8" s="68"/>
    </row>
    <row r="9" spans="1:30" ht="18.95" customHeight="1">
      <c r="E9" s="31"/>
      <c r="F9" s="66" t="s">
        <v>114</v>
      </c>
      <c r="G9" s="32" t="str">
        <f>IF('Knockout Draw'!$C$25="","",'Knockout Draw'!$C$25)</f>
        <v/>
      </c>
      <c r="H9" s="33" t="str">
        <f>IF('Knockout Draw'!$D$25="","",'Knockout Draw'!$D$25)</f>
        <v/>
      </c>
      <c r="I9" s="34" t="str">
        <f>IF(AND('Knockout Draw'!$H$25&lt;&gt;"",'Knockout Draw'!$H$25='Knockout Draw'!$C$25),"WIN","")</f>
        <v/>
      </c>
      <c r="J9" s="31"/>
      <c r="O9" s="31"/>
      <c r="T9" s="31"/>
      <c r="Y9" s="31"/>
      <c r="Z9" s="68"/>
      <c r="AA9" s="68"/>
      <c r="AB9" s="68"/>
      <c r="AC9" s="68"/>
      <c r="AD9" s="68"/>
    </row>
    <row r="10" spans="1:30" ht="18.95" customHeight="1">
      <c r="A10" s="63" t="s">
        <v>116</v>
      </c>
      <c r="B10" s="64"/>
      <c r="C10" s="64"/>
      <c r="D10" s="65"/>
      <c r="E10" s="31"/>
      <c r="F10" s="67"/>
      <c r="G10" s="35" t="str">
        <f>IF('Knockout Draw'!$E$25="","",'Knockout Draw'!$E$25)</f>
        <v/>
      </c>
      <c r="H10" s="36" t="str">
        <f>IF('Knockout Draw'!$F$25="","",'Knockout Draw'!$F$25)</f>
        <v/>
      </c>
      <c r="I10" s="37" t="str">
        <f>IF(AND('Knockout Draw'!$H$25&lt;&gt;"",'Knockout Draw'!$H$25='Knockout Draw'!$E$25),"WIN","")</f>
        <v/>
      </c>
      <c r="J10" s="31"/>
      <c r="O10" s="31"/>
      <c r="T10" s="31"/>
      <c r="Y10" s="31"/>
      <c r="Z10" s="68"/>
      <c r="AA10" s="68"/>
      <c r="AB10" s="68"/>
      <c r="AC10" s="68"/>
      <c r="AD10" s="68"/>
    </row>
    <row r="11" spans="1:30" ht="18.95" customHeight="1">
      <c r="A11" s="66" t="s">
        <v>117</v>
      </c>
      <c r="B11" s="32" t="str">
        <f>IF('Knockout Draw'!$C$7="","",'Knockout Draw'!$C$7)</f>
        <v>Seed 16</v>
      </c>
      <c r="C11" s="33" t="str">
        <f>IF('Knockout Draw'!$D$7="","",'Knockout Draw'!$D$7)</f>
        <v/>
      </c>
      <c r="D11" s="34" t="str">
        <f>IF(AND('Knockout Draw'!$H$7&lt;&gt;"",'Knockout Draw'!$H$7='Knockout Draw'!$C$7),"WIN","")</f>
        <v/>
      </c>
      <c r="E11" s="31"/>
      <c r="J11" s="31"/>
      <c r="O11" s="31"/>
      <c r="T11" s="31"/>
      <c r="Y11" s="31"/>
      <c r="Z11" s="68"/>
      <c r="AA11" s="68"/>
      <c r="AB11" s="68"/>
      <c r="AC11" s="68"/>
      <c r="AD11" s="68"/>
    </row>
    <row r="12" spans="1:30" ht="15.95" customHeight="1">
      <c r="A12" s="67"/>
      <c r="B12" s="35" t="str">
        <f>IF('Knockout Draw'!$E$7="","",'Knockout Draw'!$E$7)</f>
        <v>Seed 17</v>
      </c>
      <c r="C12" s="36" t="str">
        <f>IF('Knockout Draw'!$F$7="","",'Knockout Draw'!$F$7)</f>
        <v/>
      </c>
      <c r="D12" s="37" t="str">
        <f>IF(AND('Knockout Draw'!$H$7&lt;&gt;"",'Knockout Draw'!$H$7='Knockout Draw'!$E$7),"WIN","")</f>
        <v/>
      </c>
      <c r="E12" s="31"/>
      <c r="J12" s="31"/>
      <c r="K12" s="63" t="s">
        <v>118</v>
      </c>
      <c r="L12" s="64"/>
      <c r="M12" s="64"/>
      <c r="N12" s="65"/>
      <c r="O12" s="31"/>
      <c r="T12" s="31"/>
      <c r="Y12" s="31"/>
      <c r="Z12" s="68"/>
      <c r="AA12" s="68"/>
      <c r="AB12" s="68"/>
      <c r="AC12" s="68"/>
      <c r="AD12" s="68"/>
    </row>
    <row r="13" spans="1:30" ht="18.95" customHeight="1">
      <c r="E13" s="31"/>
      <c r="J13" s="31"/>
      <c r="K13" s="66" t="s">
        <v>114</v>
      </c>
      <c r="L13" s="32" t="str">
        <f>IF('Knockout Draw'!$C$36="","",'Knockout Draw'!$C$36)</f>
        <v/>
      </c>
      <c r="M13" s="33" t="str">
        <f>IF('Knockout Draw'!$D$36="","",'Knockout Draw'!$D$36)</f>
        <v/>
      </c>
      <c r="N13" s="34" t="str">
        <f>IF(AND('Knockout Draw'!$H$36&lt;&gt;"",'Knockout Draw'!$H$36='Knockout Draw'!$C$36),"WIN","")</f>
        <v/>
      </c>
      <c r="O13" s="31"/>
      <c r="T13" s="31"/>
      <c r="Y13" s="31"/>
      <c r="Z13" s="68"/>
      <c r="AA13" s="68"/>
      <c r="AB13" s="68"/>
      <c r="AC13" s="68"/>
      <c r="AD13" s="68"/>
    </row>
    <row r="14" spans="1:30" ht="18.95" customHeight="1">
      <c r="A14" s="63" t="s">
        <v>119</v>
      </c>
      <c r="B14" s="64"/>
      <c r="C14" s="64"/>
      <c r="D14" s="65"/>
      <c r="E14" s="31"/>
      <c r="J14" s="31"/>
      <c r="K14" s="67"/>
      <c r="L14" s="35" t="str">
        <f>IF('Knockout Draw'!$E$36="","",'Knockout Draw'!$E$36)</f>
        <v/>
      </c>
      <c r="M14" s="36" t="str">
        <f>IF('Knockout Draw'!$F$36="","",'Knockout Draw'!$F$36)</f>
        <v/>
      </c>
      <c r="N14" s="37" t="str">
        <f>IF(AND('Knockout Draw'!$H$36&lt;&gt;"",'Knockout Draw'!$H$36='Knockout Draw'!$E$36),"WIN","")</f>
        <v/>
      </c>
      <c r="O14" s="31"/>
      <c r="T14" s="31"/>
      <c r="Y14" s="31"/>
    </row>
    <row r="15" spans="1:30" ht="18.95" customHeight="1">
      <c r="A15" s="66" t="s">
        <v>120</v>
      </c>
      <c r="B15" s="32" t="str">
        <f>IF('Knockout Draw'!$C$8="","",'Knockout Draw'!$C$8)</f>
        <v>Seed 8</v>
      </c>
      <c r="C15" s="33" t="str">
        <f>IF('Knockout Draw'!$D$8="","",'Knockout Draw'!$D$8)</f>
        <v/>
      </c>
      <c r="D15" s="34" t="str">
        <f>IF(AND('Knockout Draw'!$H$8&lt;&gt;"",'Knockout Draw'!$H$8='Knockout Draw'!$C$8),"WIN","")</f>
        <v/>
      </c>
      <c r="E15" s="31"/>
      <c r="J15" s="31"/>
      <c r="O15" s="31"/>
      <c r="T15" s="31"/>
      <c r="Y15" s="31"/>
      <c r="Z15" s="62" t="str">
        <f>IF('Knockout Draw'!$H$48="","Awaiting Final",'Knockout Draw'!$H$48)</f>
        <v>Awaiting Final</v>
      </c>
      <c r="AA15" s="62"/>
      <c r="AB15" s="62"/>
      <c r="AC15" s="62"/>
      <c r="AD15" s="62"/>
    </row>
    <row r="16" spans="1:30" ht="15.95" customHeight="1">
      <c r="A16" s="67"/>
      <c r="B16" s="35" t="str">
        <f>IF('Knockout Draw'!$E$8="","",'Knockout Draw'!$E$8)</f>
        <v>Seed 25</v>
      </c>
      <c r="C16" s="36" t="str">
        <f>IF('Knockout Draw'!$F$8="","",'Knockout Draw'!$F$8)</f>
        <v/>
      </c>
      <c r="D16" s="37" t="str">
        <f>IF(AND('Knockout Draw'!$H$8&lt;&gt;"",'Knockout Draw'!$H$8='Knockout Draw'!$E$8),"WIN","")</f>
        <v/>
      </c>
      <c r="E16" s="31"/>
      <c r="F16" s="63" t="s">
        <v>121</v>
      </c>
      <c r="G16" s="64"/>
      <c r="H16" s="64"/>
      <c r="I16" s="65"/>
      <c r="J16" s="31"/>
      <c r="O16" s="31"/>
      <c r="T16" s="31"/>
      <c r="Y16" s="31"/>
      <c r="Z16" s="62"/>
      <c r="AA16" s="62"/>
      <c r="AB16" s="62"/>
      <c r="AC16" s="62"/>
      <c r="AD16" s="62"/>
    </row>
    <row r="17" spans="1:30" ht="18.95" customHeight="1">
      <c r="E17" s="31"/>
      <c r="F17" s="66" t="s">
        <v>117</v>
      </c>
      <c r="G17" s="32" t="str">
        <f>IF('Knockout Draw'!$C$26="","",'Knockout Draw'!$C$26)</f>
        <v/>
      </c>
      <c r="H17" s="33" t="str">
        <f>IF('Knockout Draw'!$D$26="","",'Knockout Draw'!$D$26)</f>
        <v/>
      </c>
      <c r="I17" s="34" t="str">
        <f>IF(AND('Knockout Draw'!$H$26&lt;&gt;"",'Knockout Draw'!$H$26='Knockout Draw'!$C$26),"WIN","")</f>
        <v/>
      </c>
      <c r="J17" s="31"/>
      <c r="O17" s="31"/>
      <c r="T17" s="31"/>
      <c r="Y17" s="31"/>
      <c r="Z17" s="62"/>
      <c r="AA17" s="62"/>
      <c r="AB17" s="62"/>
      <c r="AC17" s="62"/>
      <c r="AD17" s="62"/>
    </row>
    <row r="18" spans="1:30" ht="18.95" customHeight="1">
      <c r="A18" s="63" t="s">
        <v>122</v>
      </c>
      <c r="B18" s="64"/>
      <c r="C18" s="64"/>
      <c r="D18" s="65"/>
      <c r="E18" s="31"/>
      <c r="F18" s="67"/>
      <c r="G18" s="35" t="str">
        <f>IF('Knockout Draw'!$E$26="","",'Knockout Draw'!$E$26)</f>
        <v/>
      </c>
      <c r="H18" s="36" t="str">
        <f>IF('Knockout Draw'!$F$26="","",'Knockout Draw'!$F$26)</f>
        <v/>
      </c>
      <c r="I18" s="37" t="str">
        <f>IF(AND('Knockout Draw'!$H$26&lt;&gt;"",'Knockout Draw'!$H$26='Knockout Draw'!$E$26),"WIN","")</f>
        <v/>
      </c>
      <c r="J18" s="31"/>
      <c r="O18" s="31"/>
      <c r="T18" s="31"/>
      <c r="Y18" s="31"/>
    </row>
    <row r="19" spans="1:30" ht="18.95" customHeight="1">
      <c r="A19" s="66" t="s">
        <v>123</v>
      </c>
      <c r="B19" s="32" t="str">
        <f>IF('Knockout Draw'!$C$9="","",'Knockout Draw'!$C$9)</f>
        <v>Seed 9</v>
      </c>
      <c r="C19" s="33" t="str">
        <f>IF('Knockout Draw'!$D$9="","",'Knockout Draw'!$D$9)</f>
        <v/>
      </c>
      <c r="D19" s="34" t="str">
        <f>IF(AND('Knockout Draw'!$H$9&lt;&gt;"",'Knockout Draw'!$H$9='Knockout Draw'!$C$9),"WIN","")</f>
        <v/>
      </c>
      <c r="E19" s="31"/>
      <c r="J19" s="31"/>
      <c r="O19" s="31"/>
      <c r="T19" s="31"/>
      <c r="Y19" s="31"/>
    </row>
    <row r="20" spans="1:30" ht="15.95" customHeight="1">
      <c r="A20" s="67"/>
      <c r="B20" s="35" t="str">
        <f>IF('Knockout Draw'!$E$9="","",'Knockout Draw'!$E$9)</f>
        <v>Seed 24</v>
      </c>
      <c r="C20" s="36" t="str">
        <f>IF('Knockout Draw'!$F$9="","",'Knockout Draw'!$F$9)</f>
        <v/>
      </c>
      <c r="D20" s="37" t="str">
        <f>IF(AND('Knockout Draw'!$H$9&lt;&gt;"",'Knockout Draw'!$H$9='Knockout Draw'!$E$9),"WIN","")</f>
        <v/>
      </c>
      <c r="E20" s="31"/>
      <c r="J20" s="31"/>
      <c r="O20" s="31"/>
      <c r="P20" s="63" t="s">
        <v>124</v>
      </c>
      <c r="Q20" s="64"/>
      <c r="R20" s="64"/>
      <c r="S20" s="65"/>
      <c r="T20" s="31"/>
      <c r="Y20" s="31"/>
    </row>
    <row r="21" spans="1:30" ht="18.95" customHeight="1">
      <c r="E21" s="31"/>
      <c r="J21" s="31"/>
      <c r="O21" s="31"/>
      <c r="P21" s="66" t="s">
        <v>114</v>
      </c>
      <c r="Q21" s="32" t="str">
        <f>IF('Knockout Draw'!$C$43="","",'Knockout Draw'!$C$43)</f>
        <v/>
      </c>
      <c r="R21" s="33" t="str">
        <f>IF('Knockout Draw'!$D$43="","",'Knockout Draw'!$D$43)</f>
        <v/>
      </c>
      <c r="S21" s="34" t="str">
        <f>IF(AND('Knockout Draw'!$H$43&lt;&gt;"",'Knockout Draw'!$H$43='Knockout Draw'!$C$43),"WIN","")</f>
        <v/>
      </c>
      <c r="T21" s="31"/>
      <c r="Y21" s="31"/>
      <c r="Z21" s="69" t="s">
        <v>125</v>
      </c>
      <c r="AA21" s="69"/>
      <c r="AB21" s="69"/>
      <c r="AC21" s="69"/>
      <c r="AD21" s="69"/>
    </row>
    <row r="22" spans="1:30" ht="18.95" customHeight="1">
      <c r="A22" s="63" t="s">
        <v>126</v>
      </c>
      <c r="B22" s="64"/>
      <c r="C22" s="64"/>
      <c r="D22" s="65"/>
      <c r="E22" s="31"/>
      <c r="J22" s="31"/>
      <c r="O22" s="31"/>
      <c r="P22" s="67"/>
      <c r="Q22" s="35" t="str">
        <f>IF('Knockout Draw'!$E$43="","",'Knockout Draw'!$E$43)</f>
        <v/>
      </c>
      <c r="R22" s="36" t="str">
        <f>IF('Knockout Draw'!$F$43="","",'Knockout Draw'!$F$43)</f>
        <v/>
      </c>
      <c r="S22" s="37" t="str">
        <f>IF(AND('Knockout Draw'!$H$43&lt;&gt;"",'Knockout Draw'!$H$43='Knockout Draw'!$E$43),"WIN","")</f>
        <v/>
      </c>
      <c r="T22" s="31"/>
      <c r="Y22" s="31"/>
      <c r="Z22" s="70" t="s">
        <v>86</v>
      </c>
      <c r="AA22" s="70"/>
      <c r="AB22" s="71" t="str">
        <f>IF('Knockout Draw'!$H$48="","",'Knockout Draw'!$H$48)</f>
        <v/>
      </c>
      <c r="AC22" s="71"/>
      <c r="AD22" s="71"/>
    </row>
    <row r="23" spans="1:30" ht="18.95" customHeight="1">
      <c r="A23" s="66" t="s">
        <v>127</v>
      </c>
      <c r="B23" s="32" t="str">
        <f>IF('Knockout Draw'!$C$10="","",'Knockout Draw'!$C$10)</f>
        <v>Seed 4</v>
      </c>
      <c r="C23" s="33" t="str">
        <f>IF('Knockout Draw'!$D$10="","",'Knockout Draw'!$D$10)</f>
        <v/>
      </c>
      <c r="D23" s="34" t="str">
        <f>IF(AND('Knockout Draw'!$H$10&lt;&gt;"",'Knockout Draw'!$H$10='Knockout Draw'!$C$10),"WIN","")</f>
        <v/>
      </c>
      <c r="E23" s="31"/>
      <c r="J23" s="31"/>
      <c r="O23" s="31"/>
      <c r="T23" s="31"/>
      <c r="Y23" s="31"/>
      <c r="Z23" s="70" t="s">
        <v>87</v>
      </c>
      <c r="AA23" s="70"/>
      <c r="AB23" s="71" t="str">
        <f>IF('Knockout Draw'!$I$48="","",'Knockout Draw'!$I$48)</f>
        <v/>
      </c>
      <c r="AC23" s="71"/>
      <c r="AD23" s="71"/>
    </row>
    <row r="24" spans="1:30" ht="15.95" customHeight="1">
      <c r="A24" s="67"/>
      <c r="B24" s="35" t="str">
        <f>IF('Knockout Draw'!$E$10="","",'Knockout Draw'!$E$10)</f>
        <v>Seed 29</v>
      </c>
      <c r="C24" s="36" t="str">
        <f>IF('Knockout Draw'!$F$10="","",'Knockout Draw'!$F$10)</f>
        <v/>
      </c>
      <c r="D24" s="37" t="str">
        <f>IF(AND('Knockout Draw'!$H$10&lt;&gt;"",'Knockout Draw'!$H$10='Knockout Draw'!$E$10),"WIN","")</f>
        <v/>
      </c>
      <c r="E24" s="31"/>
      <c r="F24" s="63" t="s">
        <v>128</v>
      </c>
      <c r="G24" s="64"/>
      <c r="H24" s="64"/>
      <c r="I24" s="65"/>
      <c r="J24" s="31"/>
      <c r="O24" s="31"/>
      <c r="T24" s="31"/>
      <c r="Y24" s="31"/>
      <c r="Z24" s="70" t="s">
        <v>88</v>
      </c>
      <c r="AA24" s="70"/>
      <c r="AB24" s="71" t="str">
        <f>IF(Setup!$B$6&lt;&gt;"Yes","Not used",IF('Knockout Draw'!$H$52="","",'Knockout Draw'!$H$52))</f>
        <v/>
      </c>
      <c r="AC24" s="71"/>
      <c r="AD24" s="71"/>
    </row>
    <row r="25" spans="1:30" ht="18.95" customHeight="1">
      <c r="E25" s="31"/>
      <c r="F25" s="66" t="s">
        <v>120</v>
      </c>
      <c r="G25" s="32" t="str">
        <f>IF('Knockout Draw'!$C$27="","",'Knockout Draw'!$C$27)</f>
        <v/>
      </c>
      <c r="H25" s="33" t="str">
        <f>IF('Knockout Draw'!$D$27="","",'Knockout Draw'!$D$27)</f>
        <v/>
      </c>
      <c r="I25" s="34" t="str">
        <f>IF(AND('Knockout Draw'!$H$27&lt;&gt;"",'Knockout Draw'!$H$27='Knockout Draw'!$C$27),"WIN","")</f>
        <v/>
      </c>
      <c r="J25" s="31"/>
      <c r="O25" s="31"/>
      <c r="T25" s="31"/>
      <c r="Y25" s="31"/>
      <c r="Z25" s="70" t="s">
        <v>129</v>
      </c>
      <c r="AA25" s="70"/>
      <c r="AB25" s="71" t="str">
        <f>IF(Setup!$B$6&lt;&gt;"Yes","Not used",IF('Knockout Draw'!$I$52="","",'Knockout Draw'!$I$52))</f>
        <v/>
      </c>
      <c r="AC25" s="71"/>
      <c r="AD25" s="71"/>
    </row>
    <row r="26" spans="1:30" ht="18.95" customHeight="1">
      <c r="A26" s="63" t="s">
        <v>130</v>
      </c>
      <c r="B26" s="64"/>
      <c r="C26" s="64"/>
      <c r="D26" s="65"/>
      <c r="E26" s="31"/>
      <c r="F26" s="67"/>
      <c r="G26" s="35" t="str">
        <f>IF('Knockout Draw'!$E$27="","",'Knockout Draw'!$E$27)</f>
        <v/>
      </c>
      <c r="H26" s="36" t="str">
        <f>IF('Knockout Draw'!$F$27="","",'Knockout Draw'!$F$27)</f>
        <v/>
      </c>
      <c r="I26" s="37" t="str">
        <f>IF(AND('Knockout Draw'!$H$27&lt;&gt;"",'Knockout Draw'!$H$27='Knockout Draw'!$E$27),"WIN","")</f>
        <v/>
      </c>
      <c r="J26" s="31"/>
      <c r="O26" s="31"/>
      <c r="T26" s="31"/>
      <c r="Y26" s="31"/>
    </row>
    <row r="27" spans="1:30" ht="18.95" customHeight="1">
      <c r="A27" s="66" t="s">
        <v>131</v>
      </c>
      <c r="B27" s="32" t="str">
        <f>IF('Knockout Draw'!$C$11="","",'Knockout Draw'!$C$11)</f>
        <v>Seed 13</v>
      </c>
      <c r="C27" s="33" t="str">
        <f>IF('Knockout Draw'!$D$11="","",'Knockout Draw'!$D$11)</f>
        <v/>
      </c>
      <c r="D27" s="34" t="str">
        <f>IF(AND('Knockout Draw'!$H$11&lt;&gt;"",'Knockout Draw'!$H$11='Knockout Draw'!$C$11),"WIN","")</f>
        <v/>
      </c>
      <c r="E27" s="31"/>
      <c r="J27" s="31"/>
      <c r="O27" s="31"/>
      <c r="T27" s="31"/>
      <c r="Y27" s="31"/>
    </row>
    <row r="28" spans="1:30" ht="15.95" customHeight="1">
      <c r="A28" s="67"/>
      <c r="B28" s="35" t="str">
        <f>IF('Knockout Draw'!$E$11="","",'Knockout Draw'!$E$11)</f>
        <v>Seed 20</v>
      </c>
      <c r="C28" s="36" t="str">
        <f>IF('Knockout Draw'!$F$11="","",'Knockout Draw'!$F$11)</f>
        <v/>
      </c>
      <c r="D28" s="37" t="str">
        <f>IF(AND('Knockout Draw'!$H$11&lt;&gt;"",'Knockout Draw'!$H$11='Knockout Draw'!$E$11),"WIN","")</f>
        <v/>
      </c>
      <c r="E28" s="31"/>
      <c r="J28" s="31"/>
      <c r="K28" s="63" t="s">
        <v>132</v>
      </c>
      <c r="L28" s="64"/>
      <c r="M28" s="64"/>
      <c r="N28" s="65"/>
      <c r="O28" s="31"/>
      <c r="T28" s="31"/>
      <c r="Y28" s="31"/>
    </row>
    <row r="29" spans="1:30" ht="18.95" customHeight="1">
      <c r="E29" s="31"/>
      <c r="J29" s="31"/>
      <c r="K29" s="66" t="s">
        <v>117</v>
      </c>
      <c r="L29" s="32" t="str">
        <f>IF('Knockout Draw'!$C$37="","",'Knockout Draw'!$C$37)</f>
        <v/>
      </c>
      <c r="M29" s="33" t="str">
        <f>IF('Knockout Draw'!$D$37="","",'Knockout Draw'!$D$37)</f>
        <v/>
      </c>
      <c r="N29" s="34" t="str">
        <f>IF(AND('Knockout Draw'!$H$37&lt;&gt;"",'Knockout Draw'!$H$37='Knockout Draw'!$C$37),"WIN","")</f>
        <v/>
      </c>
      <c r="O29" s="31"/>
      <c r="T29" s="31"/>
      <c r="Y29" s="31"/>
    </row>
    <row r="30" spans="1:30" ht="18.95" customHeight="1">
      <c r="A30" s="63" t="s">
        <v>133</v>
      </c>
      <c r="B30" s="64"/>
      <c r="C30" s="64"/>
      <c r="D30" s="65"/>
      <c r="E30" s="31"/>
      <c r="J30" s="31"/>
      <c r="K30" s="67"/>
      <c r="L30" s="35" t="str">
        <f>IF('Knockout Draw'!$E$37="","",'Knockout Draw'!$E$37)</f>
        <v/>
      </c>
      <c r="M30" s="36" t="str">
        <f>IF('Knockout Draw'!$F$37="","",'Knockout Draw'!$F$37)</f>
        <v/>
      </c>
      <c r="N30" s="37" t="str">
        <f>IF(AND('Knockout Draw'!$H$37&lt;&gt;"",'Knockout Draw'!$H$37='Knockout Draw'!$E$37),"WIN","")</f>
        <v/>
      </c>
      <c r="O30" s="31"/>
      <c r="T30" s="31"/>
      <c r="Y30" s="31"/>
      <c r="Z30" s="55" t="s">
        <v>134</v>
      </c>
      <c r="AA30" s="55"/>
      <c r="AB30" s="55"/>
      <c r="AC30" s="55"/>
      <c r="AD30" s="55"/>
    </row>
    <row r="31" spans="1:30" ht="18.95" customHeight="1">
      <c r="A31" s="66" t="s">
        <v>135</v>
      </c>
      <c r="B31" s="32" t="str">
        <f>IF('Knockout Draw'!$C$12="","",'Knockout Draw'!$C$12)</f>
        <v>Seed 5</v>
      </c>
      <c r="C31" s="33" t="str">
        <f>IF('Knockout Draw'!$D$12="","",'Knockout Draw'!$D$12)</f>
        <v/>
      </c>
      <c r="D31" s="34" t="str">
        <f>IF(AND('Knockout Draw'!$H$12&lt;&gt;"",'Knockout Draw'!$H$12='Knockout Draw'!$C$12),"WIN","")</f>
        <v/>
      </c>
      <c r="E31" s="31"/>
      <c r="J31" s="31"/>
      <c r="O31" s="31"/>
      <c r="T31" s="31"/>
      <c r="Y31" s="31"/>
      <c r="Z31" s="70" t="s">
        <v>84</v>
      </c>
      <c r="AA31" s="70"/>
      <c r="AB31" s="71">
        <f>Setup!$B$5</f>
        <v>32</v>
      </c>
      <c r="AC31" s="71"/>
      <c r="AD31" s="71"/>
    </row>
    <row r="32" spans="1:30" ht="15.95" customHeight="1">
      <c r="A32" s="67"/>
      <c r="B32" s="35" t="str">
        <f>IF('Knockout Draw'!$E$12="","",'Knockout Draw'!$E$12)</f>
        <v>Seed 28</v>
      </c>
      <c r="C32" s="36" t="str">
        <f>IF('Knockout Draw'!$F$12="","",'Knockout Draw'!$F$12)</f>
        <v/>
      </c>
      <c r="D32" s="37" t="str">
        <f>IF(AND('Knockout Draw'!$H$12&lt;&gt;"",'Knockout Draw'!$H$12='Knockout Draw'!$E$12),"WIN","")</f>
        <v/>
      </c>
      <c r="E32" s="31"/>
      <c r="F32" s="63" t="s">
        <v>136</v>
      </c>
      <c r="G32" s="64"/>
      <c r="H32" s="64"/>
      <c r="I32" s="65"/>
      <c r="J32" s="31"/>
      <c r="O32" s="31"/>
      <c r="T32" s="31"/>
      <c r="Y32" s="31"/>
      <c r="Z32" s="70" t="s">
        <v>137</v>
      </c>
      <c r="AA32" s="70"/>
      <c r="AB32" s="71">
        <f>Setup!$B$10</f>
        <v>0</v>
      </c>
      <c r="AC32" s="71"/>
      <c r="AD32" s="71"/>
    </row>
    <row r="33" spans="1:30" ht="18.95" customHeight="1">
      <c r="E33" s="31"/>
      <c r="F33" s="66" t="s">
        <v>123</v>
      </c>
      <c r="G33" s="32" t="str">
        <f>IF('Knockout Draw'!$C$28="","",'Knockout Draw'!$C$28)</f>
        <v/>
      </c>
      <c r="H33" s="33" t="str">
        <f>IF('Knockout Draw'!$D$28="","",'Knockout Draw'!$D$28)</f>
        <v/>
      </c>
      <c r="I33" s="34" t="str">
        <f>IF(AND('Knockout Draw'!$H$28&lt;&gt;"",'Knockout Draw'!$H$28='Knockout Draw'!$C$28),"WIN","")</f>
        <v/>
      </c>
      <c r="J33" s="31"/>
      <c r="O33" s="31"/>
      <c r="T33" s="31"/>
      <c r="Y33" s="31"/>
      <c r="Z33" s="70" t="s">
        <v>138</v>
      </c>
      <c r="AA33" s="70"/>
      <c r="AB33" s="71">
        <f>Setup!$B$11</f>
        <v>32</v>
      </c>
      <c r="AC33" s="71"/>
      <c r="AD33" s="71"/>
    </row>
    <row r="34" spans="1:30" ht="18.95" customHeight="1">
      <c r="A34" s="63" t="s">
        <v>139</v>
      </c>
      <c r="B34" s="64"/>
      <c r="C34" s="64"/>
      <c r="D34" s="65"/>
      <c r="E34" s="31"/>
      <c r="F34" s="67"/>
      <c r="G34" s="35" t="str">
        <f>IF('Knockout Draw'!$E$28="","",'Knockout Draw'!$E$28)</f>
        <v/>
      </c>
      <c r="H34" s="36" t="str">
        <f>IF('Knockout Draw'!$F$28="","",'Knockout Draw'!$F$28)</f>
        <v/>
      </c>
      <c r="I34" s="37" t="str">
        <f>IF(AND('Knockout Draw'!$H$28&lt;&gt;"",'Knockout Draw'!$H$28='Knockout Draw'!$E$28),"WIN","")</f>
        <v/>
      </c>
      <c r="J34" s="31"/>
      <c r="O34" s="31"/>
      <c r="T34" s="31"/>
      <c r="Y34" s="31"/>
      <c r="Z34" s="70" t="s">
        <v>140</v>
      </c>
      <c r="AA34" s="70"/>
      <c r="AB34" s="71" t="str">
        <f>IF(Setup!$B$11=0,"Tournament complete","Continue entering scores on Knockout Draw")</f>
        <v>Continue entering scores on Knockout Draw</v>
      </c>
      <c r="AC34" s="71"/>
      <c r="AD34" s="71"/>
    </row>
    <row r="35" spans="1:30" ht="18.95" customHeight="1">
      <c r="A35" s="66" t="s">
        <v>141</v>
      </c>
      <c r="B35" s="32" t="str">
        <f>IF('Knockout Draw'!$C$13="","",'Knockout Draw'!$C$13)</f>
        <v>Seed 12</v>
      </c>
      <c r="C35" s="33" t="str">
        <f>IF('Knockout Draw'!$D$13="","",'Knockout Draw'!$D$13)</f>
        <v/>
      </c>
      <c r="D35" s="34" t="str">
        <f>IF(AND('Knockout Draw'!$H$13&lt;&gt;"",'Knockout Draw'!$H$13='Knockout Draw'!$C$13),"WIN","")</f>
        <v/>
      </c>
      <c r="E35" s="31"/>
      <c r="J35" s="31"/>
      <c r="O35" s="31"/>
      <c r="T35" s="31"/>
      <c r="Y35" s="31"/>
    </row>
    <row r="36" spans="1:30" ht="15.95" customHeight="1">
      <c r="A36" s="67"/>
      <c r="B36" s="35" t="str">
        <f>IF('Knockout Draw'!$E$13="","",'Knockout Draw'!$E$13)</f>
        <v>Seed 21</v>
      </c>
      <c r="C36" s="36" t="str">
        <f>IF('Knockout Draw'!$F$13="","",'Knockout Draw'!$F$13)</f>
        <v/>
      </c>
      <c r="D36" s="37" t="str">
        <f>IF(AND('Knockout Draw'!$H$13&lt;&gt;"",'Knockout Draw'!$H$13='Knockout Draw'!$E$13),"WIN","")</f>
        <v/>
      </c>
      <c r="E36" s="31"/>
      <c r="J36" s="31"/>
      <c r="O36" s="31"/>
      <c r="T36" s="31"/>
      <c r="U36" s="63" t="s">
        <v>142</v>
      </c>
      <c r="V36" s="64"/>
      <c r="W36" s="64"/>
      <c r="X36" s="65"/>
      <c r="Y36" s="31"/>
    </row>
    <row r="37" spans="1:30" ht="18.95" customHeight="1">
      <c r="E37" s="31"/>
      <c r="J37" s="31"/>
      <c r="O37" s="31"/>
      <c r="T37" s="31"/>
      <c r="U37" s="66" t="s">
        <v>114</v>
      </c>
      <c r="V37" s="32" t="str">
        <f>IF('Knockout Draw'!$C$48="","",'Knockout Draw'!$C$48)</f>
        <v/>
      </c>
      <c r="W37" s="33" t="str">
        <f>IF('Knockout Draw'!$D$48="","",'Knockout Draw'!$D$48)</f>
        <v/>
      </c>
      <c r="X37" s="34" t="str">
        <f>IF(AND('Knockout Draw'!$H$48&lt;&gt;"",'Knockout Draw'!$H$48='Knockout Draw'!$C$48),"WIN","")</f>
        <v/>
      </c>
      <c r="Y37" s="31"/>
    </row>
    <row r="38" spans="1:30" ht="18.95" customHeight="1">
      <c r="A38" s="63" t="s">
        <v>143</v>
      </c>
      <c r="B38" s="64"/>
      <c r="C38" s="64"/>
      <c r="D38" s="65"/>
      <c r="E38" s="31"/>
      <c r="J38" s="31"/>
      <c r="O38" s="31"/>
      <c r="T38" s="31"/>
      <c r="U38" s="67"/>
      <c r="V38" s="35" t="str">
        <f>IF('Knockout Draw'!$E$48="","",'Knockout Draw'!$E$48)</f>
        <v/>
      </c>
      <c r="W38" s="36" t="str">
        <f>IF('Knockout Draw'!$F$48="","",'Knockout Draw'!$F$48)</f>
        <v/>
      </c>
      <c r="X38" s="37" t="str">
        <f>IF(AND('Knockout Draw'!$H$48&lt;&gt;"",'Knockout Draw'!$H$48='Knockout Draw'!$E$48),"WIN","")</f>
        <v/>
      </c>
      <c r="Y38" s="31"/>
    </row>
    <row r="39" spans="1:30" ht="18.95" customHeight="1">
      <c r="A39" s="66" t="s">
        <v>144</v>
      </c>
      <c r="B39" s="32" t="str">
        <f>IF('Knockout Draw'!$C$14="","",'Knockout Draw'!$C$14)</f>
        <v>Seed 2</v>
      </c>
      <c r="C39" s="33" t="str">
        <f>IF('Knockout Draw'!$D$14="","",'Knockout Draw'!$D$14)</f>
        <v/>
      </c>
      <c r="D39" s="34" t="str">
        <f>IF(AND('Knockout Draw'!$H$14&lt;&gt;"",'Knockout Draw'!$H$14='Knockout Draw'!$C$14),"WIN","")</f>
        <v/>
      </c>
      <c r="E39" s="31"/>
      <c r="J39" s="31"/>
      <c r="O39" s="31"/>
      <c r="T39" s="31"/>
      <c r="Y39" s="31"/>
    </row>
    <row r="40" spans="1:30" ht="15.95" customHeight="1">
      <c r="A40" s="67"/>
      <c r="B40" s="35" t="str">
        <f>IF('Knockout Draw'!$E$14="","",'Knockout Draw'!$E$14)</f>
        <v>Seed 31</v>
      </c>
      <c r="C40" s="36" t="str">
        <f>IF('Knockout Draw'!$F$14="","",'Knockout Draw'!$F$14)</f>
        <v/>
      </c>
      <c r="D40" s="37" t="str">
        <f>IF(AND('Knockout Draw'!$H$14&lt;&gt;"",'Knockout Draw'!$H$14='Knockout Draw'!$E$14),"WIN","")</f>
        <v/>
      </c>
      <c r="E40" s="31"/>
      <c r="F40" s="63" t="s">
        <v>145</v>
      </c>
      <c r="G40" s="64"/>
      <c r="H40" s="64"/>
      <c r="I40" s="65"/>
      <c r="J40" s="31"/>
      <c r="O40" s="31"/>
      <c r="T40" s="31"/>
      <c r="Y40" s="31"/>
    </row>
    <row r="41" spans="1:30" ht="18.95" customHeight="1">
      <c r="E41" s="31"/>
      <c r="F41" s="66" t="s">
        <v>127</v>
      </c>
      <c r="G41" s="32" t="str">
        <f>IF('Knockout Draw'!$C$29="","",'Knockout Draw'!$C$29)</f>
        <v/>
      </c>
      <c r="H41" s="33" t="str">
        <f>IF('Knockout Draw'!$D$29="","",'Knockout Draw'!$D$29)</f>
        <v/>
      </c>
      <c r="I41" s="34" t="str">
        <f>IF(AND('Knockout Draw'!$H$29&lt;&gt;"",'Knockout Draw'!$H$29='Knockout Draw'!$C$29),"WIN","")</f>
        <v/>
      </c>
      <c r="J41" s="31"/>
      <c r="O41" s="31"/>
      <c r="T41" s="31"/>
      <c r="Y41" s="31"/>
    </row>
    <row r="42" spans="1:30" ht="18.95" customHeight="1">
      <c r="A42" s="63" t="s">
        <v>146</v>
      </c>
      <c r="B42" s="64"/>
      <c r="C42" s="64"/>
      <c r="D42" s="65"/>
      <c r="E42" s="31"/>
      <c r="F42" s="67"/>
      <c r="G42" s="35" t="str">
        <f>IF('Knockout Draw'!$E$29="","",'Knockout Draw'!$E$29)</f>
        <v/>
      </c>
      <c r="H42" s="36" t="str">
        <f>IF('Knockout Draw'!$F$29="","",'Knockout Draw'!$F$29)</f>
        <v/>
      </c>
      <c r="I42" s="37" t="str">
        <f>IF(AND('Knockout Draw'!$H$29&lt;&gt;"",'Knockout Draw'!$H$29='Knockout Draw'!$E$29),"WIN","")</f>
        <v/>
      </c>
      <c r="J42" s="31"/>
      <c r="O42" s="31"/>
      <c r="T42" s="31"/>
      <c r="Y42" s="31"/>
    </row>
    <row r="43" spans="1:30" ht="18.95" customHeight="1">
      <c r="A43" s="66" t="s">
        <v>147</v>
      </c>
      <c r="B43" s="32" t="str">
        <f>IF('Knockout Draw'!$C$15="","",'Knockout Draw'!$C$15)</f>
        <v>Seed 15</v>
      </c>
      <c r="C43" s="33" t="str">
        <f>IF('Knockout Draw'!$D$15="","",'Knockout Draw'!$D$15)</f>
        <v/>
      </c>
      <c r="D43" s="34" t="str">
        <f>IF(AND('Knockout Draw'!$H$15&lt;&gt;"",'Knockout Draw'!$H$15='Knockout Draw'!$C$15),"WIN","")</f>
        <v/>
      </c>
      <c r="E43" s="31"/>
      <c r="J43" s="31"/>
      <c r="O43" s="31"/>
      <c r="T43" s="31"/>
      <c r="Y43" s="31"/>
    </row>
    <row r="44" spans="1:30" ht="15.95" customHeight="1">
      <c r="A44" s="67"/>
      <c r="B44" s="35" t="str">
        <f>IF('Knockout Draw'!$E$15="","",'Knockout Draw'!$E$15)</f>
        <v>Seed 18</v>
      </c>
      <c r="C44" s="36" t="str">
        <f>IF('Knockout Draw'!$F$15="","",'Knockout Draw'!$F$15)</f>
        <v/>
      </c>
      <c r="D44" s="37" t="str">
        <f>IF(AND('Knockout Draw'!$H$15&lt;&gt;"",'Knockout Draw'!$H$15='Knockout Draw'!$E$15),"WIN","")</f>
        <v/>
      </c>
      <c r="E44" s="31"/>
      <c r="J44" s="31"/>
      <c r="K44" s="63" t="s">
        <v>148</v>
      </c>
      <c r="L44" s="64"/>
      <c r="M44" s="64"/>
      <c r="N44" s="65"/>
      <c r="O44" s="31"/>
      <c r="T44" s="31"/>
      <c r="Y44" s="31"/>
    </row>
    <row r="45" spans="1:30" ht="18.95" customHeight="1">
      <c r="E45" s="31"/>
      <c r="J45" s="31"/>
      <c r="K45" s="66" t="s">
        <v>120</v>
      </c>
      <c r="L45" s="32" t="str">
        <f>IF('Knockout Draw'!$C$38="","",'Knockout Draw'!$C$38)</f>
        <v/>
      </c>
      <c r="M45" s="33" t="str">
        <f>IF('Knockout Draw'!$D$38="","",'Knockout Draw'!$D$38)</f>
        <v/>
      </c>
      <c r="N45" s="34" t="str">
        <f>IF(AND('Knockout Draw'!$H$38&lt;&gt;"",'Knockout Draw'!$H$38='Knockout Draw'!$C$38),"WIN","")</f>
        <v/>
      </c>
      <c r="O45" s="31"/>
      <c r="T45" s="31"/>
      <c r="Y45" s="31"/>
    </row>
    <row r="46" spans="1:30" ht="18.95" customHeight="1">
      <c r="A46" s="63" t="s">
        <v>149</v>
      </c>
      <c r="B46" s="64"/>
      <c r="C46" s="64"/>
      <c r="D46" s="65"/>
      <c r="E46" s="31"/>
      <c r="J46" s="31"/>
      <c r="K46" s="67"/>
      <c r="L46" s="35" t="str">
        <f>IF('Knockout Draw'!$E$38="","",'Knockout Draw'!$E$38)</f>
        <v/>
      </c>
      <c r="M46" s="36" t="str">
        <f>IF('Knockout Draw'!$F$38="","",'Knockout Draw'!$F$38)</f>
        <v/>
      </c>
      <c r="N46" s="37" t="str">
        <f>IF(AND('Knockout Draw'!$H$38&lt;&gt;"",'Knockout Draw'!$H$38='Knockout Draw'!$E$38),"WIN","")</f>
        <v/>
      </c>
      <c r="O46" s="31"/>
      <c r="T46" s="31"/>
      <c r="Y46" s="31"/>
    </row>
    <row r="47" spans="1:30" ht="18.95" customHeight="1">
      <c r="A47" s="66" t="s">
        <v>150</v>
      </c>
      <c r="B47" s="32" t="str">
        <f>IF('Knockout Draw'!$C$16="","",'Knockout Draw'!$C$16)</f>
        <v>Seed 7</v>
      </c>
      <c r="C47" s="33" t="str">
        <f>IF('Knockout Draw'!$D$16="","",'Knockout Draw'!$D$16)</f>
        <v/>
      </c>
      <c r="D47" s="34" t="str">
        <f>IF(AND('Knockout Draw'!$H$16&lt;&gt;"",'Knockout Draw'!$H$16='Knockout Draw'!$C$16),"WIN","")</f>
        <v/>
      </c>
      <c r="E47" s="31"/>
      <c r="J47" s="31"/>
      <c r="O47" s="31"/>
      <c r="T47" s="31"/>
      <c r="Y47" s="31"/>
    </row>
    <row r="48" spans="1:30" ht="15.95" customHeight="1">
      <c r="A48" s="67"/>
      <c r="B48" s="35" t="str">
        <f>IF('Knockout Draw'!$E$16="","",'Knockout Draw'!$E$16)</f>
        <v>Seed 26</v>
      </c>
      <c r="C48" s="36" t="str">
        <f>IF('Knockout Draw'!$F$16="","",'Knockout Draw'!$F$16)</f>
        <v/>
      </c>
      <c r="D48" s="37" t="str">
        <f>IF(AND('Knockout Draw'!$H$16&lt;&gt;"",'Knockout Draw'!$H$16='Knockout Draw'!$E$16),"WIN","")</f>
        <v/>
      </c>
      <c r="E48" s="31"/>
      <c r="F48" s="63" t="s">
        <v>151</v>
      </c>
      <c r="G48" s="64"/>
      <c r="H48" s="64"/>
      <c r="I48" s="65"/>
      <c r="J48" s="31"/>
      <c r="O48" s="31"/>
      <c r="T48" s="31"/>
      <c r="Y48" s="31"/>
    </row>
    <row r="49" spans="1:25" ht="18.95" customHeight="1">
      <c r="E49" s="31"/>
      <c r="F49" s="66" t="s">
        <v>131</v>
      </c>
      <c r="G49" s="32" t="str">
        <f>IF('Knockout Draw'!$C$30="","",'Knockout Draw'!$C$30)</f>
        <v/>
      </c>
      <c r="H49" s="33" t="str">
        <f>IF('Knockout Draw'!$D$30="","",'Knockout Draw'!$D$30)</f>
        <v/>
      </c>
      <c r="I49" s="34" t="str">
        <f>IF(AND('Knockout Draw'!$H$30&lt;&gt;"",'Knockout Draw'!$H$30='Knockout Draw'!$C$30),"WIN","")</f>
        <v/>
      </c>
      <c r="J49" s="31"/>
      <c r="O49" s="31"/>
      <c r="T49" s="31"/>
      <c r="Y49" s="31"/>
    </row>
    <row r="50" spans="1:25" ht="18.95" customHeight="1">
      <c r="A50" s="63" t="s">
        <v>152</v>
      </c>
      <c r="B50" s="64"/>
      <c r="C50" s="64"/>
      <c r="D50" s="65"/>
      <c r="E50" s="31"/>
      <c r="F50" s="67"/>
      <c r="G50" s="35" t="str">
        <f>IF('Knockout Draw'!$E$30="","",'Knockout Draw'!$E$30)</f>
        <v/>
      </c>
      <c r="H50" s="36" t="str">
        <f>IF('Knockout Draw'!$F$30="","",'Knockout Draw'!$F$30)</f>
        <v/>
      </c>
      <c r="I50" s="37" t="str">
        <f>IF(AND('Knockout Draw'!$H$30&lt;&gt;"",'Knockout Draw'!$H$30='Knockout Draw'!$E$30),"WIN","")</f>
        <v/>
      </c>
      <c r="J50" s="31"/>
      <c r="O50" s="31"/>
      <c r="T50" s="31"/>
      <c r="Y50" s="31"/>
    </row>
    <row r="51" spans="1:25" ht="18.95" customHeight="1">
      <c r="A51" s="66" t="s">
        <v>153</v>
      </c>
      <c r="B51" s="32" t="str">
        <f>IF('Knockout Draw'!$C$17="","",'Knockout Draw'!$C$17)</f>
        <v>Seed 10</v>
      </c>
      <c r="C51" s="33" t="str">
        <f>IF('Knockout Draw'!$D$17="","",'Knockout Draw'!$D$17)</f>
        <v/>
      </c>
      <c r="D51" s="34" t="str">
        <f>IF(AND('Knockout Draw'!$H$17&lt;&gt;"",'Knockout Draw'!$H$17='Knockout Draw'!$C$17),"WIN","")</f>
        <v/>
      </c>
      <c r="E51" s="31"/>
      <c r="J51" s="31"/>
      <c r="O51" s="31"/>
      <c r="T51" s="31"/>
      <c r="Y51" s="31"/>
    </row>
    <row r="52" spans="1:25" ht="15.95" customHeight="1">
      <c r="A52" s="67"/>
      <c r="B52" s="35" t="str">
        <f>IF('Knockout Draw'!$E$17="","",'Knockout Draw'!$E$17)</f>
        <v>Seed 23</v>
      </c>
      <c r="C52" s="36" t="str">
        <f>IF('Knockout Draw'!$F$17="","",'Knockout Draw'!$F$17)</f>
        <v/>
      </c>
      <c r="D52" s="37" t="str">
        <f>IF(AND('Knockout Draw'!$H$17&lt;&gt;"",'Knockout Draw'!$H$17='Knockout Draw'!$E$17),"WIN","")</f>
        <v/>
      </c>
      <c r="E52" s="31"/>
      <c r="J52" s="31"/>
      <c r="O52" s="31"/>
      <c r="P52" s="63" t="s">
        <v>154</v>
      </c>
      <c r="Q52" s="64"/>
      <c r="R52" s="64"/>
      <c r="S52" s="65"/>
      <c r="T52" s="31"/>
      <c r="Y52" s="31"/>
    </row>
    <row r="53" spans="1:25" ht="18.95" customHeight="1">
      <c r="E53" s="31"/>
      <c r="J53" s="31"/>
      <c r="O53" s="31"/>
      <c r="P53" s="66" t="s">
        <v>117</v>
      </c>
      <c r="Q53" s="32" t="str">
        <f>IF('Knockout Draw'!$C$44="","",'Knockout Draw'!$C$44)</f>
        <v/>
      </c>
      <c r="R53" s="33" t="str">
        <f>IF('Knockout Draw'!$D$44="","",'Knockout Draw'!$D$44)</f>
        <v/>
      </c>
      <c r="S53" s="34" t="str">
        <f>IF(AND('Knockout Draw'!$H$44&lt;&gt;"",'Knockout Draw'!$H$44='Knockout Draw'!$C$44),"WIN","")</f>
        <v/>
      </c>
      <c r="T53" s="31"/>
      <c r="Y53" s="31"/>
    </row>
    <row r="54" spans="1:25" ht="18.95" customHeight="1">
      <c r="A54" s="63" t="s">
        <v>155</v>
      </c>
      <c r="B54" s="64"/>
      <c r="C54" s="64"/>
      <c r="D54" s="65"/>
      <c r="E54" s="31"/>
      <c r="J54" s="31"/>
      <c r="O54" s="31"/>
      <c r="P54" s="67"/>
      <c r="Q54" s="35" t="str">
        <f>IF('Knockout Draw'!$E$44="","",'Knockout Draw'!$E$44)</f>
        <v/>
      </c>
      <c r="R54" s="36" t="str">
        <f>IF('Knockout Draw'!$F$44="","",'Knockout Draw'!$F$44)</f>
        <v/>
      </c>
      <c r="S54" s="37" t="str">
        <f>IF(AND('Knockout Draw'!$H$44&lt;&gt;"",'Knockout Draw'!$H$44='Knockout Draw'!$E$44),"WIN","")</f>
        <v/>
      </c>
      <c r="T54" s="31"/>
      <c r="Y54" s="31"/>
    </row>
    <row r="55" spans="1:25" ht="18.95" customHeight="1">
      <c r="A55" s="66" t="s">
        <v>156</v>
      </c>
      <c r="B55" s="32" t="str">
        <f>IF('Knockout Draw'!$C$18="","",'Knockout Draw'!$C$18)</f>
        <v>Seed 3</v>
      </c>
      <c r="C55" s="33" t="str">
        <f>IF('Knockout Draw'!$D$18="","",'Knockout Draw'!$D$18)</f>
        <v/>
      </c>
      <c r="D55" s="34" t="str">
        <f>IF(AND('Knockout Draw'!$H$18&lt;&gt;"",'Knockout Draw'!$H$18='Knockout Draw'!$C$18),"WIN","")</f>
        <v/>
      </c>
      <c r="E55" s="31"/>
      <c r="J55" s="31"/>
      <c r="O55" s="31"/>
      <c r="T55" s="31"/>
      <c r="Y55" s="31"/>
    </row>
    <row r="56" spans="1:25" ht="15.95" customHeight="1">
      <c r="A56" s="67"/>
      <c r="B56" s="35" t="str">
        <f>IF('Knockout Draw'!$E$18="","",'Knockout Draw'!$E$18)</f>
        <v>Seed 30</v>
      </c>
      <c r="C56" s="36" t="str">
        <f>IF('Knockout Draw'!$F$18="","",'Knockout Draw'!$F$18)</f>
        <v/>
      </c>
      <c r="D56" s="37" t="str">
        <f>IF(AND('Knockout Draw'!$H$18&lt;&gt;"",'Knockout Draw'!$H$18='Knockout Draw'!$E$18),"WIN","")</f>
        <v/>
      </c>
      <c r="E56" s="31"/>
      <c r="F56" s="63" t="s">
        <v>157</v>
      </c>
      <c r="G56" s="64"/>
      <c r="H56" s="64"/>
      <c r="I56" s="65"/>
      <c r="J56" s="31"/>
      <c r="O56" s="31"/>
      <c r="T56" s="31"/>
      <c r="Y56" s="31"/>
    </row>
    <row r="57" spans="1:25" ht="18.95" customHeight="1">
      <c r="E57" s="31"/>
      <c r="F57" s="66" t="s">
        <v>135</v>
      </c>
      <c r="G57" s="32" t="str">
        <f>IF('Knockout Draw'!$C$31="","",'Knockout Draw'!$C$31)</f>
        <v/>
      </c>
      <c r="H57" s="33" t="str">
        <f>IF('Knockout Draw'!$D$31="","",'Knockout Draw'!$D$31)</f>
        <v/>
      </c>
      <c r="I57" s="34" t="str">
        <f>IF(AND('Knockout Draw'!$H$31&lt;&gt;"",'Knockout Draw'!$H$31='Knockout Draw'!$C$31),"WIN","")</f>
        <v/>
      </c>
      <c r="J57" s="31"/>
      <c r="O57" s="31"/>
      <c r="T57" s="31"/>
      <c r="Y57" s="31"/>
    </row>
    <row r="58" spans="1:25" ht="18.95" customHeight="1">
      <c r="A58" s="63" t="s">
        <v>158</v>
      </c>
      <c r="B58" s="64"/>
      <c r="C58" s="64"/>
      <c r="D58" s="65"/>
      <c r="E58" s="31"/>
      <c r="F58" s="67"/>
      <c r="G58" s="35" t="str">
        <f>IF('Knockout Draw'!$E$31="","",'Knockout Draw'!$E$31)</f>
        <v/>
      </c>
      <c r="H58" s="36" t="str">
        <f>IF('Knockout Draw'!$F$31="","",'Knockout Draw'!$F$31)</f>
        <v/>
      </c>
      <c r="I58" s="37" t="str">
        <f>IF(AND('Knockout Draw'!$H$31&lt;&gt;"",'Knockout Draw'!$H$31='Knockout Draw'!$E$31),"WIN","")</f>
        <v/>
      </c>
      <c r="J58" s="31"/>
      <c r="O58" s="31"/>
      <c r="T58" s="31"/>
      <c r="Y58" s="31"/>
    </row>
    <row r="59" spans="1:25" ht="18.95" customHeight="1">
      <c r="A59" s="66" t="s">
        <v>159</v>
      </c>
      <c r="B59" s="32" t="str">
        <f>IF('Knockout Draw'!$C$19="","",'Knockout Draw'!$C$19)</f>
        <v>Seed 14</v>
      </c>
      <c r="C59" s="33" t="str">
        <f>IF('Knockout Draw'!$D$19="","",'Knockout Draw'!$D$19)</f>
        <v/>
      </c>
      <c r="D59" s="34" t="str">
        <f>IF(AND('Knockout Draw'!$H$19&lt;&gt;"",'Knockout Draw'!$H$19='Knockout Draw'!$C$19),"WIN","")</f>
        <v/>
      </c>
      <c r="E59" s="31"/>
      <c r="J59" s="31"/>
      <c r="O59" s="31"/>
      <c r="T59" s="31"/>
      <c r="Y59" s="31"/>
    </row>
    <row r="60" spans="1:25" ht="15.95" customHeight="1">
      <c r="A60" s="67"/>
      <c r="B60" s="35" t="str">
        <f>IF('Knockout Draw'!$E$19="","",'Knockout Draw'!$E$19)</f>
        <v>Seed 19</v>
      </c>
      <c r="C60" s="36" t="str">
        <f>IF('Knockout Draw'!$F$19="","",'Knockout Draw'!$F$19)</f>
        <v/>
      </c>
      <c r="D60" s="37" t="str">
        <f>IF(AND('Knockout Draw'!$H$19&lt;&gt;"",'Knockout Draw'!$H$19='Knockout Draw'!$E$19),"WIN","")</f>
        <v/>
      </c>
      <c r="E60" s="31"/>
      <c r="J60" s="31"/>
      <c r="K60" s="63" t="s">
        <v>160</v>
      </c>
      <c r="L60" s="64"/>
      <c r="M60" s="64"/>
      <c r="N60" s="65"/>
      <c r="O60" s="31"/>
      <c r="T60" s="31"/>
      <c r="Y60" s="31"/>
    </row>
    <row r="61" spans="1:25" ht="18.95" customHeight="1">
      <c r="E61" s="31"/>
      <c r="J61" s="31"/>
      <c r="K61" s="66" t="s">
        <v>123</v>
      </c>
      <c r="L61" s="32" t="str">
        <f>IF('Knockout Draw'!$C$39="","",'Knockout Draw'!$C$39)</f>
        <v/>
      </c>
      <c r="M61" s="33" t="str">
        <f>IF('Knockout Draw'!$D$39="","",'Knockout Draw'!$D$39)</f>
        <v/>
      </c>
      <c r="N61" s="34" t="str">
        <f>IF(AND('Knockout Draw'!$H$39&lt;&gt;"",'Knockout Draw'!$H$39='Knockout Draw'!$C$39),"WIN","")</f>
        <v/>
      </c>
      <c r="O61" s="31"/>
      <c r="T61" s="31"/>
      <c r="Y61" s="31"/>
    </row>
    <row r="62" spans="1:25" ht="18.95" customHeight="1">
      <c r="A62" s="63" t="s">
        <v>161</v>
      </c>
      <c r="B62" s="64"/>
      <c r="C62" s="64"/>
      <c r="D62" s="65"/>
      <c r="E62" s="31"/>
      <c r="J62" s="31"/>
      <c r="K62" s="67"/>
      <c r="L62" s="35" t="str">
        <f>IF('Knockout Draw'!$E$39="","",'Knockout Draw'!$E$39)</f>
        <v/>
      </c>
      <c r="M62" s="36" t="str">
        <f>IF('Knockout Draw'!$F$39="","",'Knockout Draw'!$F$39)</f>
        <v/>
      </c>
      <c r="N62" s="37" t="str">
        <f>IF(AND('Knockout Draw'!$H$39&lt;&gt;"",'Knockout Draw'!$H$39='Knockout Draw'!$E$39),"WIN","")</f>
        <v/>
      </c>
      <c r="O62" s="31"/>
      <c r="T62" s="31"/>
      <c r="Y62" s="31"/>
    </row>
    <row r="63" spans="1:25" ht="18.95" customHeight="1">
      <c r="A63" s="66" t="s">
        <v>162</v>
      </c>
      <c r="B63" s="32" t="str">
        <f>IF('Knockout Draw'!$C$20="","",'Knockout Draw'!$C$20)</f>
        <v>Seed 6</v>
      </c>
      <c r="C63" s="33" t="str">
        <f>IF('Knockout Draw'!$D$20="","",'Knockout Draw'!$D$20)</f>
        <v/>
      </c>
      <c r="D63" s="34" t="str">
        <f>IF(AND('Knockout Draw'!$H$20&lt;&gt;"",'Knockout Draw'!$H$20='Knockout Draw'!$C$20),"WIN","")</f>
        <v/>
      </c>
      <c r="E63" s="31"/>
      <c r="J63" s="31"/>
      <c r="O63" s="31"/>
      <c r="T63" s="31"/>
      <c r="Y63" s="31"/>
    </row>
    <row r="64" spans="1:25" ht="15.95" customHeight="1">
      <c r="A64" s="67"/>
      <c r="B64" s="35" t="str">
        <f>IF('Knockout Draw'!$E$20="","",'Knockout Draw'!$E$20)</f>
        <v>Seed 27</v>
      </c>
      <c r="C64" s="36" t="str">
        <f>IF('Knockout Draw'!$F$20="","",'Knockout Draw'!$F$20)</f>
        <v/>
      </c>
      <c r="D64" s="37" t="str">
        <f>IF(AND('Knockout Draw'!$H$20&lt;&gt;"",'Knockout Draw'!$H$20='Knockout Draw'!$E$20),"WIN","")</f>
        <v/>
      </c>
      <c r="E64" s="31"/>
      <c r="F64" s="63" t="s">
        <v>163</v>
      </c>
      <c r="G64" s="64"/>
      <c r="H64" s="64"/>
      <c r="I64" s="65"/>
      <c r="J64" s="31"/>
      <c r="O64" s="31"/>
      <c r="T64" s="31"/>
      <c r="Y64" s="31"/>
    </row>
    <row r="65" spans="1:25" ht="18.95" customHeight="1">
      <c r="E65" s="31"/>
      <c r="F65" s="66" t="s">
        <v>141</v>
      </c>
      <c r="G65" s="32" t="str">
        <f>IF('Knockout Draw'!$C$32="","",'Knockout Draw'!$C$32)</f>
        <v/>
      </c>
      <c r="H65" s="33" t="str">
        <f>IF('Knockout Draw'!$D$32="","",'Knockout Draw'!$D$32)</f>
        <v/>
      </c>
      <c r="I65" s="34" t="str">
        <f>IF(AND('Knockout Draw'!$H$32&lt;&gt;"",'Knockout Draw'!$H$32='Knockout Draw'!$C$32),"WIN","")</f>
        <v/>
      </c>
      <c r="J65" s="31"/>
      <c r="O65" s="31"/>
      <c r="T65" s="31"/>
      <c r="Y65" s="31"/>
    </row>
    <row r="66" spans="1:25" ht="18.95" customHeight="1">
      <c r="A66" s="63" t="s">
        <v>164</v>
      </c>
      <c r="B66" s="64"/>
      <c r="C66" s="64"/>
      <c r="D66" s="65"/>
      <c r="E66" s="31"/>
      <c r="F66" s="67"/>
      <c r="G66" s="35" t="str">
        <f>IF('Knockout Draw'!$E$32="","",'Knockout Draw'!$E$32)</f>
        <v/>
      </c>
      <c r="H66" s="36" t="str">
        <f>IF('Knockout Draw'!$F$32="","",'Knockout Draw'!$F$32)</f>
        <v/>
      </c>
      <c r="I66" s="37" t="str">
        <f>IF(AND('Knockout Draw'!$H$32&lt;&gt;"",'Knockout Draw'!$H$32='Knockout Draw'!$E$32),"WIN","")</f>
        <v/>
      </c>
      <c r="J66" s="31"/>
      <c r="O66" s="31"/>
      <c r="T66" s="31"/>
      <c r="Y66" s="31"/>
    </row>
    <row r="67" spans="1:25" ht="18.95" customHeight="1">
      <c r="A67" s="66" t="s">
        <v>165</v>
      </c>
      <c r="B67" s="32" t="str">
        <f>IF('Knockout Draw'!$C$21="","",'Knockout Draw'!$C$21)</f>
        <v>Seed 11</v>
      </c>
      <c r="C67" s="33" t="str">
        <f>IF('Knockout Draw'!$D$21="","",'Knockout Draw'!$D$21)</f>
        <v/>
      </c>
      <c r="D67" s="34" t="str">
        <f>IF(AND('Knockout Draw'!$H$21&lt;&gt;"",'Knockout Draw'!$H$21='Knockout Draw'!$C$21),"WIN","")</f>
        <v/>
      </c>
      <c r="E67" s="31"/>
      <c r="J67" s="31"/>
      <c r="O67" s="31"/>
      <c r="T67" s="31"/>
      <c r="Y67" s="31"/>
    </row>
    <row r="68" spans="1:25" ht="18.95" customHeight="1">
      <c r="A68" s="67"/>
      <c r="B68" s="35" t="str">
        <f>IF('Knockout Draw'!$E$21="","",'Knockout Draw'!$E$21)</f>
        <v>Seed 22</v>
      </c>
      <c r="C68" s="36" t="str">
        <f>IF('Knockout Draw'!$F$21="","",'Knockout Draw'!$F$21)</f>
        <v/>
      </c>
      <c r="D68" s="37" t="str">
        <f>IF(AND('Knockout Draw'!$H$21&lt;&gt;"",'Knockout Draw'!$H$21='Knockout Draw'!$E$21),"WIN","")</f>
        <v/>
      </c>
      <c r="E68" s="31"/>
      <c r="J68" s="31"/>
      <c r="O68" s="31"/>
      <c r="T68" s="31"/>
      <c r="Y68" s="31"/>
    </row>
    <row r="69" spans="1:25">
      <c r="E69" s="31"/>
      <c r="J69" s="31"/>
      <c r="O69" s="31"/>
      <c r="T69" s="31"/>
      <c r="Y69" s="31"/>
    </row>
  </sheetData>
  <mergeCells count="90">
    <mergeCell ref="Z33:AA33"/>
    <mergeCell ref="AB33:AD33"/>
    <mergeCell ref="Z34:AA34"/>
    <mergeCell ref="AB34:AD34"/>
    <mergeCell ref="Z30:AD30"/>
    <mergeCell ref="Z31:AA31"/>
    <mergeCell ref="AB31:AD31"/>
    <mergeCell ref="Z32:AA32"/>
    <mergeCell ref="AB32:AD32"/>
    <mergeCell ref="Z23:AA23"/>
    <mergeCell ref="AB23:AD23"/>
    <mergeCell ref="Z24:AA24"/>
    <mergeCell ref="AB24:AD24"/>
    <mergeCell ref="Z25:AA25"/>
    <mergeCell ref="AB25:AD25"/>
    <mergeCell ref="Z8:AD13"/>
    <mergeCell ref="Z15:AD17"/>
    <mergeCell ref="Z21:AD21"/>
    <mergeCell ref="Z22:AA22"/>
    <mergeCell ref="AB22:AD22"/>
    <mergeCell ref="P20:S20"/>
    <mergeCell ref="P21:P22"/>
    <mergeCell ref="P52:S52"/>
    <mergeCell ref="P53:P54"/>
    <mergeCell ref="U36:X36"/>
    <mergeCell ref="U37:U38"/>
    <mergeCell ref="F64:I64"/>
    <mergeCell ref="F65:F66"/>
    <mergeCell ref="K12:N12"/>
    <mergeCell ref="K13:K14"/>
    <mergeCell ref="K28:N28"/>
    <mergeCell ref="K29:K30"/>
    <mergeCell ref="K44:N44"/>
    <mergeCell ref="K45:K46"/>
    <mergeCell ref="K60:N60"/>
    <mergeCell ref="K61:K62"/>
    <mergeCell ref="A66:D66"/>
    <mergeCell ref="A67:A68"/>
    <mergeCell ref="F8:I8"/>
    <mergeCell ref="F9:F10"/>
    <mergeCell ref="F16:I16"/>
    <mergeCell ref="F17:F18"/>
    <mergeCell ref="F24:I24"/>
    <mergeCell ref="F25:F26"/>
    <mergeCell ref="F32:I32"/>
    <mergeCell ref="F33:F34"/>
    <mergeCell ref="F40:I40"/>
    <mergeCell ref="F41:F42"/>
    <mergeCell ref="F48:I48"/>
    <mergeCell ref="F49:F50"/>
    <mergeCell ref="F56:I56"/>
    <mergeCell ref="F57:F58"/>
    <mergeCell ref="A55:A56"/>
    <mergeCell ref="A58:D58"/>
    <mergeCell ref="A59:A60"/>
    <mergeCell ref="A62:D62"/>
    <mergeCell ref="A63:A64"/>
    <mergeCell ref="A46:D46"/>
    <mergeCell ref="A47:A48"/>
    <mergeCell ref="A50:D50"/>
    <mergeCell ref="A51:A52"/>
    <mergeCell ref="A54:D54"/>
    <mergeCell ref="A35:A36"/>
    <mergeCell ref="A38:D38"/>
    <mergeCell ref="A39:A40"/>
    <mergeCell ref="A42:D42"/>
    <mergeCell ref="A43:A44"/>
    <mergeCell ref="A26:D26"/>
    <mergeCell ref="A27:A28"/>
    <mergeCell ref="A30:D30"/>
    <mergeCell ref="A31:A32"/>
    <mergeCell ref="A34:D34"/>
    <mergeCell ref="A15:A16"/>
    <mergeCell ref="A18:D18"/>
    <mergeCell ref="A19:A20"/>
    <mergeCell ref="A22:D22"/>
    <mergeCell ref="A23:A24"/>
    <mergeCell ref="A6:D6"/>
    <mergeCell ref="A7:A8"/>
    <mergeCell ref="A10:D10"/>
    <mergeCell ref="A11:A12"/>
    <mergeCell ref="A14:D14"/>
    <mergeCell ref="A1:AD1"/>
    <mergeCell ref="A2:AD2"/>
    <mergeCell ref="A4:D4"/>
    <mergeCell ref="F4:I4"/>
    <mergeCell ref="K4:N4"/>
    <mergeCell ref="P4:S4"/>
    <mergeCell ref="U4:X4"/>
    <mergeCell ref="Z4:AD4"/>
  </mergeCells>
  <pageMargins left="0.25" right="0.25" top="0.75" bottom="0.75" header="0.3" footer="0.3"/>
  <pageSetup paperSize="9" scale="4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Guide</vt:lpstr>
      <vt:lpstr>Setup</vt:lpstr>
      <vt:lpstr>Teams</vt:lpstr>
      <vt:lpstr>Knockout Draw</vt:lpstr>
      <vt:lpstr>Summary</vt:lpstr>
      <vt:lpstr>Knockout Progress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cp:lastPrinted>2026-07-26T15:38:22Z</cp:lastPrinted>
  <dcterms:created xsi:type="dcterms:W3CDTF">2026-07-26T15:42:34Z</dcterms:created>
  <dcterms:modified xsi:type="dcterms:W3CDTF">2026-07-26T15:44:55Z</dcterms:modified>
</cp:coreProperties>
</file>