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e654ef7bbbcd4d0/ISMT Project/RATs/"/>
    </mc:Choice>
  </mc:AlternateContent>
  <xr:revisionPtr revIDLastSave="0" documentId="8_{C19D1026-731C-482C-AE3D-EB5EAC65D943}" xr6:coauthVersionLast="47" xr6:coauthVersionMax="47" xr10:uidLastSave="{00000000-0000-0000-0000-000000000000}"/>
  <bookViews>
    <workbookView xWindow="-120" yWindow="-120" windowWidth="20730" windowHeight="11160" firstSheet="10" activeTab="12" xr2:uid="{00000000-000D-0000-FFFF-FFFF00000000}"/>
  </bookViews>
  <sheets>
    <sheet name="Start Here" sheetId="1" r:id="rId1"/>
    <sheet name="Decision Readiness" sheetId="15" r:id="rId2"/>
    <sheet name="Dashboard" sheetId="10" r:id="rId3"/>
    <sheet name="Governance" sheetId="2" r:id="rId4"/>
    <sheet name="Management" sheetId="3" r:id="rId5"/>
    <sheet name="Human Resources" sheetId="4" r:id="rId6"/>
    <sheet name="Finance" sheetId="5" r:id="rId7"/>
    <sheet name="Marketing &amp; Communications" sheetId="6" r:id="rId8"/>
    <sheet name="NOC Services" sheetId="7" r:id="rId9"/>
    <sheet name="External Relations" sheetId="8" r:id="rId10"/>
    <sheet name="Sporting Environment" sheetId="9" r:id="rId11"/>
    <sheet name="Priority Actions" sheetId="11" r:id="rId12"/>
    <sheet name="Strategic Plan Report" sheetId="12" r:id="rId13"/>
    <sheet name="Criteria Library" sheetId="13" r:id="rId14"/>
    <sheet name="Lists" sheetId="14" r:id="rId15"/>
    <sheet name="Programme Profiles"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0" i="12" l="1"/>
  <c r="A156" i="12"/>
  <c r="F146" i="12"/>
  <c r="P106" i="12"/>
  <c r="P105" i="12"/>
  <c r="P104" i="12"/>
  <c r="P103" i="12"/>
  <c r="P102" i="12"/>
  <c r="P101" i="12"/>
  <c r="A162" i="12" s="1"/>
  <c r="P100" i="12"/>
  <c r="P99" i="12"/>
  <c r="P98" i="12"/>
  <c r="P96" i="12"/>
  <c r="P95" i="12"/>
  <c r="P94" i="12"/>
  <c r="P93" i="12"/>
  <c r="P92" i="12"/>
  <c r="P91" i="12"/>
  <c r="P90" i="12"/>
  <c r="P89" i="12"/>
  <c r="A146" i="12" s="1"/>
  <c r="P87" i="12"/>
  <c r="P86" i="12"/>
  <c r="P85" i="12"/>
  <c r="P84" i="12"/>
  <c r="P83" i="12"/>
  <c r="P82" i="12"/>
  <c r="P81" i="12"/>
  <c r="P80" i="12"/>
  <c r="P79" i="12"/>
  <c r="P78" i="12"/>
  <c r="P77" i="12"/>
  <c r="P75" i="12"/>
  <c r="P74" i="12"/>
  <c r="P73" i="12"/>
  <c r="P72" i="12"/>
  <c r="P71" i="12"/>
  <c r="P70" i="12"/>
  <c r="P69" i="12"/>
  <c r="P68" i="12"/>
  <c r="P67" i="12"/>
  <c r="P66" i="12"/>
  <c r="P65" i="12"/>
  <c r="P64" i="12"/>
  <c r="P63" i="12"/>
  <c r="P61" i="12"/>
  <c r="P60" i="12"/>
  <c r="P59" i="12"/>
  <c r="P58" i="12"/>
  <c r="P57" i="12"/>
  <c r="P56" i="12"/>
  <c r="P55" i="12"/>
  <c r="A87" i="12" s="1"/>
  <c r="P54" i="12"/>
  <c r="P53" i="12"/>
  <c r="P52" i="12"/>
  <c r="P51" i="12"/>
  <c r="A88" i="12" s="1"/>
  <c r="P50" i="12"/>
  <c r="P48" i="12"/>
  <c r="P47" i="12"/>
  <c r="P46" i="12"/>
  <c r="P45" i="12"/>
  <c r="P44" i="12"/>
  <c r="P43" i="12"/>
  <c r="P42" i="12"/>
  <c r="P41" i="12"/>
  <c r="P40" i="12"/>
  <c r="A75" i="12" s="1"/>
  <c r="P39" i="12"/>
  <c r="A69" i="12" s="1"/>
  <c r="P38" i="12"/>
  <c r="P37" i="12"/>
  <c r="P35" i="12"/>
  <c r="P34" i="12"/>
  <c r="P33" i="12"/>
  <c r="P32" i="12"/>
  <c r="P31" i="12"/>
  <c r="P30" i="12"/>
  <c r="P29" i="12"/>
  <c r="P28" i="12"/>
  <c r="P27" i="12"/>
  <c r="P26" i="12"/>
  <c r="P25" i="12"/>
  <c r="P24" i="12"/>
  <c r="P23" i="12"/>
  <c r="A53" i="12" s="1"/>
  <c r="P22" i="12"/>
  <c r="P20" i="12"/>
  <c r="P19" i="12"/>
  <c r="P18" i="12"/>
  <c r="P17" i="12"/>
  <c r="E17" i="12"/>
  <c r="P16" i="12"/>
  <c r="P15" i="12"/>
  <c r="P14" i="12"/>
  <c r="P13" i="12"/>
  <c r="P12" i="12"/>
  <c r="P11" i="12"/>
  <c r="P10" i="12"/>
  <c r="P9" i="12"/>
  <c r="P8" i="12"/>
  <c r="A27" i="12" s="1"/>
  <c r="P7" i="12"/>
  <c r="P6" i="12"/>
  <c r="P5" i="12"/>
  <c r="G5" i="12"/>
  <c r="A5" i="12"/>
  <c r="P99" i="11"/>
  <c r="P98" i="11"/>
  <c r="P97" i="11"/>
  <c r="P96" i="11"/>
  <c r="P95" i="11"/>
  <c r="P94" i="11"/>
  <c r="P93" i="11"/>
  <c r="P92" i="11"/>
  <c r="P91" i="11"/>
  <c r="P90" i="11"/>
  <c r="P89" i="11"/>
  <c r="P88" i="11"/>
  <c r="P87" i="11"/>
  <c r="P86" i="11"/>
  <c r="P85" i="11"/>
  <c r="P84" i="11"/>
  <c r="P83" i="11"/>
  <c r="P82" i="11"/>
  <c r="P81" i="11"/>
  <c r="P80" i="11"/>
  <c r="P79" i="11"/>
  <c r="P78" i="11"/>
  <c r="P77" i="11"/>
  <c r="P76" i="11"/>
  <c r="P75" i="11"/>
  <c r="P74" i="11"/>
  <c r="P73" i="11"/>
  <c r="P72" i="11"/>
  <c r="P71" i="11"/>
  <c r="P70" i="11"/>
  <c r="P69" i="11"/>
  <c r="P68" i="11"/>
  <c r="P67" i="11"/>
  <c r="P66" i="11"/>
  <c r="P65" i="11"/>
  <c r="P64" i="11"/>
  <c r="P63" i="11"/>
  <c r="P62" i="11"/>
  <c r="P61" i="11"/>
  <c r="P60" i="11"/>
  <c r="P59" i="11"/>
  <c r="P58" i="11"/>
  <c r="P57" i="11"/>
  <c r="P56" i="11"/>
  <c r="P55" i="11"/>
  <c r="P54" i="11"/>
  <c r="P53" i="11"/>
  <c r="P52"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4" i="11"/>
  <c r="P23" i="11"/>
  <c r="P22" i="11"/>
  <c r="P21" i="11"/>
  <c r="P20" i="11"/>
  <c r="P19" i="11"/>
  <c r="P18" i="11"/>
  <c r="P17" i="11"/>
  <c r="P16" i="11"/>
  <c r="P15" i="11"/>
  <c r="P14" i="11"/>
  <c r="P13" i="11"/>
  <c r="P12" i="11"/>
  <c r="P11" i="11"/>
  <c r="P10" i="11"/>
  <c r="P9" i="11"/>
  <c r="B9" i="11"/>
  <c r="E9" i="11" s="1"/>
  <c r="P8" i="11"/>
  <c r="B8" i="11"/>
  <c r="E8" i="11" s="1"/>
  <c r="P7" i="11"/>
  <c r="B7" i="11"/>
  <c r="E7" i="11" s="1"/>
  <c r="P6" i="11"/>
  <c r="B6" i="11"/>
  <c r="E6" i="11" s="1"/>
  <c r="P5" i="11"/>
  <c r="B5" i="11"/>
  <c r="E5" i="11" s="1"/>
  <c r="AB17" i="9"/>
  <c r="AA17" i="9"/>
  <c r="Z17" i="9"/>
  <c r="Y17" i="9"/>
  <c r="X17" i="9"/>
  <c r="G17" i="9"/>
  <c r="F17" i="9"/>
  <c r="E17" i="9"/>
  <c r="AB16" i="9"/>
  <c r="AA16" i="9"/>
  <c r="Z16" i="9"/>
  <c r="Y16" i="9"/>
  <c r="X16" i="9"/>
  <c r="G16" i="9"/>
  <c r="F16" i="9"/>
  <c r="E16" i="9"/>
  <c r="AB15" i="9"/>
  <c r="AA15" i="9"/>
  <c r="Z15" i="9"/>
  <c r="Y15" i="9"/>
  <c r="X15" i="9"/>
  <c r="G15" i="9"/>
  <c r="F15" i="9"/>
  <c r="E15" i="9"/>
  <c r="AB14" i="9"/>
  <c r="AA14" i="9"/>
  <c r="Z14" i="9"/>
  <c r="Y14" i="9"/>
  <c r="X14" i="9"/>
  <c r="G14" i="9"/>
  <c r="F14" i="9"/>
  <c r="E14" i="9"/>
  <c r="AB13" i="9"/>
  <c r="AA13" i="9"/>
  <c r="Z13" i="9"/>
  <c r="Y13" i="9"/>
  <c r="X13" i="9"/>
  <c r="G13" i="9"/>
  <c r="F13" i="9"/>
  <c r="E13" i="9"/>
  <c r="AB12" i="9"/>
  <c r="AA12" i="9"/>
  <c r="Z12" i="9"/>
  <c r="Y12" i="9"/>
  <c r="X12" i="9"/>
  <c r="G12" i="9"/>
  <c r="F12" i="9"/>
  <c r="E12" i="9"/>
  <c r="AB11" i="9"/>
  <c r="AA11" i="9"/>
  <c r="Z11" i="9"/>
  <c r="Y11" i="9"/>
  <c r="X11" i="9"/>
  <c r="G11" i="9"/>
  <c r="F11" i="9"/>
  <c r="E11" i="9"/>
  <c r="AB10" i="9"/>
  <c r="AA10" i="9"/>
  <c r="Z10" i="9"/>
  <c r="Y10" i="9"/>
  <c r="X10" i="9"/>
  <c r="G10" i="9"/>
  <c r="F10" i="9"/>
  <c r="E10" i="9"/>
  <c r="AB9" i="9"/>
  <c r="AA9" i="9"/>
  <c r="Z9" i="9"/>
  <c r="Y9" i="9"/>
  <c r="X9" i="9"/>
  <c r="G9" i="9"/>
  <c r="F9" i="9"/>
  <c r="E9" i="9"/>
  <c r="C5" i="9" s="1"/>
  <c r="E5" i="9"/>
  <c r="A5" i="9"/>
  <c r="G5" i="9" s="1"/>
  <c r="AB16" i="8"/>
  <c r="AA16" i="8"/>
  <c r="Z16" i="8"/>
  <c r="Y16" i="8"/>
  <c r="X16" i="8"/>
  <c r="G16" i="8"/>
  <c r="F16" i="8"/>
  <c r="E16" i="8"/>
  <c r="AB15" i="8"/>
  <c r="AA15" i="8"/>
  <c r="Z15" i="8"/>
  <c r="Y15" i="8"/>
  <c r="X15" i="8"/>
  <c r="G15" i="8"/>
  <c r="F15" i="8"/>
  <c r="E15" i="8"/>
  <c r="AB14" i="8"/>
  <c r="AA14" i="8"/>
  <c r="Z14" i="8"/>
  <c r="Y14" i="8"/>
  <c r="X14" i="8"/>
  <c r="G14" i="8"/>
  <c r="F14" i="8"/>
  <c r="E14" i="8"/>
  <c r="AB13" i="8"/>
  <c r="AA13" i="8"/>
  <c r="Z13" i="8"/>
  <c r="Y13" i="8"/>
  <c r="X13" i="8"/>
  <c r="G13" i="8"/>
  <c r="F13" i="8"/>
  <c r="E13" i="8"/>
  <c r="AB12" i="8"/>
  <c r="AA12" i="8"/>
  <c r="Z12" i="8"/>
  <c r="Y12" i="8"/>
  <c r="X12" i="8"/>
  <c r="G12" i="8"/>
  <c r="F12" i="8"/>
  <c r="E12" i="8"/>
  <c r="AB11" i="8"/>
  <c r="AA11" i="8"/>
  <c r="Z11" i="8"/>
  <c r="Y11" i="8"/>
  <c r="X11" i="8"/>
  <c r="G11" i="8"/>
  <c r="F11" i="8"/>
  <c r="E11" i="8"/>
  <c r="AB10" i="8"/>
  <c r="AA10" i="8"/>
  <c r="Z10" i="8"/>
  <c r="Y10" i="8"/>
  <c r="X10" i="8"/>
  <c r="G10" i="8"/>
  <c r="F10" i="8"/>
  <c r="E10" i="8"/>
  <c r="AB9" i="8"/>
  <c r="AA9" i="8"/>
  <c r="Z9" i="8"/>
  <c r="Y9" i="8"/>
  <c r="X9" i="8"/>
  <c r="G9" i="8"/>
  <c r="F9" i="8"/>
  <c r="E9" i="8"/>
  <c r="E19" i="10" s="1"/>
  <c r="E5" i="8"/>
  <c r="A5" i="8"/>
  <c r="G5" i="8" s="1"/>
  <c r="AB19" i="7"/>
  <c r="AA19" i="7"/>
  <c r="Z19" i="7"/>
  <c r="Y19" i="7"/>
  <c r="X19" i="7"/>
  <c r="G19" i="7"/>
  <c r="F19" i="7"/>
  <c r="E19" i="7"/>
  <c r="AB18" i="7"/>
  <c r="AA18" i="7"/>
  <c r="Z18" i="7"/>
  <c r="Y18" i="7"/>
  <c r="X18" i="7"/>
  <c r="G18" i="7"/>
  <c r="F18" i="7"/>
  <c r="E18" i="7"/>
  <c r="AB17" i="7"/>
  <c r="AA17" i="7"/>
  <c r="Z17" i="7"/>
  <c r="Y17" i="7"/>
  <c r="X17" i="7"/>
  <c r="G17" i="7"/>
  <c r="F17" i="7"/>
  <c r="E17" i="7"/>
  <c r="AB16" i="7"/>
  <c r="AA16" i="7"/>
  <c r="Z16" i="7"/>
  <c r="Y16" i="7"/>
  <c r="X16" i="7"/>
  <c r="G16" i="7"/>
  <c r="F16" i="7"/>
  <c r="E16" i="7"/>
  <c r="AB15" i="7"/>
  <c r="AA15" i="7"/>
  <c r="Z15" i="7"/>
  <c r="Y15" i="7"/>
  <c r="X15" i="7"/>
  <c r="G15" i="7"/>
  <c r="F15" i="7"/>
  <c r="E15" i="7"/>
  <c r="AB14" i="7"/>
  <c r="AA14" i="7"/>
  <c r="Z14" i="7"/>
  <c r="Y14" i="7"/>
  <c r="X14" i="7"/>
  <c r="G14" i="7"/>
  <c r="F14" i="7"/>
  <c r="E14" i="7"/>
  <c r="AB13" i="7"/>
  <c r="AA13" i="7"/>
  <c r="Z13" i="7"/>
  <c r="Y13" i="7"/>
  <c r="X13" i="7"/>
  <c r="G13" i="7"/>
  <c r="F13" i="7"/>
  <c r="E13" i="7"/>
  <c r="AB12" i="7"/>
  <c r="AA12" i="7"/>
  <c r="Z12" i="7"/>
  <c r="Y12" i="7"/>
  <c r="X12" i="7"/>
  <c r="G12" i="7"/>
  <c r="F12" i="7"/>
  <c r="E12" i="7"/>
  <c r="AB11" i="7"/>
  <c r="AA11" i="7"/>
  <c r="Z11" i="7"/>
  <c r="Y11" i="7"/>
  <c r="X11" i="7"/>
  <c r="G11" i="7"/>
  <c r="F11" i="7"/>
  <c r="E11" i="7"/>
  <c r="AB10" i="7"/>
  <c r="AA10" i="7"/>
  <c r="Z10" i="7"/>
  <c r="Y10" i="7"/>
  <c r="X10" i="7"/>
  <c r="G10" i="7"/>
  <c r="F10" i="7"/>
  <c r="E10" i="7"/>
  <c r="AB9" i="7"/>
  <c r="AA9" i="7"/>
  <c r="Z9" i="7"/>
  <c r="Y9" i="7"/>
  <c r="X9" i="7"/>
  <c r="G9" i="7"/>
  <c r="F9" i="7"/>
  <c r="E9" i="7"/>
  <c r="C5" i="7" s="1"/>
  <c r="E5" i="7"/>
  <c r="A5" i="7"/>
  <c r="G5" i="7" s="1"/>
  <c r="AB21" i="6"/>
  <c r="AA21" i="6"/>
  <c r="Z21" i="6"/>
  <c r="Y21" i="6"/>
  <c r="X21" i="6"/>
  <c r="G21" i="6"/>
  <c r="F21" i="6"/>
  <c r="E21" i="6"/>
  <c r="AB20" i="6"/>
  <c r="AA20" i="6"/>
  <c r="Z20" i="6"/>
  <c r="Y20" i="6"/>
  <c r="X20" i="6"/>
  <c r="G20" i="6"/>
  <c r="F20" i="6"/>
  <c r="E20" i="6"/>
  <c r="AB19" i="6"/>
  <c r="AA19" i="6"/>
  <c r="Z19" i="6"/>
  <c r="Y19" i="6"/>
  <c r="X19" i="6"/>
  <c r="G19" i="6"/>
  <c r="F19" i="6"/>
  <c r="E19" i="6"/>
  <c r="AB18" i="6"/>
  <c r="AA18" i="6"/>
  <c r="Z18" i="6"/>
  <c r="Y18" i="6"/>
  <c r="X18" i="6"/>
  <c r="G18" i="6"/>
  <c r="F18" i="6"/>
  <c r="E18" i="6"/>
  <c r="AB17" i="6"/>
  <c r="AA17" i="6"/>
  <c r="Z17" i="6"/>
  <c r="Y17" i="6"/>
  <c r="X17" i="6"/>
  <c r="G17" i="6"/>
  <c r="F17" i="6"/>
  <c r="E17" i="6"/>
  <c r="AB16" i="6"/>
  <c r="AA16" i="6"/>
  <c r="Z16" i="6"/>
  <c r="Y16" i="6"/>
  <c r="X16" i="6"/>
  <c r="G16" i="6"/>
  <c r="F16" i="6"/>
  <c r="E16" i="6"/>
  <c r="AB15" i="6"/>
  <c r="AA15" i="6"/>
  <c r="Z15" i="6"/>
  <c r="Y15" i="6"/>
  <c r="X15" i="6"/>
  <c r="G15" i="6"/>
  <c r="F15" i="6"/>
  <c r="E15" i="6"/>
  <c r="AB14" i="6"/>
  <c r="AA14" i="6"/>
  <c r="Z14" i="6"/>
  <c r="Y14" i="6"/>
  <c r="X14" i="6"/>
  <c r="G14" i="6"/>
  <c r="F14" i="6"/>
  <c r="E14" i="6"/>
  <c r="AB13" i="6"/>
  <c r="AA13" i="6"/>
  <c r="Z13" i="6"/>
  <c r="Y13" i="6"/>
  <c r="X13" i="6"/>
  <c r="G13" i="6"/>
  <c r="F13" i="6"/>
  <c r="E13" i="6"/>
  <c r="AB12" i="6"/>
  <c r="AA12" i="6"/>
  <c r="Z12" i="6"/>
  <c r="Y12" i="6"/>
  <c r="X12" i="6"/>
  <c r="G12" i="6"/>
  <c r="F12" i="6"/>
  <c r="E12" i="6"/>
  <c r="AB11" i="6"/>
  <c r="AA11" i="6"/>
  <c r="Z11" i="6"/>
  <c r="Y11" i="6"/>
  <c r="X11" i="6"/>
  <c r="G11" i="6"/>
  <c r="F11" i="6"/>
  <c r="E11" i="6"/>
  <c r="AB10" i="6"/>
  <c r="AA10" i="6"/>
  <c r="Z10" i="6"/>
  <c r="Y10" i="6"/>
  <c r="X10" i="6"/>
  <c r="G10" i="6"/>
  <c r="F10" i="6"/>
  <c r="E10" i="6"/>
  <c r="AB9" i="6"/>
  <c r="AA9" i="6"/>
  <c r="Z9" i="6"/>
  <c r="Y9" i="6"/>
  <c r="X9" i="6"/>
  <c r="G9" i="6"/>
  <c r="F9" i="6"/>
  <c r="E9" i="6"/>
  <c r="C5" i="6" s="1"/>
  <c r="E5" i="6"/>
  <c r="A5" i="6"/>
  <c r="G5" i="6" s="1"/>
  <c r="AB20" i="5"/>
  <c r="AA20" i="5"/>
  <c r="Z20" i="5"/>
  <c r="Y20" i="5"/>
  <c r="X20" i="5"/>
  <c r="G20" i="5"/>
  <c r="F20" i="5"/>
  <c r="E20" i="5"/>
  <c r="AB19" i="5"/>
  <c r="AA19" i="5"/>
  <c r="Z19" i="5"/>
  <c r="Y19" i="5"/>
  <c r="X19" i="5"/>
  <c r="G19" i="5"/>
  <c r="F19" i="5"/>
  <c r="E19" i="5"/>
  <c r="AB18" i="5"/>
  <c r="AA18" i="5"/>
  <c r="Z18" i="5"/>
  <c r="Y18" i="5"/>
  <c r="X18" i="5"/>
  <c r="G18" i="5"/>
  <c r="F18" i="5"/>
  <c r="E18" i="5"/>
  <c r="AB17" i="5"/>
  <c r="AA17" i="5"/>
  <c r="Z17" i="5"/>
  <c r="Y17" i="5"/>
  <c r="X17" i="5"/>
  <c r="G17" i="5"/>
  <c r="F17" i="5"/>
  <c r="E17" i="5"/>
  <c r="AB16" i="5"/>
  <c r="AA16" i="5"/>
  <c r="Z16" i="5"/>
  <c r="Y16" i="5"/>
  <c r="X16" i="5"/>
  <c r="G16" i="5"/>
  <c r="F16" i="5"/>
  <c r="E16" i="5"/>
  <c r="AB15" i="5"/>
  <c r="AA15" i="5"/>
  <c r="Z15" i="5"/>
  <c r="Y15" i="5"/>
  <c r="X15" i="5"/>
  <c r="G15" i="5"/>
  <c r="F15" i="5"/>
  <c r="E15" i="5"/>
  <c r="AB14" i="5"/>
  <c r="AA14" i="5"/>
  <c r="Z14" i="5"/>
  <c r="Y14" i="5"/>
  <c r="X14" i="5"/>
  <c r="G14" i="5"/>
  <c r="F14" i="5"/>
  <c r="E14" i="5"/>
  <c r="AB13" i="5"/>
  <c r="AA13" i="5"/>
  <c r="Z13" i="5"/>
  <c r="Y13" i="5"/>
  <c r="X13" i="5"/>
  <c r="G13" i="5"/>
  <c r="F13" i="5"/>
  <c r="E13" i="5"/>
  <c r="AB12" i="5"/>
  <c r="AA12" i="5"/>
  <c r="Z12" i="5"/>
  <c r="Y12" i="5"/>
  <c r="X12" i="5"/>
  <c r="G12" i="5"/>
  <c r="F12" i="5"/>
  <c r="E12" i="5"/>
  <c r="AB11" i="5"/>
  <c r="AA11" i="5"/>
  <c r="Z11" i="5"/>
  <c r="Y11" i="5"/>
  <c r="X11" i="5"/>
  <c r="G11" i="5"/>
  <c r="F11" i="5"/>
  <c r="E11" i="5"/>
  <c r="AB10" i="5"/>
  <c r="AA10" i="5"/>
  <c r="Z10" i="5"/>
  <c r="Y10" i="5"/>
  <c r="X10" i="5"/>
  <c r="G10" i="5"/>
  <c r="F10" i="5"/>
  <c r="E10" i="5"/>
  <c r="AB9" i="5"/>
  <c r="AA9" i="5"/>
  <c r="Z9" i="5"/>
  <c r="Y9" i="5"/>
  <c r="X9" i="5"/>
  <c r="G9" i="5"/>
  <c r="F9" i="5"/>
  <c r="E9" i="5"/>
  <c r="C5" i="5" s="1"/>
  <c r="G5" i="5"/>
  <c r="E5" i="5"/>
  <c r="A5" i="5"/>
  <c r="AB20" i="4"/>
  <c r="AA20" i="4"/>
  <c r="Z20" i="4"/>
  <c r="Y20" i="4"/>
  <c r="X20" i="4"/>
  <c r="G20" i="4"/>
  <c r="F20" i="4"/>
  <c r="E20" i="4"/>
  <c r="AB19" i="4"/>
  <c r="AA19" i="4"/>
  <c r="Z19" i="4"/>
  <c r="Y19" i="4"/>
  <c r="X19" i="4"/>
  <c r="G19" i="4"/>
  <c r="F19" i="4"/>
  <c r="E19" i="4"/>
  <c r="AB18" i="4"/>
  <c r="AA18" i="4"/>
  <c r="Z18" i="4"/>
  <c r="Y18" i="4"/>
  <c r="X18" i="4"/>
  <c r="G18" i="4"/>
  <c r="F18" i="4"/>
  <c r="E18" i="4"/>
  <c r="AB17" i="4"/>
  <c r="AA17" i="4"/>
  <c r="Z17" i="4"/>
  <c r="Y17" i="4"/>
  <c r="X17" i="4"/>
  <c r="G17" i="4"/>
  <c r="F17" i="4"/>
  <c r="E17" i="4"/>
  <c r="AB16" i="4"/>
  <c r="AA16" i="4"/>
  <c r="Z16" i="4"/>
  <c r="Y16" i="4"/>
  <c r="X16" i="4"/>
  <c r="G16" i="4"/>
  <c r="F16" i="4"/>
  <c r="E16" i="4"/>
  <c r="AB15" i="4"/>
  <c r="AA15" i="4"/>
  <c r="Z15" i="4"/>
  <c r="Y15" i="4"/>
  <c r="X15" i="4"/>
  <c r="G15" i="4"/>
  <c r="F15" i="4"/>
  <c r="E15" i="4"/>
  <c r="AB14" i="4"/>
  <c r="AA14" i="4"/>
  <c r="Z14" i="4"/>
  <c r="Y14" i="4"/>
  <c r="X14" i="4"/>
  <c r="G14" i="4"/>
  <c r="F14" i="4"/>
  <c r="E14" i="4"/>
  <c r="AB13" i="4"/>
  <c r="AA13" i="4"/>
  <c r="Z13" i="4"/>
  <c r="Y13" i="4"/>
  <c r="X13" i="4"/>
  <c r="G13" i="4"/>
  <c r="F13" i="4"/>
  <c r="E13" i="4"/>
  <c r="AB12" i="4"/>
  <c r="AA12" i="4"/>
  <c r="Z12" i="4"/>
  <c r="Y12" i="4"/>
  <c r="X12" i="4"/>
  <c r="G12" i="4"/>
  <c r="F12" i="4"/>
  <c r="E12" i="4"/>
  <c r="AB11" i="4"/>
  <c r="AA11" i="4"/>
  <c r="Z11" i="4"/>
  <c r="Y11" i="4"/>
  <c r="X11" i="4"/>
  <c r="G11" i="4"/>
  <c r="F11" i="4"/>
  <c r="E11" i="4"/>
  <c r="AB10" i="4"/>
  <c r="AA10" i="4"/>
  <c r="Z10" i="4"/>
  <c r="Y10" i="4"/>
  <c r="X10" i="4"/>
  <c r="G10" i="4"/>
  <c r="F10" i="4"/>
  <c r="E10" i="4"/>
  <c r="AB9" i="4"/>
  <c r="AA9" i="4"/>
  <c r="Z9" i="4"/>
  <c r="Y9" i="4"/>
  <c r="X9" i="4"/>
  <c r="G9" i="4"/>
  <c r="F9" i="4"/>
  <c r="E9" i="4"/>
  <c r="E15" i="10" s="1"/>
  <c r="G5" i="4"/>
  <c r="E5" i="4"/>
  <c r="A5" i="4"/>
  <c r="AB22" i="3"/>
  <c r="AA22" i="3"/>
  <c r="Z22" i="3"/>
  <c r="Y22" i="3"/>
  <c r="X22" i="3"/>
  <c r="G22" i="3"/>
  <c r="F22" i="3"/>
  <c r="E22" i="3"/>
  <c r="AB21" i="3"/>
  <c r="AA21" i="3"/>
  <c r="Z21" i="3"/>
  <c r="Y21" i="3"/>
  <c r="X21" i="3"/>
  <c r="G21" i="3"/>
  <c r="F21" i="3"/>
  <c r="E21" i="3"/>
  <c r="AB20" i="3"/>
  <c r="AA20" i="3"/>
  <c r="Z20" i="3"/>
  <c r="Y20" i="3"/>
  <c r="X20" i="3"/>
  <c r="G20" i="3"/>
  <c r="F20" i="3"/>
  <c r="E20" i="3"/>
  <c r="AB19" i="3"/>
  <c r="AA19" i="3"/>
  <c r="Z19" i="3"/>
  <c r="Y19" i="3"/>
  <c r="X19" i="3"/>
  <c r="G19" i="3"/>
  <c r="F19" i="3"/>
  <c r="E19" i="3"/>
  <c r="AB18" i="3"/>
  <c r="AA18" i="3"/>
  <c r="Z18" i="3"/>
  <c r="Y18" i="3"/>
  <c r="X18" i="3"/>
  <c r="G18" i="3"/>
  <c r="F18" i="3"/>
  <c r="E18" i="3"/>
  <c r="AB17" i="3"/>
  <c r="AA17" i="3"/>
  <c r="Z17" i="3"/>
  <c r="Y17" i="3"/>
  <c r="X17" i="3"/>
  <c r="G17" i="3"/>
  <c r="F17" i="3"/>
  <c r="E17" i="3"/>
  <c r="AB16" i="3"/>
  <c r="AA16" i="3"/>
  <c r="Z16" i="3"/>
  <c r="Y16" i="3"/>
  <c r="X16" i="3"/>
  <c r="G16" i="3"/>
  <c r="F16" i="3"/>
  <c r="E16" i="3"/>
  <c r="AB15" i="3"/>
  <c r="AA15" i="3"/>
  <c r="Z15" i="3"/>
  <c r="Y15" i="3"/>
  <c r="X15" i="3"/>
  <c r="G15" i="3"/>
  <c r="F15" i="3"/>
  <c r="E15" i="3"/>
  <c r="AB14" i="3"/>
  <c r="AA14" i="3"/>
  <c r="Z14" i="3"/>
  <c r="Y14" i="3"/>
  <c r="X14" i="3"/>
  <c r="G14" i="3"/>
  <c r="F14" i="3"/>
  <c r="E14" i="3"/>
  <c r="AB13" i="3"/>
  <c r="AA13" i="3"/>
  <c r="Z13" i="3"/>
  <c r="Y13" i="3"/>
  <c r="X13" i="3"/>
  <c r="G13" i="3"/>
  <c r="F13" i="3"/>
  <c r="E13" i="3"/>
  <c r="AB12" i="3"/>
  <c r="AA12" i="3"/>
  <c r="Z12" i="3"/>
  <c r="Y12" i="3"/>
  <c r="X12" i="3"/>
  <c r="G12" i="3"/>
  <c r="F12" i="3"/>
  <c r="E12" i="3"/>
  <c r="AB11" i="3"/>
  <c r="AA11" i="3"/>
  <c r="Z11" i="3"/>
  <c r="Y11" i="3"/>
  <c r="X11" i="3"/>
  <c r="G11" i="3"/>
  <c r="F11" i="3"/>
  <c r="E11" i="3"/>
  <c r="AB10" i="3"/>
  <c r="AA10" i="3"/>
  <c r="Z10" i="3"/>
  <c r="Y10" i="3"/>
  <c r="X10" i="3"/>
  <c r="G10" i="3"/>
  <c r="F10" i="3"/>
  <c r="E10" i="3"/>
  <c r="AB9" i="3"/>
  <c r="AA9" i="3"/>
  <c r="Z9" i="3"/>
  <c r="Y9" i="3"/>
  <c r="X9" i="3"/>
  <c r="G9" i="3"/>
  <c r="F9" i="3"/>
  <c r="E9" i="3"/>
  <c r="C5" i="3" s="1"/>
  <c r="G5" i="3"/>
  <c r="E5" i="3"/>
  <c r="A5" i="3"/>
  <c r="B14" i="10" s="1"/>
  <c r="AB24" i="2"/>
  <c r="AA24" i="2"/>
  <c r="Z24" i="2"/>
  <c r="Y24" i="2"/>
  <c r="X24" i="2"/>
  <c r="G24" i="2"/>
  <c r="F24" i="2"/>
  <c r="E24" i="2"/>
  <c r="AB23" i="2"/>
  <c r="AA23" i="2"/>
  <c r="Z23" i="2"/>
  <c r="Y23" i="2"/>
  <c r="X23" i="2"/>
  <c r="G23" i="2"/>
  <c r="F23" i="2"/>
  <c r="E23" i="2"/>
  <c r="AB22" i="2"/>
  <c r="AA22" i="2"/>
  <c r="Z22" i="2"/>
  <c r="Y22" i="2"/>
  <c r="X22" i="2"/>
  <c r="G22" i="2"/>
  <c r="F22" i="2"/>
  <c r="E22" i="2"/>
  <c r="AB21" i="2"/>
  <c r="AA21" i="2"/>
  <c r="Z21" i="2"/>
  <c r="Y21" i="2"/>
  <c r="X21" i="2"/>
  <c r="G21" i="2"/>
  <c r="F21" i="2"/>
  <c r="E21" i="2"/>
  <c r="AB20" i="2"/>
  <c r="AA20" i="2"/>
  <c r="Z20" i="2"/>
  <c r="Y20" i="2"/>
  <c r="X20" i="2"/>
  <c r="G20" i="2"/>
  <c r="F20" i="2"/>
  <c r="E20" i="2"/>
  <c r="AB19" i="2"/>
  <c r="AA19" i="2"/>
  <c r="Z19" i="2"/>
  <c r="Y19" i="2"/>
  <c r="X19" i="2"/>
  <c r="G19" i="2"/>
  <c r="F19" i="2"/>
  <c r="E19" i="2"/>
  <c r="AB18" i="2"/>
  <c r="AA18" i="2"/>
  <c r="Z18" i="2"/>
  <c r="Y18" i="2"/>
  <c r="X18" i="2"/>
  <c r="G18" i="2"/>
  <c r="F18" i="2"/>
  <c r="E18" i="2"/>
  <c r="AB17" i="2"/>
  <c r="AA17" i="2"/>
  <c r="Z17" i="2"/>
  <c r="Y17" i="2"/>
  <c r="X17" i="2"/>
  <c r="G17" i="2"/>
  <c r="F17" i="2"/>
  <c r="E17" i="2"/>
  <c r="AB16" i="2"/>
  <c r="AA16" i="2"/>
  <c r="Z16" i="2"/>
  <c r="Y16" i="2"/>
  <c r="X16" i="2"/>
  <c r="G16" i="2"/>
  <c r="F16" i="2"/>
  <c r="E16" i="2"/>
  <c r="AB15" i="2"/>
  <c r="AA15" i="2"/>
  <c r="Z15" i="2"/>
  <c r="Y15" i="2"/>
  <c r="X15" i="2"/>
  <c r="G15" i="2"/>
  <c r="F15" i="2"/>
  <c r="E15" i="2"/>
  <c r="AB14" i="2"/>
  <c r="AA14" i="2"/>
  <c r="Z14" i="2"/>
  <c r="Y14" i="2"/>
  <c r="X14" i="2"/>
  <c r="G14" i="2"/>
  <c r="F14" i="2"/>
  <c r="E14" i="2"/>
  <c r="AB13" i="2"/>
  <c r="AA13" i="2"/>
  <c r="Z13" i="2"/>
  <c r="Y13" i="2"/>
  <c r="X13" i="2"/>
  <c r="G13" i="2"/>
  <c r="F13" i="2"/>
  <c r="E13" i="2"/>
  <c r="AB12" i="2"/>
  <c r="AA12" i="2"/>
  <c r="Z12" i="2"/>
  <c r="Y12" i="2"/>
  <c r="X12" i="2"/>
  <c r="G12" i="2"/>
  <c r="F12" i="2"/>
  <c r="E12" i="2"/>
  <c r="AB11" i="2"/>
  <c r="AA11" i="2"/>
  <c r="Z11" i="2"/>
  <c r="Y11" i="2"/>
  <c r="X11" i="2"/>
  <c r="G11" i="2"/>
  <c r="F11" i="2"/>
  <c r="E11" i="2"/>
  <c r="AB10" i="2"/>
  <c r="AA10" i="2"/>
  <c r="Z10" i="2"/>
  <c r="Y10" i="2"/>
  <c r="X10" i="2"/>
  <c r="G10" i="2"/>
  <c r="F10" i="2"/>
  <c r="E10" i="2"/>
  <c r="AB9" i="2"/>
  <c r="AA9" i="2"/>
  <c r="Z9" i="2"/>
  <c r="Y9" i="2"/>
  <c r="X9" i="2"/>
  <c r="G9" i="2"/>
  <c r="F9" i="2"/>
  <c r="E9" i="2"/>
  <c r="C5" i="2" s="1"/>
  <c r="G5" i="2"/>
  <c r="E5" i="2"/>
  <c r="A5" i="2"/>
  <c r="B13" i="10" s="1"/>
  <c r="L26" i="10"/>
  <c r="K26" i="10"/>
  <c r="K25" i="10"/>
  <c r="L24" i="10"/>
  <c r="K24" i="10"/>
  <c r="K23" i="10"/>
  <c r="L22" i="10"/>
  <c r="K22" i="10"/>
  <c r="L25" i="10" s="1"/>
  <c r="F20" i="10"/>
  <c r="E152" i="12" s="1"/>
  <c r="E20" i="10"/>
  <c r="F19" i="10"/>
  <c r="E137" i="12" s="1"/>
  <c r="B19" i="10"/>
  <c r="A137" i="12" s="1"/>
  <c r="F18" i="10"/>
  <c r="E119" i="12" s="1"/>
  <c r="B18" i="10"/>
  <c r="A119" i="12" s="1"/>
  <c r="F17" i="10"/>
  <c r="E99" i="12" s="1"/>
  <c r="E17" i="10"/>
  <c r="F16" i="10"/>
  <c r="E80" i="12" s="1"/>
  <c r="B16" i="10"/>
  <c r="A80" i="12" s="1"/>
  <c r="F15" i="10"/>
  <c r="E61" i="12" s="1"/>
  <c r="B15" i="10"/>
  <c r="C15" i="10" s="1"/>
  <c r="C61" i="12" s="1"/>
  <c r="F14" i="10"/>
  <c r="E40" i="12" s="1"/>
  <c r="E14" i="10"/>
  <c r="F13" i="10"/>
  <c r="E13" i="10"/>
  <c r="A42" i="15"/>
  <c r="X40" i="15"/>
  <c r="X39" i="15"/>
  <c r="X38" i="15"/>
  <c r="X37" i="15"/>
  <c r="X36" i="15"/>
  <c r="X35" i="15"/>
  <c r="X34" i="15"/>
  <c r="X33" i="15"/>
  <c r="X32" i="15"/>
  <c r="X31" i="15"/>
  <c r="X30" i="15"/>
  <c r="X29" i="15"/>
  <c r="X28" i="15"/>
  <c r="X27" i="15"/>
  <c r="X26" i="15"/>
  <c r="X25" i="15"/>
  <c r="X24" i="15"/>
  <c r="X23" i="15"/>
  <c r="X22" i="15"/>
  <c r="G22" i="15"/>
  <c r="F22" i="15"/>
  <c r="E22" i="15"/>
  <c r="C22" i="15"/>
  <c r="X21" i="15"/>
  <c r="G21" i="15"/>
  <c r="F21" i="15"/>
  <c r="E21" i="15"/>
  <c r="C21" i="15"/>
  <c r="X20" i="15"/>
  <c r="G20" i="15"/>
  <c r="F20" i="15"/>
  <c r="E20" i="15"/>
  <c r="C20" i="15"/>
  <c r="X19" i="15"/>
  <c r="G19" i="15"/>
  <c r="F19" i="15"/>
  <c r="E19" i="15"/>
  <c r="C19" i="15"/>
  <c r="X18" i="15"/>
  <c r="J18" i="15"/>
  <c r="G18" i="15"/>
  <c r="F18" i="15"/>
  <c r="E18" i="15"/>
  <c r="C18" i="15"/>
  <c r="B18" i="15"/>
  <c r="D18" i="15" s="1"/>
  <c r="X17" i="15"/>
  <c r="J17" i="15"/>
  <c r="G17" i="15"/>
  <c r="F17" i="15"/>
  <c r="E17" i="15"/>
  <c r="C17" i="15"/>
  <c r="B17" i="15"/>
  <c r="D17" i="15" s="1"/>
  <c r="X16" i="15"/>
  <c r="J16" i="15"/>
  <c r="G16" i="15"/>
  <c r="F16" i="15"/>
  <c r="E16" i="15"/>
  <c r="C16" i="15"/>
  <c r="X15" i="15"/>
  <c r="J15" i="15"/>
  <c r="G15" i="15"/>
  <c r="F15" i="15"/>
  <c r="E15" i="15"/>
  <c r="C15" i="15"/>
  <c r="X14" i="15"/>
  <c r="J14" i="15"/>
  <c r="X13" i="15"/>
  <c r="X12" i="15"/>
  <c r="X11" i="15"/>
  <c r="X10" i="15"/>
  <c r="X9" i="15"/>
  <c r="A9" i="15"/>
  <c r="X8" i="15"/>
  <c r="X7" i="15"/>
  <c r="X6" i="15"/>
  <c r="X5" i="15"/>
  <c r="I5" i="15"/>
  <c r="G5" i="15"/>
  <c r="D5" i="15"/>
  <c r="H5" i="1"/>
  <c r="D88" i="12" l="1"/>
  <c r="C88" i="12"/>
  <c r="F88" i="12"/>
  <c r="E88" i="12"/>
  <c r="B88" i="12"/>
  <c r="C87" i="12"/>
  <c r="F87" i="12"/>
  <c r="B87" i="12"/>
  <c r="E87" i="12"/>
  <c r="D87" i="12"/>
  <c r="A40" i="12"/>
  <c r="C14" i="10"/>
  <c r="C40" i="12" s="1"/>
  <c r="G14" i="10"/>
  <c r="B16" i="15"/>
  <c r="D16" i="15" s="1"/>
  <c r="D69" i="12"/>
  <c r="C69" i="12"/>
  <c r="F69" i="12"/>
  <c r="B69" i="12"/>
  <c r="E69" i="12"/>
  <c r="D27" i="12"/>
  <c r="C27" i="12"/>
  <c r="F27" i="12"/>
  <c r="B27" i="12"/>
  <c r="E27" i="12"/>
  <c r="C13" i="10"/>
  <c r="C17" i="12" s="1"/>
  <c r="B15" i="15"/>
  <c r="D15" i="15" s="1"/>
  <c r="A17" i="12"/>
  <c r="G13" i="10"/>
  <c r="J13" i="10"/>
  <c r="D53" i="12"/>
  <c r="C53" i="12"/>
  <c r="F53" i="12"/>
  <c r="B53" i="12"/>
  <c r="E53" i="12"/>
  <c r="C75" i="12"/>
  <c r="F75" i="12"/>
  <c r="B75" i="12"/>
  <c r="E75" i="12"/>
  <c r="D75" i="12"/>
  <c r="G15" i="10"/>
  <c r="C16" i="10"/>
  <c r="C80" i="12" s="1"/>
  <c r="J16" i="10"/>
  <c r="K16" i="10" s="1"/>
  <c r="C18" i="10"/>
  <c r="C119" i="12" s="1"/>
  <c r="F5" i="11"/>
  <c r="F6" i="11"/>
  <c r="F7" i="11"/>
  <c r="F8" i="11"/>
  <c r="F9" i="11"/>
  <c r="G9" i="12"/>
  <c r="A20" i="12"/>
  <c r="A23" i="12"/>
  <c r="A61" i="12"/>
  <c r="A132" i="12"/>
  <c r="A130" i="12"/>
  <c r="A128" i="12"/>
  <c r="A126" i="12"/>
  <c r="A124" i="12"/>
  <c r="A122" i="12"/>
  <c r="A129" i="12"/>
  <c r="A125" i="12"/>
  <c r="B21" i="15"/>
  <c r="D21" i="15" s="1"/>
  <c r="E16" i="10"/>
  <c r="G5" i="10" s="1"/>
  <c r="E18" i="10"/>
  <c r="C19" i="10"/>
  <c r="C137" i="12" s="1"/>
  <c r="B20" i="10"/>
  <c r="L23" i="10"/>
  <c r="C5" i="4"/>
  <c r="C5" i="8"/>
  <c r="C5" i="11"/>
  <c r="G5" i="11"/>
  <c r="C6" i="11"/>
  <c r="G6" i="11"/>
  <c r="C7" i="11"/>
  <c r="G7" i="11"/>
  <c r="C8" i="11"/>
  <c r="G8" i="11"/>
  <c r="C9" i="11"/>
  <c r="G9" i="11"/>
  <c r="A35" i="12"/>
  <c r="A32" i="12"/>
  <c r="A33" i="12"/>
  <c r="A22" i="12"/>
  <c r="A26" i="12"/>
  <c r="A30" i="12"/>
  <c r="A74" i="12"/>
  <c r="A65" i="12"/>
  <c r="A73" i="12"/>
  <c r="A84" i="12"/>
  <c r="D146" i="12"/>
  <c r="C146" i="12"/>
  <c r="E146" i="12"/>
  <c r="B146" i="12"/>
  <c r="C162" i="12"/>
  <c r="F162" i="12"/>
  <c r="B162" i="12"/>
  <c r="D162" i="12"/>
  <c r="A131" i="12"/>
  <c r="C160" i="12"/>
  <c r="F160" i="12"/>
  <c r="B160" i="12"/>
  <c r="E160" i="12"/>
  <c r="D160" i="12"/>
  <c r="G19" i="10"/>
  <c r="B20" i="15"/>
  <c r="D20" i="15" s="1"/>
  <c r="B17" i="10"/>
  <c r="A5" i="10" s="1"/>
  <c r="D5" i="11"/>
  <c r="H5" i="11"/>
  <c r="D6" i="11"/>
  <c r="H6" i="11"/>
  <c r="D7" i="11"/>
  <c r="H7" i="11"/>
  <c r="D8" i="11"/>
  <c r="H8" i="11"/>
  <c r="D9" i="11"/>
  <c r="H9" i="11"/>
  <c r="A25" i="12"/>
  <c r="A29" i="12"/>
  <c r="A31" i="12"/>
  <c r="A46" i="12"/>
  <c r="A104" i="12"/>
  <c r="A114" i="12"/>
  <c r="A112" i="12"/>
  <c r="A110" i="12"/>
  <c r="A108" i="12"/>
  <c r="A105" i="12"/>
  <c r="A111" i="12"/>
  <c r="A107" i="12"/>
  <c r="A106" i="12"/>
  <c r="A103" i="12"/>
  <c r="A102" i="12"/>
  <c r="A113" i="12"/>
  <c r="A109" i="12"/>
  <c r="A127" i="12"/>
  <c r="C156" i="12"/>
  <c r="F156" i="12"/>
  <c r="B156" i="12"/>
  <c r="E156" i="12"/>
  <c r="D156" i="12"/>
  <c r="G16" i="10"/>
  <c r="G18" i="10"/>
  <c r="A21" i="12"/>
  <c r="A54" i="12"/>
  <c r="A50" i="12"/>
  <c r="A47" i="12"/>
  <c r="A43" i="12"/>
  <c r="A55" i="12"/>
  <c r="A51" i="12"/>
  <c r="A48" i="12"/>
  <c r="A44" i="12"/>
  <c r="A56" i="12"/>
  <c r="A52" i="12"/>
  <c r="A49" i="12"/>
  <c r="A45" i="12"/>
  <c r="A24" i="12"/>
  <c r="A28" i="12"/>
  <c r="A34" i="12"/>
  <c r="A83" i="12"/>
  <c r="A123" i="12"/>
  <c r="E162" i="12"/>
  <c r="A92" i="12"/>
  <c r="A85" i="12"/>
  <c r="A93" i="12"/>
  <c r="A89" i="12"/>
  <c r="A86" i="12"/>
  <c r="A64" i="12"/>
  <c r="A68" i="12"/>
  <c r="A72" i="12"/>
  <c r="A163" i="12"/>
  <c r="A142" i="12"/>
  <c r="A67" i="12"/>
  <c r="A71" i="12"/>
  <c r="A147" i="12"/>
  <c r="A145" i="12"/>
  <c r="A143" i="12"/>
  <c r="A141" i="12"/>
  <c r="A158" i="12"/>
  <c r="A66" i="12"/>
  <c r="A70" i="12"/>
  <c r="A90" i="12"/>
  <c r="A91" i="12"/>
  <c r="A94" i="12"/>
  <c r="A140" i="12"/>
  <c r="A144" i="12"/>
  <c r="A155" i="12"/>
  <c r="A157" i="12"/>
  <c r="A159" i="12"/>
  <c r="A161" i="12"/>
  <c r="I9" i="12" l="1"/>
  <c r="I5" i="12"/>
  <c r="D5" i="10"/>
  <c r="C9" i="12" s="1"/>
  <c r="A9" i="12"/>
  <c r="C158" i="12"/>
  <c r="F158" i="12"/>
  <c r="B158" i="12"/>
  <c r="D158" i="12"/>
  <c r="E158" i="12"/>
  <c r="F86" i="12"/>
  <c r="B86" i="12"/>
  <c r="E86" i="12"/>
  <c r="D86" i="12"/>
  <c r="C86" i="12"/>
  <c r="C49" i="12"/>
  <c r="F49" i="12"/>
  <c r="B49" i="12"/>
  <c r="E49" i="12"/>
  <c r="D49" i="12"/>
  <c r="D109" i="12"/>
  <c r="C109" i="12"/>
  <c r="E109" i="12"/>
  <c r="B109" i="12"/>
  <c r="F109" i="12"/>
  <c r="E104" i="12"/>
  <c r="D104" i="12"/>
  <c r="F104" i="12"/>
  <c r="C104" i="12"/>
  <c r="B104" i="12"/>
  <c r="F32" i="12"/>
  <c r="B32" i="12"/>
  <c r="E32" i="12"/>
  <c r="D32" i="12"/>
  <c r="C32" i="12"/>
  <c r="C125" i="12"/>
  <c r="F125" i="12"/>
  <c r="B125" i="12"/>
  <c r="D125" i="12"/>
  <c r="E125" i="12"/>
  <c r="K13" i="10"/>
  <c r="E161" i="12"/>
  <c r="D161" i="12"/>
  <c r="B161" i="12"/>
  <c r="F161" i="12"/>
  <c r="C161" i="12"/>
  <c r="D144" i="12"/>
  <c r="C144" i="12"/>
  <c r="F144" i="12"/>
  <c r="E144" i="12"/>
  <c r="B144" i="12"/>
  <c r="C90" i="12"/>
  <c r="F90" i="12"/>
  <c r="B90" i="12"/>
  <c r="E90" i="12"/>
  <c r="D90" i="12"/>
  <c r="F141" i="12"/>
  <c r="B141" i="12"/>
  <c r="E141" i="12"/>
  <c r="C141" i="12"/>
  <c r="D141" i="12"/>
  <c r="F71" i="12"/>
  <c r="B71" i="12"/>
  <c r="E71" i="12"/>
  <c r="D71" i="12"/>
  <c r="C71" i="12"/>
  <c r="C72" i="12"/>
  <c r="F72" i="12"/>
  <c r="B72" i="12"/>
  <c r="E72" i="12"/>
  <c r="D72" i="12"/>
  <c r="F89" i="12"/>
  <c r="B89" i="12"/>
  <c r="E89" i="12"/>
  <c r="D89" i="12"/>
  <c r="C89" i="12"/>
  <c r="E28" i="12"/>
  <c r="D28" i="12"/>
  <c r="C28" i="12"/>
  <c r="F28" i="12"/>
  <c r="B28" i="12"/>
  <c r="C52" i="12"/>
  <c r="F52" i="12"/>
  <c r="B52" i="12"/>
  <c r="E52" i="12"/>
  <c r="D52" i="12"/>
  <c r="F51" i="12"/>
  <c r="B51" i="12"/>
  <c r="E51" i="12"/>
  <c r="D51" i="12"/>
  <c r="C51" i="12"/>
  <c r="E50" i="12"/>
  <c r="D50" i="12"/>
  <c r="C50" i="12"/>
  <c r="B50" i="12"/>
  <c r="F50" i="12"/>
  <c r="D113" i="12"/>
  <c r="C113" i="12"/>
  <c r="E113" i="12"/>
  <c r="B113" i="12"/>
  <c r="F113" i="12"/>
  <c r="D107" i="12"/>
  <c r="C107" i="12"/>
  <c r="F107" i="12"/>
  <c r="E107" i="12"/>
  <c r="B107" i="12"/>
  <c r="F110" i="12"/>
  <c r="B110" i="12"/>
  <c r="E110" i="12"/>
  <c r="D110" i="12"/>
  <c r="C110" i="12"/>
  <c r="D46" i="12"/>
  <c r="C46" i="12"/>
  <c r="F46" i="12"/>
  <c r="B46" i="12"/>
  <c r="E46" i="12"/>
  <c r="D73" i="12"/>
  <c r="C73" i="12"/>
  <c r="F73" i="12"/>
  <c r="B73" i="12"/>
  <c r="E73" i="12"/>
  <c r="C26" i="12"/>
  <c r="F26" i="12"/>
  <c r="B26" i="12"/>
  <c r="E26" i="12"/>
  <c r="D26" i="12"/>
  <c r="E35" i="12"/>
  <c r="D35" i="12"/>
  <c r="C35" i="12"/>
  <c r="F35" i="12"/>
  <c r="B35" i="12"/>
  <c r="C129" i="12"/>
  <c r="F129" i="12"/>
  <c r="B129" i="12"/>
  <c r="D129" i="12"/>
  <c r="E129" i="12"/>
  <c r="E128" i="12"/>
  <c r="D128" i="12"/>
  <c r="B128" i="12"/>
  <c r="F128" i="12"/>
  <c r="C128" i="12"/>
  <c r="D23" i="12"/>
  <c r="C23" i="12"/>
  <c r="F23" i="12"/>
  <c r="B23" i="12"/>
  <c r="E23" i="12"/>
  <c r="E155" i="12"/>
  <c r="D155" i="12"/>
  <c r="F155" i="12"/>
  <c r="C155" i="12"/>
  <c r="B155" i="12"/>
  <c r="F147" i="12"/>
  <c r="B147" i="12"/>
  <c r="E147" i="12"/>
  <c r="D147" i="12"/>
  <c r="C147" i="12"/>
  <c r="D34" i="12"/>
  <c r="C34" i="12"/>
  <c r="F34" i="12"/>
  <c r="B34" i="12"/>
  <c r="E34" i="12"/>
  <c r="E47" i="12"/>
  <c r="D47" i="12"/>
  <c r="C47" i="12"/>
  <c r="F47" i="12"/>
  <c r="B47" i="12"/>
  <c r="C106" i="12"/>
  <c r="F106" i="12"/>
  <c r="B106" i="12"/>
  <c r="E106" i="12"/>
  <c r="D106" i="12"/>
  <c r="F25" i="12"/>
  <c r="B25" i="12"/>
  <c r="E25" i="12"/>
  <c r="D25" i="12"/>
  <c r="C25" i="12"/>
  <c r="F30" i="12"/>
  <c r="B30" i="12"/>
  <c r="D30" i="12"/>
  <c r="C30" i="12"/>
  <c r="E30" i="12"/>
  <c r="E126" i="12"/>
  <c r="D126" i="12"/>
  <c r="F126" i="12"/>
  <c r="C126" i="12"/>
  <c r="B126" i="12"/>
  <c r="E159" i="12"/>
  <c r="D159" i="12"/>
  <c r="F159" i="12"/>
  <c r="C159" i="12"/>
  <c r="B159" i="12"/>
  <c r="D140" i="12"/>
  <c r="C140" i="12"/>
  <c r="F140" i="12"/>
  <c r="E140" i="12"/>
  <c r="B140" i="12"/>
  <c r="E70" i="12"/>
  <c r="D70" i="12"/>
  <c r="C70" i="12"/>
  <c r="F70" i="12"/>
  <c r="B70" i="12"/>
  <c r="F143" i="12"/>
  <c r="B143" i="12"/>
  <c r="E143" i="12"/>
  <c r="D143" i="12"/>
  <c r="C143" i="12"/>
  <c r="F67" i="12"/>
  <c r="B67" i="12"/>
  <c r="E67" i="12"/>
  <c r="D67" i="12"/>
  <c r="C67" i="12"/>
  <c r="C68" i="12"/>
  <c r="F68" i="12"/>
  <c r="B68" i="12"/>
  <c r="E68" i="12"/>
  <c r="D68" i="12"/>
  <c r="F93" i="12"/>
  <c r="B93" i="12"/>
  <c r="E93" i="12"/>
  <c r="D93" i="12"/>
  <c r="C93" i="12"/>
  <c r="C123" i="12"/>
  <c r="F123" i="12"/>
  <c r="B123" i="12"/>
  <c r="E123" i="12"/>
  <c r="D123" i="12"/>
  <c r="E24" i="12"/>
  <c r="D24" i="12"/>
  <c r="C24" i="12"/>
  <c r="F24" i="12"/>
  <c r="B24" i="12"/>
  <c r="C56" i="12"/>
  <c r="F56" i="12"/>
  <c r="B56" i="12"/>
  <c r="E56" i="12"/>
  <c r="D56" i="12"/>
  <c r="F55" i="12"/>
  <c r="B55" i="12"/>
  <c r="E55" i="12"/>
  <c r="D55" i="12"/>
  <c r="C55" i="12"/>
  <c r="E54" i="12"/>
  <c r="D54" i="12"/>
  <c r="C54" i="12"/>
  <c r="F54" i="12"/>
  <c r="B54" i="12"/>
  <c r="C102" i="12"/>
  <c r="F102" i="12"/>
  <c r="B102" i="12"/>
  <c r="E102" i="12"/>
  <c r="D102" i="12"/>
  <c r="D111" i="12"/>
  <c r="C111" i="12"/>
  <c r="F111" i="12"/>
  <c r="E111" i="12"/>
  <c r="B111" i="12"/>
  <c r="F112" i="12"/>
  <c r="B112" i="12"/>
  <c r="E112" i="12"/>
  <c r="C112" i="12"/>
  <c r="D112" i="12"/>
  <c r="E31" i="12"/>
  <c r="C31" i="12"/>
  <c r="B31" i="12"/>
  <c r="F31" i="12"/>
  <c r="D31" i="12"/>
  <c r="D65" i="12"/>
  <c r="C65" i="12"/>
  <c r="F65" i="12"/>
  <c r="B65" i="12"/>
  <c r="E65" i="12"/>
  <c r="C22" i="12"/>
  <c r="F22" i="12"/>
  <c r="B22" i="12"/>
  <c r="E22" i="12"/>
  <c r="D22" i="12"/>
  <c r="E122" i="12"/>
  <c r="D122" i="12"/>
  <c r="F122" i="12"/>
  <c r="C122" i="12"/>
  <c r="B122" i="12"/>
  <c r="E130" i="12"/>
  <c r="D130" i="12"/>
  <c r="F130" i="12"/>
  <c r="C130" i="12"/>
  <c r="B130" i="12"/>
  <c r="D20" i="12"/>
  <c r="C20" i="12"/>
  <c r="F20" i="12"/>
  <c r="B20" i="12"/>
  <c r="E20" i="12"/>
  <c r="D91" i="12"/>
  <c r="C91" i="12"/>
  <c r="F91" i="12"/>
  <c r="E91" i="12"/>
  <c r="B91" i="12"/>
  <c r="E163" i="12"/>
  <c r="D163" i="12"/>
  <c r="F163" i="12"/>
  <c r="C163" i="12"/>
  <c r="B163" i="12"/>
  <c r="E92" i="12"/>
  <c r="D92" i="12"/>
  <c r="F92" i="12"/>
  <c r="C92" i="12"/>
  <c r="B92" i="12"/>
  <c r="F48" i="12"/>
  <c r="B48" i="12"/>
  <c r="E48" i="12"/>
  <c r="D48" i="12"/>
  <c r="C48" i="12"/>
  <c r="F108" i="12"/>
  <c r="B108" i="12"/>
  <c r="E108" i="12"/>
  <c r="C108" i="12"/>
  <c r="D108" i="12"/>
  <c r="D84" i="12"/>
  <c r="C84" i="12"/>
  <c r="F84" i="12"/>
  <c r="E84" i="12"/>
  <c r="B84" i="12"/>
  <c r="E157" i="12"/>
  <c r="D157" i="12"/>
  <c r="B157" i="12"/>
  <c r="F157" i="12"/>
  <c r="C157" i="12"/>
  <c r="C94" i="12"/>
  <c r="F94" i="12"/>
  <c r="B94" i="12"/>
  <c r="E94" i="12"/>
  <c r="D94" i="12"/>
  <c r="E66" i="12"/>
  <c r="D66" i="12"/>
  <c r="C66" i="12"/>
  <c r="F66" i="12"/>
  <c r="B66" i="12"/>
  <c r="F145" i="12"/>
  <c r="B145" i="12"/>
  <c r="E145" i="12"/>
  <c r="C145" i="12"/>
  <c r="D145" i="12"/>
  <c r="D142" i="12"/>
  <c r="C142" i="12"/>
  <c r="E142" i="12"/>
  <c r="B142" i="12"/>
  <c r="F142" i="12"/>
  <c r="C64" i="12"/>
  <c r="F64" i="12"/>
  <c r="B64" i="12"/>
  <c r="E64" i="12"/>
  <c r="D64" i="12"/>
  <c r="E85" i="12"/>
  <c r="D85" i="12"/>
  <c r="F85" i="12"/>
  <c r="C85" i="12"/>
  <c r="B85" i="12"/>
  <c r="C83" i="12"/>
  <c r="F83" i="12"/>
  <c r="B83" i="12"/>
  <c r="E83" i="12"/>
  <c r="D83" i="12"/>
  <c r="C45" i="12"/>
  <c r="F45" i="12"/>
  <c r="B45" i="12"/>
  <c r="E45" i="12"/>
  <c r="D45" i="12"/>
  <c r="F44" i="12"/>
  <c r="B44" i="12"/>
  <c r="E44" i="12"/>
  <c r="D44" i="12"/>
  <c r="C44" i="12"/>
  <c r="E43" i="12"/>
  <c r="D43" i="12"/>
  <c r="C43" i="12"/>
  <c r="B43" i="12"/>
  <c r="F43" i="12"/>
  <c r="E21" i="12"/>
  <c r="D21" i="12"/>
  <c r="C21" i="12"/>
  <c r="F21" i="12"/>
  <c r="B21" i="12"/>
  <c r="C127" i="12"/>
  <c r="F127" i="12"/>
  <c r="B127" i="12"/>
  <c r="E127" i="12"/>
  <c r="D127" i="12"/>
  <c r="D103" i="12"/>
  <c r="C103" i="12"/>
  <c r="F103" i="12"/>
  <c r="E103" i="12"/>
  <c r="B103" i="12"/>
  <c r="F105" i="12"/>
  <c r="B105" i="12"/>
  <c r="E105" i="12"/>
  <c r="D105" i="12"/>
  <c r="C105" i="12"/>
  <c r="F114" i="12"/>
  <c r="B114" i="12"/>
  <c r="E114" i="12"/>
  <c r="D114" i="12"/>
  <c r="C114" i="12"/>
  <c r="F29" i="12"/>
  <c r="B29" i="12"/>
  <c r="E29" i="12"/>
  <c r="D29" i="12"/>
  <c r="C29" i="12"/>
  <c r="A99" i="12"/>
  <c r="C17" i="10"/>
  <c r="C99" i="12" s="1"/>
  <c r="G17" i="10"/>
  <c r="B19" i="15"/>
  <c r="D19" i="15" s="1"/>
  <c r="C131" i="12"/>
  <c r="F131" i="12"/>
  <c r="B131" i="12"/>
  <c r="E131" i="12"/>
  <c r="D131" i="12"/>
  <c r="F74" i="12"/>
  <c r="B74" i="12"/>
  <c r="E74" i="12"/>
  <c r="D74" i="12"/>
  <c r="C74" i="12"/>
  <c r="C33" i="12"/>
  <c r="F33" i="12"/>
  <c r="B33" i="12"/>
  <c r="E33" i="12"/>
  <c r="D33" i="12"/>
  <c r="A152" i="12"/>
  <c r="C20" i="10"/>
  <c r="C152" i="12" s="1"/>
  <c r="B22" i="15"/>
  <c r="D22" i="15" s="1"/>
  <c r="G20" i="10"/>
  <c r="E124" i="12"/>
  <c r="D124" i="12"/>
  <c r="B124" i="12"/>
  <c r="F124" i="12"/>
  <c r="C124" i="12"/>
  <c r="E132" i="12"/>
  <c r="D132" i="12"/>
  <c r="B132" i="12"/>
  <c r="F132" i="12"/>
  <c r="C132" i="12"/>
  <c r="J5" i="10"/>
  <c r="E9" i="12" s="1"/>
  <c r="J14" i="10"/>
  <c r="K14" i="10" s="1"/>
  <c r="J15" i="10" l="1"/>
  <c r="K1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tc={106353CA-A2B9-4128-8B6A-7F5C6658F21A}</author>
  </authors>
  <commentList>
    <comment ref="H5"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This cell self generates</t>
      </text>
    </comment>
  </commentList>
</comments>
</file>

<file path=xl/sharedStrings.xml><?xml version="1.0" encoding="utf-8"?>
<sst xmlns="http://schemas.openxmlformats.org/spreadsheetml/2006/main" count="4246" uniqueCount="1935">
  <si>
    <t>NATIONAL OLYMPIC COMMITTEE READINESS ASSESSMENT TOOL — NOC RAT</t>
  </si>
  <si>
    <t>A modified readiness tool built from the original NOC RAT maturity levels and criteria. Select the statement that best describes the NOC today; the tool converts the result into a maturity gap, development plan and programme-specific readiness decision.</t>
  </si>
  <si>
    <t>NOC / Country</t>
  </si>
  <si>
    <t>Assessment Date</t>
  </si>
  <si>
    <t>Assessment Cycle</t>
  </si>
  <si>
    <t>Baseline / Review</t>
  </si>
  <si>
    <t>Assessment Lead / Team</t>
  </si>
  <si>
    <t>Target Level</t>
  </si>
  <si>
    <t>Target Meaning</t>
  </si>
  <si>
    <t>Purpose</t>
  </si>
  <si>
    <t>Organisational readiness, development and strategic planning</t>
  </si>
  <si>
    <t>Version</t>
  </si>
  <si>
    <t>v2.1 — rebuilt NOC RAT</t>
  </si>
  <si>
    <t>1. Assess 8 pillars</t>
  </si>
  <si>
    <t>2. Choose the best fit</t>
  </si>
  <si>
    <t>3. Let the RAT diagnose</t>
  </si>
  <si>
    <t>4. Decide &amp; act</t>
  </si>
  <si>
    <t>Work through one manageable NOC pillar at a time.</t>
  </si>
  <si>
    <t>Each element has a tailored dropdown using the original NOC maturity statements.</t>
  </si>
  <si>
    <t>Score, gap to target and Recommended Actions are generated automatically.</t>
  </si>
  <si>
    <t>Use Decision Readiness to test specific programmes/objectives, then use Priority Actions and Strategic Plan Report to implement the required improvements.</t>
  </si>
  <si>
    <t>MATURITY SCALE</t>
  </si>
  <si>
    <t>0</t>
  </si>
  <si>
    <t>Absent / not functioning</t>
  </si>
  <si>
    <t>The element is missing or no credible capability exists.</t>
  </si>
  <si>
    <t>Level 3 is the default practical target. If an NOC scores Level 1 against a target of Level 3, the Recommended Actions automatically combine the original Level 2 and Level 3 development criteria. Level 4 should be used where mature or leading practice is a realistic strategic objective.</t>
  </si>
  <si>
    <t>1</t>
  </si>
  <si>
    <t>Limited / informal</t>
  </si>
  <si>
    <t>Some activity exists but it is ad hoc, inconsistent or dependent on individuals.</t>
  </si>
  <si>
    <t>2</t>
  </si>
  <si>
    <t>Basic / developing</t>
  </si>
  <si>
    <t>Core arrangements exist, but important capability or consistency gaps remain.</t>
  </si>
  <si>
    <t>3</t>
  </si>
  <si>
    <t>Functional / established</t>
  </si>
  <si>
    <t>The element works reliably and provides an appropriate organisational foundation.</t>
  </si>
  <si>
    <t>4</t>
  </si>
  <si>
    <t>Mature / leading</t>
  </si>
  <si>
    <t>The element is comprehensive, integrated and sustained at a high level.</t>
  </si>
  <si>
    <t>ASSESSMENT PRINCIPLE</t>
  </si>
  <si>
    <t>Score what exists now, not what is planned. If the evidence is uncertain, select the best-fit statement but lower the Confidence rating. The RAT should expose capability gaps without automatically assuming that every NOC must reach Level 4 in every element. What is important, is to develop the capabilities and resources needed to undertake specific projects</t>
  </si>
  <si>
    <t>NOC RAT — PROGRAMME / DECISION READINESS</t>
  </si>
  <si>
    <t>Select an Olympic Solidarity programme or NOC strategic objective. The tool compares current RAT pillar scores with the working readiness profile and returns a GO / FIX FIRST / STOP decision. Use this as management decision support, not as an IOC eligibility determination.</t>
  </si>
  <si>
    <t>By selecting a programme you are able to ensure that the NOC is 'READY' to undertake the journey and ensure that all elements are in place forst.</t>
  </si>
  <si>
    <t>Select Programme / Objective</t>
  </si>
  <si>
    <t>Category</t>
  </si>
  <si>
    <t>Readiness Match</t>
  </si>
  <si>
    <t>Decision</t>
  </si>
  <si>
    <t>PROGRAMME / OBJECTIVE PURPOSE</t>
  </si>
  <si>
    <t>PILLAR READINESS TEST</t>
  </si>
  <si>
    <t>DECISION SUMMARY</t>
  </si>
  <si>
    <t>Pillar</t>
  </si>
  <si>
    <t>Current Score</t>
  </si>
  <si>
    <t>Required</t>
  </si>
  <si>
    <t>Gap</t>
  </si>
  <si>
    <t>Critical?</t>
  </si>
  <si>
    <t>Status</t>
  </si>
  <si>
    <t>Recommended Response</t>
  </si>
  <si>
    <t>Gap Count</t>
  </si>
  <si>
    <t>Governance</t>
  </si>
  <si>
    <t>Critical Foundation Risks</t>
  </si>
  <si>
    <t>Management</t>
  </si>
  <si>
    <t>Development Focus</t>
  </si>
  <si>
    <t>Human Resources</t>
  </si>
  <si>
    <t>Profile Rationale</t>
  </si>
  <si>
    <t>Finance</t>
  </si>
  <si>
    <t>Cycle / Status</t>
  </si>
  <si>
    <t>Marketing &amp; Communications</t>
  </si>
  <si>
    <t>NOC Services</t>
  </si>
  <si>
    <t>External Relations</t>
  </si>
  <si>
    <t>Sporting Environment</t>
  </si>
  <si>
    <t>DECISION GUIDE</t>
  </si>
  <si>
    <t>GO</t>
  </si>
  <si>
    <t>All eight pillar requirements are met.</t>
  </si>
  <si>
    <t>Proceed, subject to normal programme guidelines, approvals, available resources and risk management.</t>
  </si>
  <si>
    <t>FIX FIRST</t>
  </si>
  <si>
    <t>One or more readiness requirements are below the working threshold, but no critical pillar is below Level 2.</t>
  </si>
  <si>
    <t>Close the identified gaps before committing significant resources or submitting a major application.</t>
  </si>
  <si>
    <t>STOP</t>
  </si>
  <si>
    <t>At least one programme-critical pillar is below Level 2.</t>
  </si>
  <si>
    <t>Do not proceed yet. Build the critical foundation first; the risk of programme failure or poor governance is too high.</t>
  </si>
  <si>
    <t>ASSESS FIRST</t>
  </si>
  <si>
    <t>The NOC RAT is incomplete.</t>
  </si>
  <si>
    <t>Complete all eight pillar assessments before relying on the readiness decision.</t>
  </si>
  <si>
    <t>IMPORTANT — HOW TO INTERPRET THIS LAYER</t>
  </si>
  <si>
    <t>The Programme Profiles sheet contains transparent, editable working readiness thresholds. Olympic Solidarity programme names are based on the 2025–2028 Plan, but the readiness scores and STOP/FIX FIRST logic are analytical decision-support rules developed for this NOC RAT. They do not replace programme-specific IOC, Olympic Solidarity, Continental Association, IF, host-election or Games regulations. When official guidelines for a specific opportunity are available, adjust the profile if needed.</t>
  </si>
  <si>
    <t>SOURCE / REFERENCE</t>
  </si>
  <si>
    <t>NOC RAT — READINESS DASHBOARD</t>
  </si>
  <si>
    <t>A balanced view of NOC readiness across eight pillars. Each pillar has equal weight in the overall score, regardless of the number of individual elements.</t>
  </si>
  <si>
    <t>Overall Readiness</t>
  </si>
  <si>
    <t>Overall Maturity</t>
  </si>
  <si>
    <t>Assessment Complete</t>
  </si>
  <si>
    <t>Weakest Pillar</t>
  </si>
  <si>
    <t>This sheet will populate automatically once you complete the assessment of each of the 8 pillars that follow.</t>
  </si>
  <si>
    <t>READINESS BY NOC PILLAR</t>
  </si>
  <si>
    <t>READINESS BALANCE</t>
  </si>
  <si>
    <t>Score / 4</t>
  </si>
  <si>
    <t>Maturity</t>
  </si>
  <si>
    <t>Elements</t>
  </si>
  <si>
    <t>Completed</t>
  </si>
  <si>
    <t>Below Target</t>
  </si>
  <si>
    <t>Readiness Signal</t>
  </si>
  <si>
    <t>Measure</t>
  </si>
  <si>
    <t>Value</t>
  </si>
  <si>
    <t>Interpretation</t>
  </si>
  <si>
    <t>Management Meaning</t>
  </si>
  <si>
    <t>Weakest pillar</t>
  </si>
  <si>
    <t>The weakest foundation can limit the effectiveness of otherwise strong NOC functions.</t>
  </si>
  <si>
    <t>Average pillar</t>
  </si>
  <si>
    <t>Overall organisational readiness across the eight pillars.</t>
  </si>
  <si>
    <t>Balance gap</t>
  </si>
  <si>
    <t>A large gap between average and weakest pillar suggests an unbalanced organisation.</t>
  </si>
  <si>
    <t>Elements below target</t>
  </si>
  <si>
    <t>The number of assessed elements requiring development to reach the chosen target.</t>
  </si>
  <si>
    <t>MATURITY DISTRIBUTION</t>
  </si>
  <si>
    <t>Level</t>
  </si>
  <si>
    <t>Meaning</t>
  </si>
  <si>
    <t>% of Assessed</t>
  </si>
  <si>
    <t>Absent</t>
  </si>
  <si>
    <t>PROGRAMME / DECISION READINESS</t>
  </si>
  <si>
    <t>After completing the RAT, open Decision Readiness and select an Olympic Solidarity programme or NOC strategic objective. The tool compares current pillar readiness with an editable programme-specific profile and identifies GO, FIX FIRST, STOP or ASSESS FIRST.</t>
  </si>
  <si>
    <t>NOC RAT — GOVERNANCE</t>
  </si>
  <si>
    <t>Select the Best-Fit Answer only. Score, Gap to Target and Recommended Actions are automatic. Use the yellow refinement/evidence fields only where they add useful judgement.</t>
  </si>
  <si>
    <t>Pillar Score</t>
  </si>
  <si>
    <t>ID</t>
  </si>
  <si>
    <t>Element</t>
  </si>
  <si>
    <t>Assessment Question</t>
  </si>
  <si>
    <t>Best-Fit Answer</t>
  </si>
  <si>
    <t>Score</t>
  </si>
  <si>
    <t>Gap to Target</t>
  </si>
  <si>
    <t>Recommended Actions to Target</t>
  </si>
  <si>
    <t>Your Refinement</t>
  </si>
  <si>
    <t>Evidence / Note (optional)</t>
  </si>
  <si>
    <t>Confidence</t>
  </si>
  <si>
    <t>GOV-01</t>
  </si>
  <si>
    <t>Constitution/Statutes</t>
  </si>
  <si>
    <t>How developed and compliant is the NOC's constitutional framework?</t>
  </si>
  <si>
    <t>GOV-02</t>
  </si>
  <si>
    <t>Strategic Planning</t>
  </si>
  <si>
    <t>How would you describe the NOC’s strategic planning practices?</t>
  </si>
  <si>
    <t>GOV-03</t>
  </si>
  <si>
    <t>Monitoring &amp; Evaluation</t>
  </si>
  <si>
    <t>What Monitoring and Evaluation (M&amp;E) does the NOC carry out?</t>
  </si>
  <si>
    <t>GOV-04</t>
  </si>
  <si>
    <t>General Assembly</t>
  </si>
  <si>
    <t>How would you describe your General Assembly (G.A.)?</t>
  </si>
  <si>
    <t>GOV-05</t>
  </si>
  <si>
    <t>Commissions and Working Groups</t>
  </si>
  <si>
    <t>What structures support your Board?</t>
  </si>
  <si>
    <t>GOV-06</t>
  </si>
  <si>
    <t>Board Composition</t>
  </si>
  <si>
    <t>What is the composition of the NOC board?</t>
  </si>
  <si>
    <t>GOV-07</t>
  </si>
  <si>
    <t>Succession Planning</t>
  </si>
  <si>
    <t>What type of succession planning do you carry out for the Board?</t>
  </si>
  <si>
    <t>GOV-08</t>
  </si>
  <si>
    <t>Consultation with members</t>
  </si>
  <si>
    <t>How often do you consult with membership?</t>
  </si>
  <si>
    <t>GOV-09</t>
  </si>
  <si>
    <t>Induction</t>
  </si>
  <si>
    <t>What orientation and development do you carry out for Board members?</t>
  </si>
  <si>
    <t>GOV-10</t>
  </si>
  <si>
    <t>Separation of governance</t>
  </si>
  <si>
    <t>How would you describe the relationship between the Board and NOC management?</t>
  </si>
  <si>
    <t>GOV-11</t>
  </si>
  <si>
    <t>Review of Governance</t>
  </si>
  <si>
    <t>How often do you carry out a Governance Review?</t>
  </si>
  <si>
    <t>GOV-12</t>
  </si>
  <si>
    <t>Codes of Conduct</t>
  </si>
  <si>
    <t>What roles do your codes of conduct cover within the NOC?</t>
  </si>
  <si>
    <t>GOV-13</t>
  </si>
  <si>
    <t>Conflict of Interest</t>
  </si>
  <si>
    <t>How does the NOC manage conflict of interest?</t>
  </si>
  <si>
    <t>GOV-14</t>
  </si>
  <si>
    <t>Risk Management</t>
  </si>
  <si>
    <t>How does the NOC manage risk?</t>
  </si>
  <si>
    <t>GOV-15</t>
  </si>
  <si>
    <t>Gender Equity</t>
  </si>
  <si>
    <t>How are women incorporated onto the Board of the NOC?</t>
  </si>
  <si>
    <t>GOV-16</t>
  </si>
  <si>
    <t>Board Selection</t>
  </si>
  <si>
    <t>How are members of the Board selected?</t>
  </si>
  <si>
    <t>NOC RAT — MANAGEMENT</t>
  </si>
  <si>
    <t>MGT-01</t>
  </si>
  <si>
    <t>NOC Structure</t>
  </si>
  <si>
    <t>How is the NOC structured?</t>
  </si>
  <si>
    <t>MGT-02</t>
  </si>
  <si>
    <t>Planning</t>
  </si>
  <si>
    <t>How does the NOC carry out operational planning?</t>
  </si>
  <si>
    <t>MGT-03</t>
  </si>
  <si>
    <t>Operations Manual</t>
  </si>
  <si>
    <t>What kind of operations manual does the NOC have?</t>
  </si>
  <si>
    <t>MGT-04</t>
  </si>
  <si>
    <t>Programme Management</t>
  </si>
  <si>
    <t>How are programmes managed by the NOC?</t>
  </si>
  <si>
    <t>MGT-05</t>
  </si>
  <si>
    <t>Stakeholder reporting</t>
  </si>
  <si>
    <t>How does the NOC report to stakeholders on its activities?</t>
  </si>
  <si>
    <t>MGT-06</t>
  </si>
  <si>
    <t>Event Management</t>
  </si>
  <si>
    <t>How does the NOC manage records?</t>
  </si>
  <si>
    <t>MGT-07</t>
  </si>
  <si>
    <t>Contractual procedures</t>
  </si>
  <si>
    <t>What type of contracts does the NOC have?</t>
  </si>
  <si>
    <t>MGT-08</t>
  </si>
  <si>
    <t>Controls Against Mismanagement &amp; Fraud</t>
  </si>
  <si>
    <t>What procedures does the NOC have for preventing mismanagement and fraud?</t>
  </si>
  <si>
    <t>MGT-09</t>
  </si>
  <si>
    <t>Games Delegations</t>
  </si>
  <si>
    <t>Who is responsible for managing Games delegations?</t>
  </si>
  <si>
    <t>MGT-10</t>
  </si>
  <si>
    <t>Execution of Board Decisions</t>
  </si>
  <si>
    <t>How are Board decisions executed in the NOC?</t>
  </si>
  <si>
    <t>MGT-11</t>
  </si>
  <si>
    <t>Office Equipment</t>
  </si>
  <si>
    <t>What office equipment does the NOC have access to?</t>
  </si>
  <si>
    <t>MGT-12</t>
  </si>
  <si>
    <t>NOC Headquarters</t>
  </si>
  <si>
    <t>Where are the NOC’s headquarters?</t>
  </si>
  <si>
    <t>MGT-13</t>
  </si>
  <si>
    <t>Capital Assets</t>
  </si>
  <si>
    <t>What capital assets does the NOC have?</t>
  </si>
  <si>
    <t>MGT-14</t>
  </si>
  <si>
    <t>Monitoring</t>
  </si>
  <si>
    <t>How is the administration of the NOC Monitored?</t>
  </si>
  <si>
    <t>NOC RAT — HUMAN RESOURCES</t>
  </si>
  <si>
    <t>HR-01</t>
  </si>
  <si>
    <t>Staffing</t>
  </si>
  <si>
    <t>Does the NOC have paid staff?</t>
  </si>
  <si>
    <t>HR-02</t>
  </si>
  <si>
    <t>Volunteer Management</t>
  </si>
  <si>
    <t>How do you manage your volunteers?</t>
  </si>
  <si>
    <t>HR-03</t>
  </si>
  <si>
    <t>Recruitment</t>
  </si>
  <si>
    <t>What are the competencies available to the NOC?</t>
  </si>
  <si>
    <t>HR-04</t>
  </si>
  <si>
    <t>Technical officials</t>
  </si>
  <si>
    <t>How often does the NOC carry out a Skills Audit?</t>
  </si>
  <si>
    <t>HR-05</t>
  </si>
  <si>
    <t>Volunteer Recruitment</t>
  </si>
  <si>
    <t>From where do you recruit new staff or volunteers?</t>
  </si>
  <si>
    <t>HR-06</t>
  </si>
  <si>
    <t>Recruitment Procedures</t>
  </si>
  <si>
    <t>What kind of recruitment procedures does the NOC have?</t>
  </si>
  <si>
    <t>HR-07</t>
  </si>
  <si>
    <t>Job Descriptions</t>
  </si>
  <si>
    <t>What kind of job descriptions does the NOC have?</t>
  </si>
  <si>
    <t>HR-08</t>
  </si>
  <si>
    <t>Selection Procedures</t>
  </si>
  <si>
    <t>What selection procedures does the NOC use?</t>
  </si>
  <si>
    <t>HR-09</t>
  </si>
  <si>
    <t>HR procedures</t>
  </si>
  <si>
    <t>What HR procedures does the NOC have?</t>
  </si>
  <si>
    <t>HR-10</t>
  </si>
  <si>
    <t>Personnel Development</t>
  </si>
  <si>
    <t>What personnel development does the NOC carry out?</t>
  </si>
  <si>
    <t>HR-11</t>
  </si>
  <si>
    <t>Skills Audit</t>
  </si>
  <si>
    <t>What rewards and incentives does the NOC offer?</t>
  </si>
  <si>
    <t>HR-12</t>
  </si>
  <si>
    <t>Diversity</t>
  </si>
  <si>
    <t>How does the NOC approach Diversity and Equality?</t>
  </si>
  <si>
    <t>NOC RAT — FINANCE</t>
  </si>
  <si>
    <t>FIN-01</t>
  </si>
  <si>
    <t>Oversight</t>
  </si>
  <si>
    <t>Who oversees the finances for your NOC?</t>
  </si>
  <si>
    <t>FIN-02</t>
  </si>
  <si>
    <t>Finance Management</t>
  </si>
  <si>
    <t>Who manages NOC’s finances?</t>
  </si>
  <si>
    <t>FIN-03</t>
  </si>
  <si>
    <t>Controls</t>
  </si>
  <si>
    <t>What sort of financial controls and procedures does the NOC have?</t>
  </si>
  <si>
    <t>FIN-04</t>
  </si>
  <si>
    <t>How would you describe the financial planning that the NOC carries out?</t>
  </si>
  <si>
    <t>FIN-05</t>
  </si>
  <si>
    <t>Reporting</t>
  </si>
  <si>
    <t>What financial reporting does the NOC carry out?</t>
  </si>
  <si>
    <t>FIN-06</t>
  </si>
  <si>
    <t>Income</t>
  </si>
  <si>
    <t>What sort of cash reconciliations and projections does the NOC carry out?</t>
  </si>
  <si>
    <t>FIN-07</t>
  </si>
  <si>
    <t>Accounting Systems &amp; Data</t>
  </si>
  <si>
    <t>What type of accounting tool/software package and financial data storage does the NOC have?</t>
  </si>
  <si>
    <t>FIN-08</t>
  </si>
  <si>
    <t>Grant Reporting</t>
  </si>
  <si>
    <t>When is Grant reporting actioned by your NOC?</t>
  </si>
  <si>
    <t>FIN-09</t>
  </si>
  <si>
    <t>Annual Turnover</t>
  </si>
  <si>
    <t>What is the annual turnover of the NOC?</t>
  </si>
  <si>
    <t>FIN-10</t>
  </si>
  <si>
    <t>Reliance on Olympic Movement Funding</t>
  </si>
  <si>
    <t>How reliant is the NOC on Olympic Solidarity/NOC funding?</t>
  </si>
  <si>
    <t>FIN-11</t>
  </si>
  <si>
    <t>Administration Cost Ratio</t>
  </si>
  <si>
    <t>What % of NOC revenue is spent on administration?</t>
  </si>
  <si>
    <t>FIN-12</t>
  </si>
  <si>
    <t>Cash &amp; Fund Management</t>
  </si>
  <si>
    <t>How does the NOC manage its money?</t>
  </si>
  <si>
    <t>NOC RAT — MARKETING &amp; COMMUNICATIONS</t>
  </si>
  <si>
    <t>COM-01</t>
  </si>
  <si>
    <t>Member Communications</t>
  </si>
  <si>
    <t>How does the NOC communicate with its membership?</t>
  </si>
  <si>
    <t>COM-02</t>
  </si>
  <si>
    <t>How would you describe the NOC's marketing planning practices?</t>
  </si>
  <si>
    <t>COM-03</t>
  </si>
  <si>
    <t>Marketing Responsibility</t>
  </si>
  <si>
    <t>Do you have a dedicated marketing role in your NOC?</t>
  </si>
  <si>
    <t>COM-04</t>
  </si>
  <si>
    <t>Branding</t>
  </si>
  <si>
    <t>How well developed is the NOC brand?</t>
  </si>
  <si>
    <t>COM-05</t>
  </si>
  <si>
    <t>Commercial Use of Brand</t>
  </si>
  <si>
    <t>Does your NOC use its mark/designation for commercial purposes?</t>
  </si>
  <si>
    <t>COM-06</t>
  </si>
  <si>
    <t>Merchandising</t>
  </si>
  <si>
    <t>How would you describe your NOC’s approach to merchandising?</t>
  </si>
  <si>
    <t>COM-07</t>
  </si>
  <si>
    <t>Fundraising</t>
  </si>
  <si>
    <t>How would you describe your NOC’s approach to fundraising?</t>
  </si>
  <si>
    <t>COM-08</t>
  </si>
  <si>
    <t>Sponsorship</t>
  </si>
  <si>
    <t>What kind of sponsorship does the NOC receive?</t>
  </si>
  <si>
    <t>COM-09</t>
  </si>
  <si>
    <t>Sponsor Activation</t>
  </si>
  <si>
    <t>What opportunites does the NOC provide for sponsorship activation?</t>
  </si>
  <si>
    <t>COM-10</t>
  </si>
  <si>
    <t>Commercial Income</t>
  </si>
  <si>
    <t>How much your total income comes from commercial activities?</t>
  </si>
  <si>
    <t>COM-11</t>
  </si>
  <si>
    <t>Public Relations</t>
  </si>
  <si>
    <t>What is the NOC’s approach to public relations (PR)?</t>
  </si>
  <si>
    <t>COM-12</t>
  </si>
  <si>
    <t>Digital Presence</t>
  </si>
  <si>
    <t>What type of online/digital presence does the NOC have?</t>
  </si>
  <si>
    <t>COM-13</t>
  </si>
  <si>
    <t>Social Media</t>
  </si>
  <si>
    <t>How does the NOC make use of  social media?</t>
  </si>
  <si>
    <t>NOC RAT — NOC SERVICES</t>
  </si>
  <si>
    <t>SVC-01</t>
  </si>
  <si>
    <t>Games Mission</t>
  </si>
  <si>
    <t>What is the composition of the NOC’s Games mission?</t>
  </si>
  <si>
    <t>SVC-02</t>
  </si>
  <si>
    <t>Selection</t>
  </si>
  <si>
    <t>How is the Games mission selected?</t>
  </si>
  <si>
    <t>SVC-03</t>
  </si>
  <si>
    <t>Athlete Selection</t>
  </si>
  <si>
    <t>How is Athlete selection made?</t>
  </si>
  <si>
    <t>SVC-04</t>
  </si>
  <si>
    <t>Career Support</t>
  </si>
  <si>
    <t>What career support does the NOC provide for athletes?</t>
  </si>
  <si>
    <t>SVC-05</t>
  </si>
  <si>
    <t>Coach &amp; Official Education</t>
  </si>
  <si>
    <t>What coach and official education does the NOC provide?</t>
  </si>
  <si>
    <t>SVC-06</t>
  </si>
  <si>
    <t>NF Competition Support</t>
  </si>
  <si>
    <t>How does the NOC support NFs?</t>
  </si>
  <si>
    <t>SVC-07</t>
  </si>
  <si>
    <t>Business Advice</t>
  </si>
  <si>
    <t>What business advice and support does the NOC offer its NFs?</t>
  </si>
  <si>
    <t>SVC-08</t>
  </si>
  <si>
    <t>Bidding</t>
  </si>
  <si>
    <t>Does the NOC bid for and host events?</t>
  </si>
  <si>
    <t>SVC-09</t>
  </si>
  <si>
    <t>Support for Games</t>
  </si>
  <si>
    <t>What level of support does the NOC provide for multisport Games?</t>
  </si>
  <si>
    <t>SVC-10</t>
  </si>
  <si>
    <t>Olympic Day</t>
  </si>
  <si>
    <t>What is the NOC’s approach to the Olympic Day?</t>
  </si>
  <si>
    <t>SVC-11</t>
  </si>
  <si>
    <t>Legacy</t>
  </si>
  <si>
    <t>How does the NOC recognise its history and achievements?</t>
  </si>
  <si>
    <t>NOC RAT — EXTERNAL RELATIONS</t>
  </si>
  <si>
    <t>EXT-01</t>
  </si>
  <si>
    <t>Government</t>
  </si>
  <si>
    <t>How does the NOC co-operate with government?</t>
  </si>
  <si>
    <t>EXT-02</t>
  </si>
  <si>
    <t>National Federation Relations</t>
  </si>
  <si>
    <t>How do the NFs work with the NOC?</t>
  </si>
  <si>
    <t>EXT-03</t>
  </si>
  <si>
    <t>Sport Policy</t>
  </si>
  <si>
    <t>What impact does the NOC have on national sport policy?</t>
  </si>
  <si>
    <t>EXT-04</t>
  </si>
  <si>
    <t>Partnerships</t>
  </si>
  <si>
    <t>What type of partnerships does the NOC have?</t>
  </si>
  <si>
    <t>EXT-05</t>
  </si>
  <si>
    <t>Representation</t>
  </si>
  <si>
    <t>How well represented is the NOC in the Olympic Movement?</t>
  </si>
  <si>
    <t>EXT-06</t>
  </si>
  <si>
    <t>Other Representation</t>
  </si>
  <si>
    <t>What representation does the NOC have on non-sporting agencies including ex-officio?</t>
  </si>
  <si>
    <t>EXT-07</t>
  </si>
  <si>
    <t>Athlete Liaison</t>
  </si>
  <si>
    <t>How does the NOC liaise with its athletes?</t>
  </si>
  <si>
    <t>EXT-08</t>
  </si>
  <si>
    <t>Media Relations</t>
  </si>
  <si>
    <t>What relationships does the NOC have with the media?</t>
  </si>
  <si>
    <t>NOC RAT — SPORTING ENVIRONMENT</t>
  </si>
  <si>
    <t>ENV-01</t>
  </si>
  <si>
    <t>National Competition Environment</t>
  </si>
  <si>
    <t>What kind of sport events does your country host?</t>
  </si>
  <si>
    <t>ENV-02</t>
  </si>
  <si>
    <t>Olympic Games</t>
  </si>
  <si>
    <t>How has your NOC performed at the Olympic Games in the last two Olympiads?</t>
  </si>
  <si>
    <t>ENV-03</t>
  </si>
  <si>
    <t>Olympic Sport Coverage</t>
  </si>
  <si>
    <t>How many of the core Olympic sports are established in your country?</t>
  </si>
  <si>
    <t>ENV-04</t>
  </si>
  <si>
    <t>NF Development Level</t>
  </si>
  <si>
    <t>What is the average level of development of your NFs?</t>
  </si>
  <si>
    <t>ENV-05</t>
  </si>
  <si>
    <t>High Performance System</t>
  </si>
  <si>
    <t>What form of high performance sport system exists?</t>
  </si>
  <si>
    <t>ENV-06</t>
  </si>
  <si>
    <t>Facilities</t>
  </si>
  <si>
    <t>How would you describe the elite sport facilities of the country?</t>
  </si>
  <si>
    <t>ENV-07</t>
  </si>
  <si>
    <t>Sport Science</t>
  </si>
  <si>
    <t>What sport science services are available to elite athletes?</t>
  </si>
  <si>
    <t>ENV-08</t>
  </si>
  <si>
    <t>What financial support is available for athletes?</t>
  </si>
  <si>
    <t>ENV-09</t>
  </si>
  <si>
    <t>Talent Identification &amp; Development</t>
  </si>
  <si>
    <t>How is Talent ID and development approached?</t>
  </si>
  <si>
    <t>NOC RAT — PRIORITY ACTIONS</t>
  </si>
  <si>
    <t>Automatically surfaces the largest maturity gaps below the selected target, with additional weight for higher-confidence ratings. Use these as the opening management priorities, not as a substitute for strategic judgement.</t>
  </si>
  <si>
    <t>Rank</t>
  </si>
  <si>
    <t>Development Area</t>
  </si>
  <si>
    <t>Current Level</t>
  </si>
  <si>
    <t>Recommended Actions</t>
  </si>
  <si>
    <t>Decision Priority</t>
  </si>
  <si>
    <t>Final Action / Owner / Timeframe</t>
  </si>
  <si>
    <t>Source Row</t>
  </si>
  <si>
    <t>Priority Key</t>
  </si>
  <si>
    <t>Source Sheet</t>
  </si>
  <si>
    <t>High</t>
  </si>
  <si>
    <t>Medium</t>
  </si>
  <si>
    <t>Not Yet Rated</t>
  </si>
  <si>
    <t>NOC STRATEGIC DEVELOPMENT PLAN</t>
  </si>
  <si>
    <t>Automatically generated from the NOC RAT. Only assessed elements below the selected target maturity level are included.</t>
  </si>
  <si>
    <t>Plan Period</t>
  </si>
  <si>
    <t>Assessment Status</t>
  </si>
  <si>
    <t>12-month strategic development plan</t>
  </si>
  <si>
    <t>Plan Status</t>
  </si>
  <si>
    <t>STRATEGIC DEVELOPMENT PRIORITIES BY PILLAR</t>
  </si>
  <si>
    <t>GOVERNANCE</t>
  </si>
  <si>
    <t>Strategic Objective</t>
  </si>
  <si>
    <t>Strengthen governance so assessed elements meet the selected NOC RAT target.</t>
  </si>
  <si>
    <t>Action Ref</t>
  </si>
  <si>
    <t>Current</t>
  </si>
  <si>
    <t>Target</t>
  </si>
  <si>
    <t>Recommended Actions / Criteria</t>
  </si>
  <si>
    <t>Priority</t>
  </si>
  <si>
    <t>Owner</t>
  </si>
  <si>
    <t>Timeframe</t>
  </si>
  <si>
    <t>Progress / Evidence</t>
  </si>
  <si>
    <t>MANAGEMENT</t>
  </si>
  <si>
    <t>Strengthen management so assessed elements meet the selected NOC RAT target.</t>
  </si>
  <si>
    <t>HUMAN RESOURCES</t>
  </si>
  <si>
    <t>Strengthen human resources so assessed elements meet the selected NOC RAT target.</t>
  </si>
  <si>
    <t>FINANCE</t>
  </si>
  <si>
    <t>Strengthen finance so assessed elements meet the selected NOC RAT target.</t>
  </si>
  <si>
    <t>MARKETING &amp; COMMUNICATIONS</t>
  </si>
  <si>
    <t>Strengthen marketing &amp; communications so assessed elements meet the selected NOC RAT target.</t>
  </si>
  <si>
    <t>NOC SERVICES</t>
  </si>
  <si>
    <t>Strengthen noc services so assessed elements meet the selected NOC RAT target.</t>
  </si>
  <si>
    <t>EXTERNAL RELATIONS</t>
  </si>
  <si>
    <t>Strengthen external relations so assessed elements meet the selected NOC RAT target.</t>
  </si>
  <si>
    <t>SPORTING ENVIRONMENT</t>
  </si>
  <si>
    <t>Strengthen sporting environment so assessed elements meet the selected NOC RAT target.</t>
  </si>
  <si>
    <t>IMPLEMENTATION NOTE</t>
  </si>
  <si>
    <t>The Strategic Development Plan is generated directly from the original NOC RAT criteria. Combine related actions where appropriate, assign accountable owners and realistic timeframes, and phase implementation so foundational governance, management, human-resource and finance capabilities are not overwhelmed by higher-order ambitions.</t>
  </si>
  <si>
    <t>NOC RAT — CRITERIA LIBRARY</t>
  </si>
  <si>
    <t>Preserves the maturity statements and development criteria from the original NOC RAT. Pillar sheets use these criteria directly to generate Recommended Actions to the selected target level.</t>
  </si>
  <si>
    <t>Element ID</t>
  </si>
  <si>
    <t>Key</t>
  </si>
  <si>
    <t>Maturity Statement</t>
  </si>
  <si>
    <t>Original Development Criteria</t>
  </si>
  <si>
    <t>GOV-01|0</t>
  </si>
  <si>
    <t>We have no Committee.</t>
  </si>
  <si>
    <t>GOV-01|1</t>
  </si>
  <si>
    <t>No rules and regulations have been formalised.</t>
  </si>
  <si>
    <t>The NOC has a group of people who put time into organising things for the NOC and meet on an ad-hoc basis. To achieve this:
Consult with the IOC Relations Department to determine the steps necessary to form a properly recognised and functional National Olympic Committee.</t>
  </si>
  <si>
    <t>GOV-01|2</t>
  </si>
  <si>
    <t>The NOC constitution is not fully compliant with the rules of the Olympic Movement.</t>
  </si>
  <si>
    <t>The NOC has a basic constitution in place and is in the process of developing it to meet the requirements of the NOC. To achieve this:
Draft a Constitution that meets all of the requirements stipulated in the Olympic Charter;
Seek assistance from the NOC Relations Department to ensure the draft is compliant;
Have the Draft approved by the AGM/Congress;
Get the constitution approved by the Legal Department of NOC Relations and copy to Olympic Solidarity;
Review the constitution on a regular basis to ensure it remains compliant with the Olympic Charter while satisfying local and specific needs;
Operate according to the Constitution as reflected in the minutes of meetings held by the NOC.</t>
  </si>
  <si>
    <t>GOV-01|3</t>
  </si>
  <si>
    <t>The constitution is revised regularly and includes all the provisions necessary for the efficient functioning of the NOC.</t>
  </si>
  <si>
    <t>The NOC has a well-developed Constitution that has supporting statutes or By-Laws that cover the operations of the NOC. To achieve this:
In consultation with key stakeholders, in particular member NFs, decide what by-laws are essential to the operation of the NOC;
Ensure all activities undertaken by the NOC are covered and accounted for by the Constitution;
Incorporate these into the constitution;
Inform the Legal Department at NOC Relations of the changes approved.</t>
  </si>
  <si>
    <t>GOV-01|4</t>
  </si>
  <si>
    <t>The constitution is supported by documented procedures, that have been approved by the members, regulating all possible instances of implementation.</t>
  </si>
  <si>
    <t>The NOC has a comprehensive constitutional framework, fully approved by its membership and supported with well thought out and comprehensive documentation that meet the highest legal standards. To achieve this:
In consultation with key stakeholders, decide what should be included in a constitutional framework;
Expand the constitution, or include By-Laws to include these factors;
Reflect on the values of the NOC in the constitution and ensure that these reflect the Olympic Values;
Ensure that the NOC and Olympic Values are properly reflected in the Constitutional Framework;
Operate according to the constitutional framework.</t>
  </si>
  <si>
    <t>GOV-02|0</t>
  </si>
  <si>
    <t>No planning occurs</t>
  </si>
  <si>
    <t>GOV-02|1</t>
  </si>
  <si>
    <t>We plan on an ad-hoc basis as issues arise</t>
  </si>
  <si>
    <t>The NOC is still reactive rather than proactive but recognises the need to start the planning process. to achieve this:
As a Board discuss what the NOC want to do;
Develop a simple checklist for the things we need to do and the resources we need to do them;
Respond to opportunities as they are offered but prioritise those opportunities that help us to achieve what we want to achieve now.</t>
  </si>
  <si>
    <t>GOV-02|2</t>
  </si>
  <si>
    <t>Our plan is primarily driven by the requirements of outside agencies – often funders</t>
  </si>
  <si>
    <t>The NOC plans to meet the needs of external stakeholders and uses this as a basis to establish an initial strategic plan:
Seek advice and provide training for the Board members on strategic planning;
Conduct an environmental analysis and seek assistance to organise this into a SWOT matrix.
Get external assistance for the Board to develop a basic strategic plan to guide the operations of the NOC;
Make sure this meets the requirements of key stakeholders and reflect the Values established for the NOC;
Follow the plan;
Evaluate the success of the plan as it unfolds and discuss as a matter of course at NOC meetings.</t>
  </si>
  <si>
    <t>GOV-02|3</t>
  </si>
  <si>
    <t>The strategic plan is an internally developed, quadrennial plan</t>
  </si>
  <si>
    <t>The NOC has a well thought out development plan that considers all of its needs across the full quadrennial. To achieve this:
In consultation with key stakeholders, the Board should initiate and drive the development of a 4 year quadrennial plan for the NOC;
Conduct a thorough environmental audit to establish Key Areas that require planning development;
Ensure all objectives reflect the Values of the NOC;
Once agreed, the plan should be implemented to lead the activities of the NOC;
The activities of the NOC should be evaluated against the plan on a regular basis and amendments made where appropriate.</t>
  </si>
  <si>
    <t>GOV-02|4</t>
  </si>
  <si>
    <t>The strategic plan is an internally developed, long term plan going beyond 4 years</t>
  </si>
  <si>
    <t>The NOC engages fully with a long-term strategic plan developed by a Committee of Commission appointed by the Board. To achieve this:
Establish a working group or commission specifically tasked to fully developing the NOC strategic plan
Complete at least one full Olympic Cycle according to a documented plan that has been fully evaluated;
Align the NOC objectives with the Vision and Mission that guide this plan;
Ensure there are sufficient resources, human, physical and financial, to carry out the necessary actions;
Identify an appropriate timescale for the NOC strategic plan and develop a plan in line with this.
Complete a thorough risk assessment using a 'what-if?' approach to each of the objectives in the plan.</t>
  </si>
  <si>
    <t>GOV-03|0</t>
  </si>
  <si>
    <t>None.</t>
  </si>
  <si>
    <t>GOV-03|1</t>
  </si>
  <si>
    <t>We make a subjective assessment of activities</t>
  </si>
  <si>
    <t>The NOC currently does not formally evaluate its activities but does meet to discuss the progress and outcomes of its activities. To achieve this:
As a Board, discuss the success and effectiveness of activities;
Keep records for areas of improvement;
Make changes where appropriate.</t>
  </si>
  <si>
    <t>GOV-03|2</t>
  </si>
  <si>
    <t>Our M&amp;E activities meet the requirements of external funders and focus on a few areas.</t>
  </si>
  <si>
    <t>Any monitoring and evaluation carried out is currently done at the request of and to the criteria established by external funding agencies, such as government. To achieve this:
Understand what external parties require as M&amp;E;
Develop or adopt indicators that measure these requirements;
Monitor activities according to these measures and report on outcomes as objectively as possible.
Ensure that funds received are used as appropriated and are accurately reported accordingly.</t>
  </si>
  <si>
    <t>GOV-03|3</t>
  </si>
  <si>
    <t>There are Key Performance Indicators (KPIs) associated with the plan that evaluate strategic outcomes that we monitor on a regular basis.</t>
  </si>
  <si>
    <t>The NOC has a developed plan that list some key indicators that we have identified to measure our success or otherwise. to achieve this:
Develop performance indicators for each action area, to evaluate the strategic plan;
Develop mechanisms for collecting the necessary data;
Allocate responsibility for collecting and accounting for performance against the selected indicators;
Amend plans as required to achieve the plan.</t>
  </si>
  <si>
    <t>GOV-03|4</t>
  </si>
  <si>
    <t>The Key Performance Indicators (KPIs) associated with the plan are evaluated and reported to the members as a basis for any modifications or adjustments to our plan.</t>
  </si>
  <si>
    <t>The NOC has a comprehensive and well established strategic plan that has KPI's set against each of objectives and which are used to report our progress for each objectives to all our stakeholders: To achieve this:
Develop key performance indictors(KPI) that assess all aspects of the NOC's activities;
Establish the type of data that needs to be collected that will reflect the KPI's;
Develop mechanisms for collecting the necessary data;
Allocate responsibility for collecting and accounting for performance against the selected indicators;
Ensure all reports to the members are supported by this data and with an appropriate analysis of this data;
Amend objectives and actions as required to achieve the plan.</t>
  </si>
  <si>
    <t>GOV-04|0</t>
  </si>
  <si>
    <t>No formal G.A. held.</t>
  </si>
  <si>
    <t>GOV-04|1</t>
  </si>
  <si>
    <t>We hold a G.A. every year but not at the same time or with an established agenda.</t>
  </si>
  <si>
    <t>The NOC holds its general meetings randomly, not necessarily at the same time of year or with a consistent agenda. To achieve this:
Call a G.A. when the Board has issues to discuss that affect the Organisation for the next 12 months;
Plan to hold G.A.s more regularly in line with the requirements of the Olympic Charter.</t>
  </si>
  <si>
    <t>GOV-04|2</t>
  </si>
  <si>
    <t>The G.A. is held annually at the same time of year but the agenda is inconsistent and variable.</t>
  </si>
  <si>
    <t>The NOC now conducts a general assembly of its members on an annual basis around the same time of the year. To achieve this:
Hold a G.A. every year on a similar date to discuss what has happened during the year;
Discuss issues of importance to the NOC and any issues that members bring up;
Keep notes of the G.A. for the Board to refer to.</t>
  </si>
  <si>
    <t>GOV-04|3</t>
  </si>
  <si>
    <t>The G.A. is a formal annual meeting covering basic agenda items stipulated by the rules of the Olympic Movement.</t>
  </si>
  <si>
    <t>The annual general meeting is now conducted formally with a consistent agenda with briefing papers supporting each agenda item distributed prior to the meeting. To achieve this:
Plan to hold a G.A. at the same time each year;
Ensure that NFs are aware of who can be represented at the G.A.;
Formalise the G.A. with an agenda that is consistent from year to year and keep minutes;
Make the minutes publicly available.</t>
  </si>
  <si>
    <t>GOV-04|4</t>
  </si>
  <si>
    <t>The G.A. is an annual meeting that is run according to documented, formal procedures that correspond to our strategic objectives.</t>
  </si>
  <si>
    <t>Our annual general meetings are large events held very formally and usually supported with a series of committee meeting and educational workshops leading up to the meeting. In these side meetings, agenda items are discussed and recommendations made for consideration at the meeting. To achieve this:
Establish formal procedures and documentation for the G.A.;
Run the annual G.A. according to these procedures.;
Establish an agenda that reflects the NOC strategic objectives;
Ensure supporting reports and papers are distributed to members in accordance with the constitution.</t>
  </si>
  <si>
    <t>GOV-05|0</t>
  </si>
  <si>
    <t>No support structures formed</t>
  </si>
  <si>
    <t>GOV-05|1</t>
  </si>
  <si>
    <t>The NOC sets up working groups as required.</t>
  </si>
  <si>
    <t>The NOC establishes ad-hoc working groups if and when required, usually to manage activities such as Olympic Day celebrations or Team selections. To achieve this:
Establish working groups to deal with issues of importance;
Discuss the possibility of establishing subcommittees to assist the Board,.
Consider how to structure these groups to enhance the connection between the Board and the members.</t>
  </si>
  <si>
    <t>GOV-05|2</t>
  </si>
  <si>
    <t>The NOC has some standing commissions mandated by the Olympic Charter such as an athlete's commission made up of members that report to the Board.</t>
  </si>
  <si>
    <t>The NOC must have at least an Athlete's Commission and at this level of development would expect to have established a Commission for each of its key areas of operation. To achieve this:
Establish a number of sub-committee with a clear remit that reflects the activities of the NOC, such as an Athlete's Commission;
Designate a Board member with responsibility for each subcommittee;
Have the sub-committee to report to the Board member and the Board member report to the Board on sub-committee activities.</t>
  </si>
  <si>
    <t>GOV-05|3</t>
  </si>
  <si>
    <t>The NOC has standing commissions responsible for aspects of the Organisation’s work made up of a mix of stakeholders who drive the NOC’s work in their area, such as a Coaches Commission.</t>
  </si>
  <si>
    <t>The NOC has established a women in sport commission and seeks to actively improve key stakeholder engagement with all of its established working groups and committees. To achieve this:
Create appropriate commissions that involve internal and external NOC stakeholders;
Ensure the key areas of NOC operations are supported by one of these Commissions;
Ensure these commissions work to support the work of the NOC;
Report the activities of the commission to the Board on a regular and frequent basis.</t>
  </si>
  <si>
    <t>GOV-05|4</t>
  </si>
  <si>
    <t>The NOC has an integrated Board and Commission structure that delegates implementation responsibilities to an administrative structure, which reports to the Board.</t>
  </si>
  <si>
    <t>To fully integrate the governance of the NOC with Management:
Ensure that decisions of the Board are taken up by the NOC's commissions;
Ensure that the commissions have full access to the board for consultation and support;
delegate all actions resolved by the Board and its Commissions to the management apparatus of the NOC;
Ensure that The Board and its Commissions receive comprehensive progress and final reports on all delegated actions as soon as possible after an action has been completed.</t>
  </si>
  <si>
    <t>GOV-06|0</t>
  </si>
  <si>
    <t>There is no Board</t>
  </si>
  <si>
    <t>GOV-06|1</t>
  </si>
  <si>
    <t>The Board is composed of elected or interested members without specific roles.</t>
  </si>
  <si>
    <t>The Board at this stage is not well established. Willing volunteers from the membership agree to take on roles and meet occasionally to help to formalise the NOC. To achieve this:
Ensure there are adequate Board members to enable to NOC to operate;
Identify between 5 to 9 people that are willing to serve the NOC;
Ensure the people selected represent the majority of the membership of the NOC;
Create a culture that encourages Board members to make an active contribution to the running of the NOC.</t>
  </si>
  <si>
    <t>GOV-06|2</t>
  </si>
  <si>
    <t>All Board members are elected, some with specific roles, such as President, Secretary and Treasurer.</t>
  </si>
  <si>
    <t>The members of the Board are now elected at the annual general meeting. The Board usually consists of a President, Secretary General and a Treasurer along with a number of Vice Presidents or Board members without a designated role on the Board. To achieve this:
Develop a description of specific roles required of the Board;
Ask for volunteers to take on these roles, that have the necessary skills, or hold elections that allow appropriate individuals to be elected to these roles.
Encourage people with experience and specific skills to take on roles such as President, Secretary and Treasurer</t>
  </si>
  <si>
    <t>GOV-06|3</t>
  </si>
  <si>
    <t>Board members have responsibility for a specific and clearly defined portfolio based on demonstrated competencies.</t>
  </si>
  <si>
    <t>At this stage, all members of the Board have a specific role or portfolio, for which they take responsibility and for which they carry out the instructions of the Board as a whole and report back to the Board as required. To achieve this:
Identify key activities and functions of the NOC, including IOC functions;
Develop portfolios of responsibility that are associated with the strategic leadership of these activities and functions;
Appoint Board members to these portfolios;
Ensure that Board members take responsibility for managing and reporting on these portfolios.</t>
  </si>
  <si>
    <t>GOV-06|4</t>
  </si>
  <si>
    <t>The Board contains elected members with clear portfolios and may either include non-voting appointees with specialist expertise.</t>
  </si>
  <si>
    <t>The Board should now be fully established with each member responsible for a specific  portfolio. Independent members may be co-opted onto the Board who have special skills or knowledge, not available within the NOC who may either sit formally on the Board or merely attend meetings in order to provide their services. To achieve this:
Ensure the Board has all of the skills necessary to support a portfolio based structure:
Establish clear job descriptions for all Board roles;
If necessary, amend the constitution to allow the appointment of Board members;
Appoint experts to Board positions if the skills required can't be met from existing Board members;
Appoint Board members from outside of the electoral college to provide an additional perspective to enhance the work of the NOC;
Ensure all appointments to the Board are approved by the G.A..</t>
  </si>
  <si>
    <t>GOV-07|0</t>
  </si>
  <si>
    <t>No succession planning</t>
  </si>
  <si>
    <t>GOV-07|1</t>
  </si>
  <si>
    <t>We have no limits to the length or limited succession planning.</t>
  </si>
  <si>
    <t>The NOC does not have term limits meaning that members can remain on the Board for as long as they wish if voted in by the members. As such little effort is made to familiarise people outside of the Board with its roles and responsibilities. To achieve this:
Encourage new Board members to stand to ensure that existing Board members continue to focus on the changing work of the NOC;
Consider adopting stewardship as a fundamental value of the NOC such that the organisation is held above the individual and consider ways to make the NOC able to build itself without reliance on a single individual.</t>
  </si>
  <si>
    <t>GOV-07|2</t>
  </si>
  <si>
    <t>We have limits to the number of terms on the Board, which means that Board members must be replaced predictably.</t>
  </si>
  <si>
    <t>The NOC believes that a good turnover of Board members is healthy as we are a multisport Organisation whose members are in themselves experienced at working on the Board of their respective sports. To achieve this:
Establish a reasonable limit to the number of terms a Board member can have in order to ensure that new members can join the Board;
Consider establishing a programme that exposes members to the operations of the Board so more people become familiar with it and gain confidence to stand for positions.</t>
  </si>
  <si>
    <t>GOV-07|3</t>
  </si>
  <si>
    <t>We carry out succession planning for the Board so that appropriate new people can be identified trained and mentored.</t>
  </si>
  <si>
    <t>The NOC aggressively seeks out potential new Board members from its member NFs and externally to the Board if skills and knowledge in a specific important policy area are lacking. To achieve this:
Evaluate the skills necessary for an effective Board;
Establish a nominations committee that establishes the needs of the NOC and vets all nominations for positions on the Board;
As Board members come towards the limit of their terms, identify potential members that can replace these skills;
Encourage these people to stand for election and support to be elected.</t>
  </si>
  <si>
    <t>GOV-07|4</t>
  </si>
  <si>
    <t>We ensure that there is a regular turnover of Board members based on a documented succession policy, which ensures continuity in the NOC.</t>
  </si>
  <si>
    <t>The succession policy clearly sets out what, why and how? the Board and its staff are prepared for their roles and how the succession is managed while preserving the institutional knowledge of the NOC. To achieve this:
Identify people with the skills needed before the incumbent leaves;
Were appropriate, involve the incumbent in induction and mentoring;
Provide opportunities for retiring Board members to continue to have input into the NOC;
Extend succession planning to include senior paid staff.</t>
  </si>
  <si>
    <t>GOV-08|0</t>
  </si>
  <si>
    <t>No consultation occurs.</t>
  </si>
  <si>
    <t>GOV-08|1</t>
  </si>
  <si>
    <t>We have occasional and informal discussions.</t>
  </si>
  <si>
    <t>We informally seek the opinions of the membership mainly through personal contacts. To achieve this:
Encourage Board members to talk about related issues with athletes and NF officials when they meet them;
Occasionally the Board should actively seek opinions from those members they have direct contact with.</t>
  </si>
  <si>
    <t>GOV-08|2</t>
  </si>
  <si>
    <t>Consultation is carried out at the General Assembly G.A..</t>
  </si>
  <si>
    <t>The General Assembly is the only formal opportunity the NOC has for consulting the membership and some effort is made to do this in our discussions at and around the meeting. To achieve this:
Encourage individual Board Members to attend NOC and NF activities and make themselves available to talk to athletes, coaches and officials;
Raise issues of importance to the Board at the G.A. at least 30 days prior to the meeting;
Allow members the opportunity to raise issues at the G.A..</t>
  </si>
  <si>
    <t>GOV-08|3</t>
  </si>
  <si>
    <t>We hold extraordinary or special G.A.s on key issues, as needed.</t>
  </si>
  <si>
    <t>In addition to the Annual General Meeting (AGM)s, the NOC will hold extraordinary G.A's when needed to discuss important or urgent matters that need the wider consideration of the membership. We also have a number of mechanisms in place to formally and informally seek out the opinions of the membership. To achieve this:
Develop a mechanism for consulting more widely with members such as use of a social media platform for members;
Make provision in the constitution for the holding of a Special G.A. when urgent and important matters are raised by a stipulated number of members;
Use a Special G.A. to consult with members when issues of importance arise.</t>
  </si>
  <si>
    <t>GOV-08|4</t>
  </si>
  <si>
    <t>The NOC has a regular consultation process driven by its Commissions to discuss all issues that affect the Organisation.</t>
  </si>
  <si>
    <t>By this stage the NOC has established a number of active and functional Commissions whose principal purpose is to seek out the opinions and input of memberships on matters specific to its portfolio. To achieve this:
Agree on the need for consulting with members on a regular basis;
Appoint a liaison officer in each of the NOC Commissions that takes responsibility for consulting with members and stakeholders on the Commission's area of responsibility;
Establish a variety of methods that provide multiple platforms for consulting with members and stakeholders;
Matters that require consultation are identified by the Board and distributed to the Commissions for their action;
Evaluate the process and amend if required.</t>
  </si>
  <si>
    <t>GOV-09|0</t>
  </si>
  <si>
    <t>We do not.</t>
  </si>
  <si>
    <t>GOV-09|1</t>
  </si>
  <si>
    <t>We provide an explanation of the role when joining Board.</t>
  </si>
  <si>
    <t>The NOC does not put much time into this as we expect our members to be familiar with the way a sports Organisation is governed from their experience on their respective national federations, however we do explain to members what is expected of them when they come onto the Board. To achieve this:
Explain the role of the NOC and the role of Board members to new members when they join the Board;
Seek out assistance from Olympic Solidarity and any local government assistance programmes that might be available to provide training in Organisational management and governance for both Board Members and aspiring Board Members.</t>
  </si>
  <si>
    <t>GOV-09|2</t>
  </si>
  <si>
    <t>We carry out an induction into role and the Organisation.</t>
  </si>
  <si>
    <t>We have a basic semi formal induction programme that we provide to all Board Members that includes familiarisation with our Constitution, the role of the board and the responsibilities of each member. To achieve this:
Develop a formalised and documented induction programme for new Board members that covers all aspects of their role and the activities of the Organisation;
Ensure that all Board members have been through the induction programme;
Encourage new Board Members to study their role as governors and understand their responsibilities towards the NOC.</t>
  </si>
  <si>
    <t>GOV-09|3</t>
  </si>
  <si>
    <t>We hold regular and specific training for the Board as needed.</t>
  </si>
  <si>
    <t>The NOC now includes in its induction programme a complete assessment of each Board member and most volunteers and staff to determine what training and development is needed. To achieve this:
Carry out a training needs analysis of all Board members when they join and then on a quadrennial basis,
Identify emerging issues that might require training;
Offer training opportunities to meet the needs of new and existing Board members;
Evaluate the impact of the training.</t>
  </si>
  <si>
    <t>GOV-09|4</t>
  </si>
  <si>
    <t>All Board members receive induction and training as well as an annual appraisal of their performance.</t>
  </si>
  <si>
    <t>The NOC seeks to optimise the governing skills of board members by including an annual appraisal of each Board Members based upon the expected outcomes of their portfolio and the performance of objectives under their portfolio against the KPI's established for them. To achieve this:
Identify the key outcomes that are required for each Board Member within the current quadrennial;
Establish and implement an appropriate appraisal programme for all Board members;
Ensure all reporting Identifys the achievements of Board Members against their agreed performance indicators.</t>
  </si>
  <si>
    <t>GOV-10|0</t>
  </si>
  <si>
    <t>There is no NOC management.</t>
  </si>
  <si>
    <t>GOV-10|1</t>
  </si>
  <si>
    <t>The Board is the management of the NOC.</t>
  </si>
  <si>
    <t>Board members take responsibility for managing the day to day operations of the NOC. This often falls upon the shoulders of one or two keen individuals. To achieve this:
Allocate key areas of responsibility for the NOC to individual Board members;
Ensure that these Board members report on their NOC activities regularly;
Consider establishing performance appraisal criteria for Board members based on their meeting objectives set for them.</t>
  </si>
  <si>
    <t>GOV-10|2</t>
  </si>
  <si>
    <t>We have an elected committee that takes charge of all of our operations.</t>
  </si>
  <si>
    <t>The NOC experiences some difficulties separating the roles of the Board from staff or volunteers who are implementing our activities. Occasionally staff or volunteers take decisions unilaterally without the consideration of the whole Board. To achieve this:
Appoint paid staff or volunteers who are responsible for some aspects of the management of the NOC
Clarify the roles of the Board and management;
Establish reporting relationships between management and the Board;
Ensure that each Board member clearly understands the limits of their responsibility and encourage dialogue where responsibilities appear to overlap.</t>
  </si>
  <si>
    <t>GOV-10|3</t>
  </si>
  <si>
    <t>There is a clear delineation of roles between the Board and management headed by a General Secretary, who is the link between the two.</t>
  </si>
  <si>
    <t>The NOC has established a strong management structure made of paid and voluntary people who are responsible for implementing the activities of the NOC. The Management of the NOC is overseen by the Secretary General who is paid, or by a Chief Executive Officer or Chief Operating Officer, professionally appointed to oversee the management functions. To achieve this:
Establish a clearly defined and documented management structure that his headed up by the General Secretary or a CEO who is directly accountable to the General Secretary;
Establish regular mechanisms for the Board and management to engage with each other;
Ensure management reports to the Board on a regular basis;
Ensure that the Board oversees management activities.</t>
  </si>
  <si>
    <t>GOV-10|4</t>
  </si>
  <si>
    <t>The Board and management (led by a CEO/COO or GS with no voting rights on the Board) are separate but have a mutually supportive relationship.</t>
  </si>
  <si>
    <t>The NOC is now managed by fully professional staff who work through the CEO and report to the Board through the Secretary General on an on-going basis. To achieve this:
Ensure that management implements the decisions of the Board;
Allow the management of the NOC to work independently when appropriate but ensure that the reporting process to the Board is maintained;
Appraise the performance of those in management against clear and agreed criteria;
Evaluate working relationships regularly.</t>
  </si>
  <si>
    <t>GOV-11|0</t>
  </si>
  <si>
    <t>GOV-11|1</t>
  </si>
  <si>
    <t>We react when problems arise.</t>
  </si>
  <si>
    <t>The NOC is still forming and as such may not have reviewed its constitution formally. Nevertheless the NOC should be working to align its Constitution with its activities and with the Olympic Charter and the requirements of its IF. To achieve this:
Communicate the requirements of the constitution regularly;
Regularly evaluate the activities of the NOC against the constitution;
Amend activities where necessary.</t>
  </si>
  <si>
    <t>GOV-11|2</t>
  </si>
  <si>
    <t>We are aware of the need to conduct regular governance reviews.</t>
  </si>
  <si>
    <t>Since the NOC's governance has been established for some time it is important to review how it is working and seek out improvements with the Basic Universal Principles of Good Governance for the sport and Olympic Movement. To achieve this:
Identify issues that are not compatible with the Olympic Charter;
Identify operations or procedures that are not covered in our existing constitution;
Study the Basic Universal Principles document and review the NOC performance against these principles;
Develop strategies for avoiding poor governing practice, or consider reviewing the constitution;
Make the necessary changes - if this is to the constitution, consult and communicate with all key stakeholders, including OS.</t>
  </si>
  <si>
    <t>GOV-11|3</t>
  </si>
  <si>
    <t>We carry out a quadrennial review of the governance of the NOC.</t>
  </si>
  <si>
    <t>The NOC has established a formal review process that occurs in each quadrennial, usually after the elections of Board members. As part of orienting a new board it is good practice to review the governance of the organisation. To achieve this:
As a Board, carry out a review of the governance of the NOC in terms of its constitution and its strategic planning process;
Make adjustments to either planning or the constitution as appropriate;
Seek approval for any changes from the Legal Department at Olympic Solidarity and the membership in general.</t>
  </si>
  <si>
    <t>GOV-11|4</t>
  </si>
  <si>
    <t>Our governance review is on-going in line with the planning process through an Internal Audit or Governance Committee.</t>
  </si>
  <si>
    <t>The NOC now carries out a review of its governance on an ongoing basis through its Internal Audit Committee or via an independent consultant. To achieve this:
Establish an Internal Audit or Governance Committee;
Mandate this Committee with the responsibility to hold the NOC to account to its constitution
Whenever a significant issues rises, the Internal Audit Committee should evaluate governance arrangements in terms of the constitution and its strategic plan;
Conduct a review of all new objectives that appear in the organisation's strategic plan and ensure that they are constitutionally sound;
Appropriate amendments should be recommended to the Board, after seeking approval from key stakeholders.</t>
  </si>
  <si>
    <t>GOV-12|0</t>
  </si>
  <si>
    <t>We don't consider this</t>
  </si>
  <si>
    <t>GOV-12|1</t>
  </si>
  <si>
    <t>The NOC has unwritten agreed standards.</t>
  </si>
  <si>
    <t>The NOC has been formed to benefit sport as a whole and as such, it is necessary that those working for the NOC understand what behaviour is appropriate and what is not. To achieve this:
As a Board discuss what behaviour is appropriate in terms of the NOC's activities.
Encourage and support each other to operate by these agreed standards</t>
  </si>
  <si>
    <t>GOV-12|2</t>
  </si>
  <si>
    <t>We have a generic code of conduct for all roles that we have adopted from an external source such as government.</t>
  </si>
  <si>
    <t>Many countries have established codes of conduct for NGO's either through government or by worldwide NGO's operating in the country, including the IOC. These codes need to be considered as a minimum standard for the NOC and should be written down in some form. To achieve this:
Consult with the IOC and other appropriate stakeholders to understand what behaviours are appropriate in terms of the NOC's activities;
Document these discussions in a generic code of conduct;
Communicate this to all relevant parties;
Review and revise as appropriate.</t>
  </si>
  <si>
    <t>GOV-12|3</t>
  </si>
  <si>
    <t>Codes of conduct for specific roles within the Organisation have been developed and approved by the members.</t>
  </si>
  <si>
    <t>As the NOC becomes more established and grows into a multi-functional Organisation, specific codes of conduct covering people across all the various roles that occur, from Board Members, to Administrators as well as representative delegations now need to be formalised and written down. To achieve this:
Identify key roles in the NOC and work with those involved to establish what behaviours are appropriate in terms of the NOC's activities for this role;
Document these discussions in role-specific codes of conduct;
Communicate this to all appropriate parties;
Review and revise as appropriate.</t>
  </si>
  <si>
    <t>GOV-12|4</t>
  </si>
  <si>
    <t>We have written codes of conduct specific to roles that Board members, staff and volunteers sign upon joining the Organisation to indicate commitment.</t>
  </si>
  <si>
    <t>The NOC should now have a series of written codes of conduct specific to each role in the Organisation and to which Board Members, employees delegations and volunteers sign up to when engaged by the NOC. To achieve this:
Develop codes of conduct for all roles in the NOC;
Get appropriate parties to commit to the code of conduct by formally signing their agreement;
Review and revise as appropriate.</t>
  </si>
  <si>
    <t>GOV-13|0</t>
  </si>
  <si>
    <t>GOV-13|1</t>
  </si>
  <si>
    <t>We have no formal procedures, but we expect our members to put the NOC's interests first.</t>
  </si>
  <si>
    <t>Developing a culture of selflessness by putting the Organisation first is an import first step. To achieve this:
As a Board discuss the consequences of conflict of interest on a regular and ongoing basis.</t>
  </si>
  <si>
    <t>GOV-13|2</t>
  </si>
  <si>
    <t>Board members and staff make informal declarations as issues arise.</t>
  </si>
  <si>
    <t>The NOC is now at a stage where it is accumulating assets and making important selection decisions. Ensuring that individuals do not take advantage of these for personal gain it is necessary for people involved in the NOC functions to declare their interest at least informally. To achieve this:
Ask Board members and staff to set out potential conflicts of interest;
Ask Board members and staff to declare conflicts of interest when appropriate.</t>
  </si>
  <si>
    <t>GOV-13|3</t>
  </si>
  <si>
    <t>Formal declarations made by the Board and by staff on a regular basis.</t>
  </si>
  <si>
    <t>Declaring conflict of interest should now be a formal process across the whole of the NOC. It is an integral part of Risk Management and a fundamental part of good governance. To achieve this:
Develop a Conflict of Interest Declaration Form that covers all areas of operation for the NOC and have it completed and signed off by anyone working for or acting on behalf of the NOC
At the start of each Board meeting ask for Board members to declare any conflicts of interest;
At the G.A. ask for all members to declare any conflicts of interest.</t>
  </si>
  <si>
    <t>GOV-13|4</t>
  </si>
  <si>
    <t>We have a written Conflict of Interest Policy that is embedded in all contracts, procedures and actions undertaken by the NOC and those acting upon its behalf.</t>
  </si>
  <si>
    <t>Written declarations of personal interest are now embedded in the NOC and all contractual arrangements made by the NOC. Any decision making is supported by statements that support independence from the decision and provisions need to be made that enable people to remove themselves from decision making processes that might actually or be perceived as a conflict of interest. To achieve this:
Develop a conflict of interest policy that covers all stakeholders of the NOC;
Create a conflict of interest register and collect information for this annually;
Have a strategy for dealing with conflicts of interest;
Communicate and implement the policy.</t>
  </si>
  <si>
    <t>GOV-14|0</t>
  </si>
  <si>
    <t>There are no specific procedures.</t>
  </si>
  <si>
    <t>GOV-14|1</t>
  </si>
  <si>
    <t>The NOC holds generic insurance to cover possessions and travel.</t>
  </si>
  <si>
    <t>The NOC may still be perceived as not needing to manage risk but providing basic measures to counter potential risks to personnel or property is important. To achieve this:
Identify the possession and activities of the Organisation that can be covered by insurance;
Ensure the NOC is adequately insured.</t>
  </si>
  <si>
    <t>GOV-14|2</t>
  </si>
  <si>
    <t>We identify the risks that might face the NOC and its activities.</t>
  </si>
  <si>
    <t>There are many risks that need to be considered and not just those of loss of assets or personal injury. The Board now needs to include risk management as part of its planning process and plan for 'what-if' the plan is not achieved or what risks might arise as a result of success. To achieve this:
As a Board identify the potential risks to the NOC from all areas of its activities;
Document these and categorise them as high, medium and low risk;
Consider means of prevention, detection and mitigation of these risks;
Review and evaluate these on a regular basis.</t>
  </si>
  <si>
    <t>GOV-14|3</t>
  </si>
  <si>
    <t>We identify the risks facing the NOC and for specific risks, we develop procedures for dealing with them.</t>
  </si>
  <si>
    <t>Specific risks such as: such as a loss of sponsor; a positive drug test; or a scandal around an inappropriate coach-athlete relationship may become more likely as the NOC evolves and delegations under its control increase in size. The NOC considers measures that Prevent risk from occurring, Identify risks when they occur and Mitigate the risks effectively. To achieve this:
Appoint an Board member responsible for risk management;
Develop a risk register that covers all activities of the NOC;
Identify key risks and develop procedures for dealing with the consequences of the risk;
Ensure there are active prevention and detection procedures in place to cover the NOC risks;
Get the Board to evaluate the risk record regularly.</t>
  </si>
  <si>
    <t>GOV-14|4</t>
  </si>
  <si>
    <t>We have a formal risk management plan covering all aspects of the Organisation and its activities that sets out procedures for identifying, preventing and mitigating risk.</t>
  </si>
  <si>
    <t>As a fully functioning NOC Risk management must be embedded in all parts of the Organisation. To achieve this:
Expand the risk record to weight the impact and possibility of potential risks;
Develop a plan that sets out how the risk can be dealt with, mitigated or avoided;
Get the Board to evaluate the risks quarterly and amend the plan accordingly.</t>
  </si>
  <si>
    <t>GOV-15|0</t>
  </si>
  <si>
    <t>GOV-15|1</t>
  </si>
  <si>
    <t>We encourage all our members to stand for positions.</t>
  </si>
  <si>
    <t>At this stage the NOC hasn't considered gender equity issues and while women might be represented on the Board, this may be a rare occurance and the Board remains more of a gentleman's club. To encourage all members, regardless of gender to stand for Board positions:
Ensure that the Board is aware of the IOC requirements for women's representation;
Provide training on equal opportunities for the Board;
Discuss ways of increasing the number of women on the Board.
Ensure elections are held freely and fairly.</t>
  </si>
  <si>
    <t>GOV-15|2</t>
  </si>
  <si>
    <t>We actively seek women with the right skills to stand for positions.</t>
  </si>
  <si>
    <t>The NOC is aware of the need to meet minimum representation by women as stipulated in the Olympic Charter and must now seek and encourage women with the right skills to stand for Board positions and address the current imbalance. To achieve this:
Properly advertise all Board positions and actively seek to encourage members who aspire to being on the board to stand for positions;
Identify key demographic areas of the membership including women and target them to nominate people to represent their interests on the Board;
Discuss how to encourage these women to stand for election;
Support aspiring women actively to assist in their election to the Board
Ensure elections are held freely and fairly.</t>
  </si>
  <si>
    <t>GOV-15|3</t>
  </si>
  <si>
    <t>We create portfolios that ensure all our members are properly represented and recruit a number of female Board members, if and when necessary, who have the necessary skills and experience.</t>
  </si>
  <si>
    <t>The NOC now recognises the need to be proactive in finding ways to increase the representation of women on its board and in positions that exist within the NOC. To actively increase the representation of women on the NOC Board:
Appoint a Board member responsible for women in sport;
Establish a Women in Sport Commission;
Evaluate the activities and operation of the NOC to identify barriers to the election of women to the Board;
Identify women from within the membership who have the necessary skills and experience to stand for Board positions;
Encourage them to stand for election;
Ensure that elections are held openly and that vote manipulation or selective voting that is aimed to maintain the status quo is avoided.;</t>
  </si>
  <si>
    <t>GOV-15|4</t>
  </si>
  <si>
    <t>Women are elected on merit like any Board member and this is generally reflected by a significant presence of women on our Board.</t>
  </si>
  <si>
    <t>At this stage, gender equity as reflected in the representation of women on the Board of the NOC should be at the very least, 20% and should also be reflected in the boards of members Clubs and Associations. To achieve this:
Continue to actively identify, mentor and recruit female Board members, in accordance with a strategic planning objective that states an intention to increase the number of women represented on the Board by more than 20%.
Work with member organisations to encourage greater representation of women on their Boards as this in turn provides a training and development ground for the establishment of more women
Strive to place a woman with the appropriate skills and competencies in a key Board position, such as chair, secretary general or Treasurer.</t>
  </si>
  <si>
    <t>GOV-16|0</t>
  </si>
  <si>
    <t>GOV-16|1</t>
  </si>
  <si>
    <t>Interested volunteers take up roles as needed</t>
  </si>
  <si>
    <t>To encourage people within the Organisation to take up leadership roles in this new NOC:
Conduct a series of meetings for all National Sport Federations (NFs) to learn about the Olympic Movement and the roles and responsibilities of the NOC;
Seek funding for a basic level Olympic Solidarity support Administration course that is targeted to orient interested people to take up roles in the NOC;
Establish a culture of 'inclusivity' that encourages more people to be involved;
Establish a working group to put together all of the Legal frameworks needed to establish a contemporary NOC.</t>
  </si>
  <si>
    <t>GOV-16|2</t>
  </si>
  <si>
    <t>We generally have only one candidate standing for each position on the Board who are elected by acclamation.</t>
  </si>
  <si>
    <t>To establish a basic elected Board for the NOC:
Establish the legitimate membership of the NOC by verifying the legitimacy of each NF in the country and ensure that it has properly elected and selected delegates;
Conduct an Annual General Meeting to elect and select the NOC Board from the Working Group established to put the NOC together;
Recognising that this will limit participation in the election, meet urgently to establish a more open and inclusive environment that encourages a more competitive and productive electoral process.</t>
  </si>
  <si>
    <t>GOV-16|3</t>
  </si>
  <si>
    <t>Formal election procedures are in place that encourage more candidates to run for positions.</t>
  </si>
  <si>
    <t>To achieve an open and competitive election and selection process:
Ensure that each incumbent Board Member reports fully and accurately on the activities carried out over the past year;
Establish Working groups or Commissions that support the work of each Board Member and exposes more people from within the Organisation to understand the role and function of each position on the Board;
Limit the number of terms a single Board Member can hold a position and encourage people from the Working Groups to stand;
Encourage all prospective candidates to state their case openly and provide evidence of their ability to do the work required of the position they are standing for;</t>
  </si>
  <si>
    <t>GOV-16|4</t>
  </si>
  <si>
    <t>In addition to elections from the membership we also co-opt to the Board non-voting specialists as required but for strictly limited terms.</t>
  </si>
  <si>
    <t>To co-opt non-voting specialists from outside the NOC:
Ensure the Constitution is modified to enable the co-opting of people with needed skills and experience to sit on the Board or on NOC Commissions;
Ensure strict controls are in place that protect the integrity of the NOC and its membership;
Meet to determine what areas of the NOC Governance and Management are in need of more expertise;
Seek out people with needed skills and appoint them on limited terms and without voting rights to the Board or its Commissions.</t>
  </si>
  <si>
    <t>MGT-01|0</t>
  </si>
  <si>
    <t>There is no specific Structure.</t>
  </si>
  <si>
    <t>MGT-01|1</t>
  </si>
  <si>
    <t>One Board member manages the NOC.</t>
  </si>
  <si>
    <t>During the early stages of an NOC's development, the work of managing the Organisations typically falls upon one or two willing and enthusiastic Board members who strive to establish some management of activities. To achieve this:
One Board member, usually the President takes responsibility for managing the activities of the NOC;
This is an undesirable situation and every effort must be made to put a functional board in place and share the workload;</t>
  </si>
  <si>
    <t>MGT-01|2</t>
  </si>
  <si>
    <t>An elected Board manages and governs the NOC with a few key active people.</t>
  </si>
  <si>
    <t>The challenge now is to develop the NOC's structure, make sure that the Board is well structured and is full of keen contributors to the governance and management of the NOC. To achieve this:
Has enough people to run the Organisation;
Knows what it has to do;
Consult with the NOC and agree on a strategy that utilises funded programmes such as Administration Courses to understand what needs to be done and to appreciate the need for inclusive practices;
Has members that have the skills required to run the Organisation;
Is prepared to delegate responsibility to people with skills who may or may not be on the Board to manage specific programs.</t>
  </si>
  <si>
    <t>MGT-01|3</t>
  </si>
  <si>
    <t>The Board, manages the Organisation and takes 'whole Board' responsibility for key functions such as the annual reports, including financial statements.</t>
  </si>
  <si>
    <t>The NOC strives to provide an income stream that can support the employment of staff to take on some of the more demanding administrative functions of the NOC. By now the Secretary General may have become a paid employee of the NOC and head up the management functions. Paid staff and/or volunteers may work with sub-committees to effectively manage the increasingly diverse functions of the NOC. To achieve this:
Identifying distinct areas of activity within the NOC;
Create sub-committees that take responsibility for these areas of activity;
Have a member of the Board on each of the sub-committees;
Have these sub-committees report to the Board.</t>
  </si>
  <si>
    <t>MGT-01|4</t>
  </si>
  <si>
    <t>The Board delegates some management responsibility to staff or other volunteers under the supervision of the General Secretary.</t>
  </si>
  <si>
    <t>The separation of governance from management is a desirable outcome as the Board seeks to set policy, plan and monitor rather than administer the NOC. This usually requires the engagement of staff, full time or part time to take on these roles while maintaining responsibility for the direction the NOC is taking. To achieve this:
Prioritise which areas of activity would benefit from paid staff assistance;
Identify sources of funding for paid staff either from within the NOC or from external sources, such as government, sponsors or the NOC (Olympic Solidarity);
Delegate responsibility for appropriate activities to these functions.</t>
  </si>
  <si>
    <t>MGT-02|0</t>
  </si>
  <si>
    <t>There are no operations to plan</t>
  </si>
  <si>
    <t>MGT-02|1</t>
  </si>
  <si>
    <t>We react to opportunities without documented procedures.</t>
  </si>
  <si>
    <t>The NOC has no formal planning in place but recognises the need to start the planning process in the NOC. To achieve this:
Establish criteria that will enable the organisation to agree on how its activities are managed among friends and enthusiastic participants.
These criteria may be noted but not documented formally documented;
Consult with members to agree on priorities for development of the NOC.</t>
  </si>
  <si>
    <t>MGT-02|2</t>
  </si>
  <si>
    <t>We have a simple operational plan, but it is not necessarily used.</t>
  </si>
  <si>
    <t>The NOC has a plan drafted, probably due to pressure to construct such a document in order to receive funding from one or more external sources. We recognise the need for effective planning but are as yet not fully committed to it. To achieve this level:
Carry out a regular audit of the external environment of the NOC to identify opportunities;
Have Board members receive training in operation planning to help with future planning;
Produce an operational plan that addresses the key activities carried out by the NOC;
This plan should be formally agreed to at a meeting of the majority of members of the organisation.</t>
  </si>
  <si>
    <t>MGT-02|3</t>
  </si>
  <si>
    <t>The NOC has an annual operational plan, which is based on a long term strategic plan.</t>
  </si>
  <si>
    <t>It is essential that the operational plan reflects the objectives of the strategic plan which has been in turn, properly considered and constructed on the basis of a thorough environmental analysis. To achieve this:
Carry out a regular audit of the external environment;
Ensure that the organisation has a well-developed strategic plan;
Identify what the NOC has to do to achieve its strategic objectives;
Document this in an operational plan;
Ensure that the operational plan is available to all volunteers and staff responsible for activities endorsed by the NOC.</t>
  </si>
  <si>
    <t>MGT-02|4</t>
  </si>
  <si>
    <t>We have a comprehensive operational plan for all activities and procedures, which has been approved by the membership.</t>
  </si>
  <si>
    <t>The NOC has a comprehensive set of operational plans for each of the NOC's functions that can be used to inform the development of an Operations Manual. To achieve this:
Identify the key functions necessary to achieve the strategic plan;
Develop a plan for each function that ensures it contributes to the strategic plan;
Ensure that the Operations Plan that is closely tied to the organisation's strategic plan and covers at least 80% of the areas of strategic importance to the organisation.
Seek approval for the operational plan from the Board.</t>
  </si>
  <si>
    <t>MGT-03|0</t>
  </si>
  <si>
    <t>There is no manual</t>
  </si>
  <si>
    <t>MGT-03|1</t>
  </si>
  <si>
    <t>We have a few documented working procedures, but these are not documented.</t>
  </si>
  <si>
    <t>Based on the experience of individuals in conducting activities within and on behalf of the NOC, we have accumulated a set of documented procedures and contact lists but these have as yet to be standardised and formalised in any way and may not always be available to whoever needs it.  To achieve this level:
Have enough people to operate the NOC;
Make sure that people know what has to be done to operate the NOC;
Evaluate how your NOC is operating on a regular basis.</t>
  </si>
  <si>
    <t>MGT-03|2</t>
  </si>
  <si>
    <t>We have documented some essential procedures, such as those relating to finances.</t>
  </si>
  <si>
    <t>To help the NOC operate more formally and consistently:
Agree what has to be done to complete these procedures;
Identify what procedures have to be followed consistently;
Communicate the required procedures;
Evaluate how your NOC is operating on a regular basis in terms of the procedures.</t>
  </si>
  <si>
    <t>MGT-03|3</t>
  </si>
  <si>
    <t>The NOC has an operations manual covering all administrative aspects of the organisation.</t>
  </si>
  <si>
    <t>We recognise the need to put things in order and create a written set of operating procedures. To achieve this:
Identify essential procedures for documentation;
Consult to identify what the procedures require;
Document these procedures;
Make these documented procedures available to all and continue to communicate any non-documented procedures.</t>
  </si>
  <si>
    <t>MGT-03|4</t>
  </si>
  <si>
    <t>Each functional area of the NOC has an operations manual reviewed regularly.</t>
  </si>
  <si>
    <t>Our operations manual is a centrepiece of the management of the NOC and contains all of the necessary information to assist anyone to undertake a specific job or function in the organisation. It may be available online or in hard copy. To achieve this:
Consult to identify what procedures are needed;
Identify the procedures used to run all aspects of the NOC;
Document these procedures and incorporate into an Operations Manual;
Construct both hard copies and electronic copies and structure it so that parts of it can be used in isolation;
Distribute the Operations Manual to all appropriate people and ensure it has a place of prominence within the NOC office.</t>
  </si>
  <si>
    <t>MGT-04|0</t>
  </si>
  <si>
    <t>No meetings are held</t>
  </si>
  <si>
    <t>MGT-04|1</t>
  </si>
  <si>
    <t>Programs are managed by willing volunteers.</t>
  </si>
  <si>
    <t>Our programs are managed by willing volunteers and usually impromptu with whoever is available to take on the roles as they arise. To achieve this:
Identify people willing to look after a program that they are interested in;
Assist the vounteer with a basic job description and clear set of objectives;
Involve as many people as possible to spread the workload and if possible build the size of the program.</t>
  </si>
  <si>
    <t>MGT-04|2</t>
  </si>
  <si>
    <t>We identify volunteers who have some training and understanding of the program that needs to be managed and support them with resources as needed.</t>
  </si>
  <si>
    <t>We identify volunteers who have some training and understanding of the program that needs to be managed and support them with resources as needed. This person is often a Board member but we are aware of the need to encourage volunteers not serving as governors to take on program management roles. To achieve this:
Identify people with qualifications and experience to take on specific programs and manage them, such as event managers, athlete managers fundraising managers.;
Support managers with the resources needed to complete their duties and delegate responsibility for the management of these resources as needed;
Monitor and evaluate progress.</t>
  </si>
  <si>
    <t>MGT-04|3</t>
  </si>
  <si>
    <t>Our programs are managed by competent and qualified staff who may receive some financial compensation for their work although the majority of their work remains voluntary.</t>
  </si>
  <si>
    <t>Our programs are managed by competent and qualified staff who may receive some financial compensation for their work although the majority of their work remains voluntary. Our program managers are subject to an annual perforance review and are required to report to the Board member responsible for their program area on a quarterly basis: To achieve this:
Create a full job description for each program manager that is needed;
Advertise positions openly and encourage as many applications as possible;
Appoint people to positions on merit and ensure they receive any training and support they need to carryout their duties.</t>
  </si>
  <si>
    <t>MGT-04|4</t>
  </si>
  <si>
    <t>All of our programs have a fully qualified staff member to oversee and manage the program. This would not normally be a member of the Board.</t>
  </si>
  <si>
    <t>All of our programs have a fully qualified staff member to oversee and manage the program. This would not normally be a member of the Board.. Meeting follow a logical sequence so that Committees can prepare their documentation in a timely fashion to support board meetings and the Annual General Assembly. To achieve this:
Develop a schedule of meetings that is communicated appropriately and in full compliance with the constitution;
Create the paperwork associated with formal meetings such as agenda, the taking of minutes and recording of resolutions;
Ask appropriate parties to write reports on activities including recommendations for consideration at meetings;
Hold meetings that are conducted formally, using paperwork to support each item.</t>
  </si>
  <si>
    <t>MGT-05|0</t>
  </si>
  <si>
    <t>No stakeholders to manage</t>
  </si>
  <si>
    <t>MGT-05|1</t>
  </si>
  <si>
    <t>We do this informally, usually by word of mouth</t>
  </si>
  <si>
    <t>The NOC recognises the need to report but does so on an informal and usually verbal basis when needed. To achieve this:
Identify what activities should be reported upon;
Confirm what format the report is to be presented in and what details are required;
Have a mechanism or forum that allows reporting on some activities to appropriate parties;
delegate responsibility for reporting of activities to the appropriate party.</t>
  </si>
  <si>
    <t>MGT-05|2</t>
  </si>
  <si>
    <t>Reports are produced on demand, as required by external funding agencies.</t>
  </si>
  <si>
    <t>The NOC attracts a number of programme grants and opportunities and is required to report on how these funds were used. Each agency may have its own expectation of how these reports are written and the NOC produces these reports on demand. To achieve this:
Identify what activities should be reported upon and report on these, at least, informally;
Identify those activities that need to be reported formally;
Establish a clear deadline for the drafting and approval of reports;
Provide Reports to external stakeholders in a timely manner and in the format required by them.</t>
  </si>
  <si>
    <t>MGT-05|3</t>
  </si>
  <si>
    <t>An annual report is presented to the G.A. for approval before circulation to stakeholders.</t>
  </si>
  <si>
    <t>As part of its constitutional requirement, the NOC produces a formal written annual report that summarises all of its decisions and activities for the year. This report is approved by the Board prior to it being presented to the General Assembly for its approval and subsequently circulated to key stakeholders. To achieve this :
Identify those activities that need to be reported by written notes and make these notes available by a mechanism that is communicated to all appropriate parties;
Require written reports, rather than written notes, on key programmes and projects that the NOC is involved with and make these available to all appropriate parties.
Compile these into a Single Report that can be circulated to the membership for endorsement and approval</t>
  </si>
  <si>
    <t>MGT-05|4</t>
  </si>
  <si>
    <t>The annual report is the official document produced by the Organisation and this is supported by detailed project specific reports as needed.</t>
  </si>
  <si>
    <t>The NOC produces a comprehensive and professionally compiled Annual Report as well as project specific reports that are made available to all stakeholders in such a way as to guarantee appropriate levels of transparency throughout the NOC. To achieve this:
Identify the formality and sophistication of reporting required for different NOC activities;
Make sure that activities are reported as required;
Publish the minutes of all meetings and activity reports ensure they are readily available to all relevant parties.
Produce a formal and professionally produced Annual Report and specific project report as required and ensure that their contents are easily verifiable</t>
  </si>
  <si>
    <t>MGT-06|0</t>
  </si>
  <si>
    <t>No records to manage.</t>
  </si>
  <si>
    <t>MGT-06|1</t>
  </si>
  <si>
    <t>We take notes of meetings and brief records of activities. These are not necessarily filed.</t>
  </si>
  <si>
    <t>Our record keeping has not yet been established and knowledge usually lies in the head of existing Board Members. To achieve this:
Identify what activities should be reported upon and report on these, at least, informally;
Identify those activities that need to be reported formally;
Identify responsibility for taking notes at meetings and for making records of activities;
Make sure that these records are kept by those responsible.</t>
  </si>
  <si>
    <t>MGT-06|2</t>
  </si>
  <si>
    <t>The NOC has a simple filing system for important documentation.</t>
  </si>
  <si>
    <t>The NOC has now implemented a basic system of data management to provide a vehicle for transferring knowledge and developing an Organisational memory. To achieve this:
Identify what activities must be documented (written or electronically) and make sure they are documented;
Create a central point for the storage of important documentation;
Develop a system for filing documentation.</t>
  </si>
  <si>
    <t>MGT-06|3</t>
  </si>
  <si>
    <t>The NOC stores and can retrieve records of meetings and activities.</t>
  </si>
  <si>
    <t>The NOC has established an organised data storage and retrieval system that is appropriate to the size of the NOC and the quantity of information that it needs to process and store for future reference. To achieve this:
Document all meetings and activities;
Create a central point for storing documentation (manual or electronic);
Choose a filing and retrieval system (manual or electronic) for data.
Ensure all Board members, staff and volunteers are familiar with how to use this system and include this in the induction process.</t>
  </si>
  <si>
    <t>MGT-06|4</t>
  </si>
  <si>
    <t>The NOC has a formal archive system, which stores records for an extended period in line with a retention policy, with digital back-up.</t>
  </si>
  <si>
    <t>The NOC has a comprehensive data management system that aligns with the legal requirements for keeping records and supports an archive system that enables it to effectively store records and artifacts of its achievements. To achieve this:
Make sure all data is recorded digitally;
Develop an electronic filing and retrieval system;
Choose a system for archiving data that can readily identify and retrieve information stored;
Develop a system for protecting and backing-up data.</t>
  </si>
  <si>
    <t>MGT-07|0</t>
  </si>
  <si>
    <t>There are no contracts in place.</t>
  </si>
  <si>
    <t>MGT-07|1</t>
  </si>
  <si>
    <t>Our contracts are based on ‘hand shake’ agreements.</t>
  </si>
  <si>
    <t>The NOC has no formal contracting process in place but simply agrees on arrangements needed to receive or provide services on an informal basis. To achieve this:
Consider the type of agreements that may be necessary.
Identify areas of activity that could be, or should be subject to contract;
Identify appropriate contractors to deliver these activities;
Explain clearly to the contractor what is required and get agreement to this in the presence of witnesses.</t>
  </si>
  <si>
    <t>MGT-07|2</t>
  </si>
  <si>
    <t>The NOC establishes written agreements when necessary as dictated by external Organisations.</t>
  </si>
  <si>
    <t>The NOC has established a more formal contracting process, with written agreements put in place that are signed off and witnessed by both parties. The process of awarding contracts has been vetted independently to reduce the impact of conflict of interest. To achieve this:
Identify areas of activity that could be, or should be subject to contract;
For large or important activities ensure that written agreement is established;
Identify appropriate contractors to deliver these activities;
For other activities, explain clearly to the contractor what is required and get agreement to this in the presence of witnesses.</t>
  </si>
  <si>
    <t>MGT-07|3</t>
  </si>
  <si>
    <t>The NOC always obtains legally binding contracts.</t>
  </si>
  <si>
    <t>The NOC draws up contracts that are scrutinised by the NOC's solicitors or Legal advisors to ensure they are legally binding and enforceable for both parties. To achieve this:
Appoint a Legal advisor either from within the NOC or external to it
Identify areas of activity that could be, or should have tender documents prepared;
Establish a tender selection process for major contracts;
Develop legally binding contracts for work and have these signed by contractors.</t>
  </si>
  <si>
    <t>MGT-07|4</t>
  </si>
  <si>
    <t>The NOC has a contracting policy, setting out how to contract, who can tender and what the contracts must contain.</t>
  </si>
  <si>
    <t>To establish a contracting policy that comprehensively covers all actions for and on behalf of the NOC:
Establish a Legal Department within the NOC
Develop a contracting policy that is necessary for the awarding of all contracts;
Get this endorsed by the NOC Board;
Communicate this policy both internally and externally;
Operate according to this policy and reflect this through reporting at various meetings held by the Organisation.</t>
  </si>
  <si>
    <t>MGT-08|0</t>
  </si>
  <si>
    <t>There is nothing to mismanage.</t>
  </si>
  <si>
    <t>MGT-08|1</t>
  </si>
  <si>
    <t>The NOC has no specific procedures.</t>
  </si>
  <si>
    <t>The NOC is at a stage where it trusts its officers to do the right thing. To achieve this:
Consider the implications of mismanagement and fraud for the NOC;
Provide information on the possible areas for mismanagement and fraud within the NOC;</t>
  </si>
  <si>
    <t>MGT-08|2</t>
  </si>
  <si>
    <t>The NOC has an ad-hoc discipline committee that investigates when an issue arises.</t>
  </si>
  <si>
    <t>The NOC has established a basic process for dealing with mismanagement and fraud. To achieve this:
Have the Board discuss possible ways of preventing and dealing with mismanagement and fraud.
Document and communicate what could be considered mismanagement and fraud;
Provide training in what might constitute mismanagement and fraud;
Identify people who would be appropriate members of an 'ad-hoc' discipline committee;
Establish procedures to bring issues to the attention of the NOC.</t>
  </si>
  <si>
    <t>MGT-08|3</t>
  </si>
  <si>
    <t>We have documented procedures that address prevention, detection and mitigation of mismanagement and fraud.</t>
  </si>
  <si>
    <t>The NOC is fully aware for the risk associated with fraud and mismanagement and has documented procedures that address the prevention, detection and mitigation of fraud and mismanagement throughout the Organisation. To achieve this:
Develop auditing procedures that allow mismanagement and fraud to be identified;
Establish a standing discipline committee that has at least 1 independent member;
Develop formal procedures for addressing mismanagement and fraud, including establishing appropriate penalties;
Deal convincingly and consistently with mismanagement and fraud.</t>
  </si>
  <si>
    <t>MGT-08|4</t>
  </si>
  <si>
    <t>The NOC has a mismanagement and fraud policy that covers all aspects of work and encourages ‘whistle blowing’.</t>
  </si>
  <si>
    <t>The NOC has a written and approved policy concerning fraud and mismanagement that details the 'checks and balances' used to prevent and detect them. Whistle Blowers are encouraged and a complaints committee is in place to hear all concerns of fraudulent practice or mismanagement. To achieve this:
Develop a mismanagement and fraud policy that covers all the activities of the NOC both internally and externally, in consultation with members and stakeholders;
Ensure that the policy also includes the activities of key stakeholders when they use NOC resources;
Make it easy for staff or volunteers to report, anonymously, on mismanagement and fraud;
Communicate the policy both internally and externally.</t>
  </si>
  <si>
    <t>MGT-09|0</t>
  </si>
  <si>
    <t>No-one</t>
  </si>
  <si>
    <t>MGT-09|1</t>
  </si>
  <si>
    <t>The Board handles all logistics.</t>
  </si>
  <si>
    <t>The NOC manages very small delegations and this work is carried out by Board members. To achieve this:
Identify what is required to manage a Games delegation;
Allocate this responsibility to a named individual who carries out this role with appropriate assistance from the Board.</t>
  </si>
  <si>
    <t>MGT-09|2</t>
  </si>
  <si>
    <t>This is the responsibility of a specialist volunteer or group of volunteers delegated by the Board.</t>
  </si>
  <si>
    <t>The NOC delegations are growing in size and requires some dedicated management external to the Board. The Board delegates some or all of these functions to a specialist volunteer or group. Top achieve this:
Identify and train a volunteer to manage Games delegations;
Establish a Games Management Checklist for use by the volunteer(s);
Provide additional support as necessary;
Inform all necessary parties of who this individual is.</t>
  </si>
  <si>
    <t>MGT-09|3</t>
  </si>
  <si>
    <t>The NOC has paid staff that assume the duties related to Games delegation around the Games time.</t>
  </si>
  <si>
    <t>The delegations of the NOC are now highly developed, and the workload required forces the NOC to professionalise the management of Games delegations. To achieve this:
Allocate the responsibility for managing Games delegations to paid staff;
Provide additional support as necessary;
Establish a Games delegation manual that clearly identifies roles for volunteers facilitated by the staff member;
Inform all necessary parties of who is responsible.</t>
  </si>
  <si>
    <t>MGT-09|4</t>
  </si>
  <si>
    <t>Managing a Games delegation is an integrated and professional function of the Organisation on an ongoing basis.</t>
  </si>
  <si>
    <t>Managing Games delegations is now a full-time function of the NOC requiring the establishment of a Department within the NOC to deal with all of these responsibilities. To achieve this:
Clarify the role of functional departments in managing Games delegations;
Establish regular interdepartmental meetings and workshops to coordinate and control all aspect of the Games management process;
Communicate functional roles to all appropriate parties.</t>
  </si>
  <si>
    <t>MGT-10|0</t>
  </si>
  <si>
    <t>No decisions to execute</t>
  </si>
  <si>
    <t>MGT-10|1</t>
  </si>
  <si>
    <t>The NOC does not have (or lacks) the resources to consistently implement many Board decisions.</t>
  </si>
  <si>
    <t>The NOC lacks resources to implement all decisions but does its best through its Board members to implement decisions as they are made. To achieve this:
Consider the implementation of all Board decisions;
Have criteria for prioritising Board decisions;
Implement decisions of high priority.</t>
  </si>
  <si>
    <t>MGT-10|2</t>
  </si>
  <si>
    <t>Decisions that are pushed through by individual Board members are acted upon.</t>
  </si>
  <si>
    <t>The NOC more effectively acts upon decisions that have been pushed by individual Board members, whose passion and determination motivates them to enact these decisions.:
Be aware of Board member's personal preferences;
Establish criteria for prioritising implementation of Board decisions;
Implement decisions of high priority through the Board members who support and promote that decision.</t>
  </si>
  <si>
    <t>MGT-10|3</t>
  </si>
  <si>
    <t>Important decisions are acted upon either by specialist volunteers, paid staff or through a specific committee.</t>
  </si>
  <si>
    <t>The NOC now has a separate Management structure that can implement key Board decisions fully. To achieve this:
Commit to implementing all decisions considered important by the Board;
delegate responsibility for implementing decisions to staff or volunteers;
Identify who is best placed to implement these and task them with implementation;
Support the implementation of decisions with appropriate resources.</t>
  </si>
  <si>
    <t>MGT-10|4</t>
  </si>
  <si>
    <t>All decisions are systematically implemented, monitored and documented by management.</t>
  </si>
  <si>
    <t>The NOC has a very well established and professional management structure that implement all Board decisions. To achieve this:
Document the decisions made by the Board;
delegate the implementation of Board decisions to appropriate staff or functional areas;
Support with appropriate resources;
Monitor the implementation process to ensure the decision is fully implemented.</t>
  </si>
  <si>
    <t>MGT-11|0</t>
  </si>
  <si>
    <t>None</t>
  </si>
  <si>
    <t>MGT-11|1</t>
  </si>
  <si>
    <t>The NOC has the use of a Board member’s equipment.</t>
  </si>
  <si>
    <t>With no established home and few assets, the NOC draws on the resources of its Board members to access essential office equipment. To achieve this:
Identify which Board member(s) have office equipment available for use by the NOC;
Get agreement for the use of the equipment.</t>
  </si>
  <si>
    <t>MGT-11|2</t>
  </si>
  <si>
    <t>The NOC has access to basic office equipment and rents, as needed, what is not available.</t>
  </si>
  <si>
    <t>The NOC needs to access office equipment independently of personal favours in order to reduce its reliance and prevent conflict of interest from arising. To achieve this:
Establish access to as much office equipment as possible from existing networks and contacts;
Establish reasonable rental agreements for additional equipment as required;
Ensure that there is sufficient income to cover the costs of rental and operation of this equipment.</t>
  </si>
  <si>
    <t>MGT-11|3</t>
  </si>
  <si>
    <t>The NOC has a fully equipped office.</t>
  </si>
  <si>
    <t>To fully equip the NOC office:
Establish a NOC office either by rental, purchase or allocation by partner such as Government;
Determine what equipment is needed to perform efficiently, all management functions of the NOC;
Purchase or rent all required office equipment for permanent NOC use. (Note: Olympic Solidarity have specific programmes for assisting NOCs to equip their offices).
This might include:
* Photocopier - industrial quality incorporating fax and scanner;
* Computers Desk Top and Lap Top;
* White Board;
* Desks and chairs;
* Filing cabinets</t>
  </si>
  <si>
    <t>MGT-11|4</t>
  </si>
  <si>
    <t>The office equipment is upgraded regularly based on the Organisation's needs.</t>
  </si>
  <si>
    <t>To embed the equipment resource:
Purchase or rent state of the art office equipment for permanent NOC use. This might include:
Photocopier - industrial quality incorporating fax and scanner;
Internet enabled computers Desk Top and Lap Top;
Data projector;
Screen;
White Board;
Internet based network
Server;
Desks and chairs;
Filing cabinets
Electronic filing and data storage</t>
  </si>
  <si>
    <t>MGT-12|0</t>
  </si>
  <si>
    <t>There is no fixed place.</t>
  </si>
  <si>
    <t>MGT-12|1</t>
  </si>
  <si>
    <t>Headquarters are at a Board member’s premises</t>
  </si>
  <si>
    <t>To have a base for the NOC:
Identify which Board member has space for the NOC's headquarters;
Establish the NOC headquarters ensuring that there is distinction between the NOC office functions and other functions using this facility;
Communicate this to key stakeholders.</t>
  </si>
  <si>
    <t>MGT-12|2</t>
  </si>
  <si>
    <t>Headquarters are part of a shared office space.</t>
  </si>
  <si>
    <t>To set up a NOC Headquarters:
Identify an appropriate shared venue for the NOC's headquarters taking into account the NOC and members' needs;
Establish the NOC headquarters with a brand identity to set it apart from the shared occupier;
Communicate this to key stakeholders.</t>
  </si>
  <si>
    <t>MGT-12|3</t>
  </si>
  <si>
    <t>Headquarters are in a rented building.</t>
  </si>
  <si>
    <t>To establish a separate NOC Headquarters:
Identify suitable space which is either part of or a whole building;
Negotiate an appropriate rental agreement based on the functional needs of the NOC and NOC's capacity to meet the payments.</t>
  </si>
  <si>
    <t>MGT-12|4</t>
  </si>
  <si>
    <t>The NOC owns its own Headquarters.</t>
  </si>
  <si>
    <t>Our NOC is fully independent and fully owns or leases its headquarters. To Own our own Headquarters:
Purchase a suitable property that will house all of the functional areas of the NOC.</t>
  </si>
  <si>
    <t>MGT-13|0</t>
  </si>
  <si>
    <t>MGT-13|1</t>
  </si>
  <si>
    <t>We have access to board member's assets (office and equipment).</t>
  </si>
  <si>
    <t>The NOC currently relies on its members' assets but is aware of the need to develop its own. To begin to build the NOC's assets:
Consider ways in which the NOC can start to accumulate assets;
Consider purchases that directly benefit the NOC functions that are based on sound economic analysis.</t>
  </si>
  <si>
    <t>MGT-13|2</t>
  </si>
  <si>
    <t>We have assets sufficient for carrying out our day to day functions.</t>
  </si>
  <si>
    <t>The NOC has sufficient assets to carry out its core function but recognises the need to grow. To achieve this:
Identify primary and secondary asset needs to meet the functions of the NOC;
Purchase capital assets to meet those needs or rent them at an affordable rate.</t>
  </si>
  <si>
    <t>MGT-13|3</t>
  </si>
  <si>
    <t>The NOC has capital assets that may generate income</t>
  </si>
  <si>
    <t>To secure assets that may generate income:
Consider assets that if purchased can be used to generate income for the NOC;
Establish purchasing guidelines that identify where the equipment or assets can be used to generate income;
Purchase income generating assets.</t>
  </si>
  <si>
    <t>MGT-13|4</t>
  </si>
  <si>
    <t>The NOC has significant capital assets that do generate income.</t>
  </si>
  <si>
    <t>The NOC has invested in capital assets that can generate income. Usually these assets also serve the core functions of the NOC such as a sport or training complex but can include non-specific investments that generate income for the NOC. To achieve this:
Establish an asset acquisition strategy that primarily generates income for the NOC and ideally services its key functions as well;
Evaluate the income generating capacity of NOC Assets and develop a purchasing strategy to optimise this capacity.</t>
  </si>
  <si>
    <t>MGT-14|0</t>
  </si>
  <si>
    <t>It is not</t>
  </si>
  <si>
    <t>MGT-14|1</t>
  </si>
  <si>
    <t>On an ad-hoc basis by willing Board members.</t>
  </si>
  <si>
    <t>The Board members monitor the progress of the NOC's initiatives and keep a check on each other's progress. To achieve this:
Meet and recognise the need to monitor the activities of the NOC;
Establish a basic reporting system;
Ensure a willing person takes responsibility for reporting back on each of the NOC's activities.</t>
  </si>
  <si>
    <t>MGT-14|2</t>
  </si>
  <si>
    <t>The Board self-evaluates its administration.</t>
  </si>
  <si>
    <t>The Board now more formally evaluates the administration of the NOC to ensure that its objectives are heading in the right direction.  The evaluation of the administration is an important part of our discussions. To achieve this:
Encourage each Board Member to report on one or more areas of responsibility;
Discuss these reports as a Board and openly assess the effectiveness of the administration.</t>
  </si>
  <si>
    <t>MGT-14|3</t>
  </si>
  <si>
    <t>The Board receives reports from whoever is responsible for operational and financial matters and these are reported against the annual plan and budget.</t>
  </si>
  <si>
    <t>Board members are given responsibility for specific operations or programmes and are expected to report back to the Board on the matters they are responsible for. To monitor the administration more accurately:
Formally assign a Board member to monitor and report on one or more aspects of the NOC's administration;
Establish criteria for monitoring the activity against the annual plan and budget;
Ensure all reports are compiled by the General Secretary for presentation and Board meetings and the G.A.</t>
  </si>
  <si>
    <t>MGT-14|4</t>
  </si>
  <si>
    <t>The Board, through an internal auditor, or Audit Committee, that monitors the entire administrative process of the NOC.</t>
  </si>
  <si>
    <t>The NOC independently assesses its administration. to achieve this:
Establish an Internal Audit Committee or at least an independent Internal auditor tasked with responsibility to monitor and report on all matters of administration and governance within the NOC;
Ensure that the Internal Audit report is heard at every meeting of the NOC.</t>
  </si>
  <si>
    <t>HR-01|0</t>
  </si>
  <si>
    <t>No staff of any kind</t>
  </si>
  <si>
    <t>HR-01|1</t>
  </si>
  <si>
    <t>The NOC has limited staffing or part time people remunerated for some basic administrative work.</t>
  </si>
  <si>
    <t>The NOC relies heavily on volunteers to carry out its activities and duties but recognises the need to begin to pay people for services. To achieve this:
Identify the activities the NOC needs to carry out;
Determine the income that can be directed towards paying for services;
Assign a specific Board Member to oversee and manage the execution of duties and payment for services.</t>
  </si>
  <si>
    <t>HR-01|2</t>
  </si>
  <si>
    <t>The NOC has at least 1 full time employee to manage the administration of the NOC.</t>
  </si>
  <si>
    <t>In having at least one full time employee the NOC realises that its work is beyond the capacity of volunteers due to its on-going and often intense nature. To achieve this:
Conduct a task and skills audit as a basis for prioritising the person needed;
Develop a job description and person specification and ensure that what is expected of this position is reasonable for the remuneration being offered, while meeting the needs of the NOC;
Assign a specific Board member to monitor and oversee the new employee;
Have the Board member report back regularly on the staff member's activities.</t>
  </si>
  <si>
    <t>HR-01|3</t>
  </si>
  <si>
    <t>The NOC has several paid staff, including a general manager / executive director or CEO.</t>
  </si>
  <si>
    <t>The NOC has established paid staff to carry out administrative work as well as focus on the demands of delegations to major events. To achieve this:
Establish a Job Structure that includes a job description and person specifications for each post in the NOC;
Determine the cost of employing each person, including office space and equipment as well as salaries and on-costs;
Define the job structure and the lines of accountability for each post;
Employ and review their performance annually.</t>
  </si>
  <si>
    <t>HR-01|4</t>
  </si>
  <si>
    <t>The NOC has a full paid staff complement organised in departments.</t>
  </si>
  <si>
    <t>The NOC is a well-structured professional organisation, structured into Departments to carry our specific responsibilities of the NOC. To achieve this:
Draw up job descriptions and person specifications for all voluntary and paid positions in the Organisation;
Establish clear and unambiguous selection criteria for each position in the NOC;
Ensure that selection is made strictly on the basis of documentation available.
Put in place a comprehensive induction and orientation plan for each position in the NOC.</t>
  </si>
  <si>
    <t>HR-02|0</t>
  </si>
  <si>
    <t>We have no volunteers to manage.</t>
  </si>
  <si>
    <t>HR-02|1</t>
  </si>
  <si>
    <t>Everyone looks after their own activities.</t>
  </si>
  <si>
    <t>The NOC has a few willing volunteers who organise themselves when tasked to perform a duty or duties on behalf of the NOC. We recognise the need to manage volunteers. To achieve this:
Identify the activities the NOC needs to carry out;
Recruit enough volunteers to do all the activities;
Make sure that volunteers know what they have to achieve.</t>
  </si>
  <si>
    <t>HR-02|2</t>
  </si>
  <si>
    <t>The Board manages the volunteers directly.</t>
  </si>
  <si>
    <t>All our volunteers report to various Board Members who assume the responsibility to manage their contributions. To distribute responsibility to Board members more formally:
Allocate volunteers into groups or to specific activities;
Assign a Board member to each group or particular activity;
Ensure that the Board member knows what the volunteers have to achieve;
Have the Board member report back regularly on volunteer activities and in particular administrative functions carried out by them.</t>
  </si>
  <si>
    <t>HR-02|3</t>
  </si>
  <si>
    <t>The NOC has a specialist volunteer or member of staff who manages volunteers.</t>
  </si>
  <si>
    <t>The NOC has organised much of its administration to be taken care of by either volunteers or part-time/full time staff. These functions are now overseen by either the Secretary General or a CEO. To achieve this:
Draw up a job description and person specification for a post to manage the volunteers;
Recruit a volunteer or staff member to this post;
Ensure that they have the right skills and know what is required;
Review their performance regularly.</t>
  </si>
  <si>
    <t>HR-02|4</t>
  </si>
  <si>
    <t>The NOC has a paid Volunteer Manager.</t>
  </si>
  <si>
    <t>The NOC has so many programmes that require full time attention that it is necessary to employ a Volunteer Manager. To achieve this:
Draw up a job description and person specification for a Volunteer Manager;
Recruit someone with the rights skills and abilities for the post;
Evaluate their performance regularly.</t>
  </si>
  <si>
    <t>HR-03|0</t>
  </si>
  <si>
    <t>HR-03|1</t>
  </si>
  <si>
    <t>Competencies are limited to existing volunteers and the elected members of the Board.</t>
  </si>
  <si>
    <t>To know what competencies the NOC has available:
Know what competencies volunteers can make available to the NOC;
Use these in the most appropriate way to support the work of the NOC.</t>
  </si>
  <si>
    <t>HR-03|2</t>
  </si>
  <si>
    <t>We draw upon significant external support in order to get all the competencies the NOC needs.</t>
  </si>
  <si>
    <t>Our staff and volunteers do lack in many of the competencies needed to administer and govern our NOC. To meet gaps in existing competencies:
Carry out an audit of the competencies in the NOC and compare it to what is required;
Identify where missing competencies can be obtained external to the NOC;
Seek out development opportunities for personnel within the NOC, to address gaps between what competencies the NOC has and what it requires.</t>
  </si>
  <si>
    <t>HR-03|3</t>
  </si>
  <si>
    <t>We make limited use of external support as most competencies are available from within the NOC.</t>
  </si>
  <si>
    <t>The NOC is completely established but still plans to obtain the resources and capabilities that we will need to meet our future needs. To achieve this::
Continue to monitor the competencies available to the NOC to anticipate when development might be required;
Anticipate future competencies and establish a plan for these to be met.</t>
  </si>
  <si>
    <t>HR-03|4</t>
  </si>
  <si>
    <t>All required competencies can be found within the NOC, although we continuously seek additional complementary competencies.</t>
  </si>
  <si>
    <t>The NOC is completely established but still plans to obtain the resources and capabilities that we will need to meet our future needs. To achieve this:
Continue to monitor the competencies available to the NOC to anticipate when development might be required;
Anticipate future competencies and establish a plan for these to be met.</t>
  </si>
  <si>
    <t>HR-04|0</t>
  </si>
  <si>
    <t>Never</t>
  </si>
  <si>
    <t>HR-04|1</t>
  </si>
  <si>
    <t>We rarely consider the skills we may need.</t>
  </si>
  <si>
    <t>The NOC is aware of the need to identify the skills needed to achieve its objectives. To achieve this:
Identify what activities the NOC has to carry out;
Know what skills the NOC has access to through its Board and the general membership;
Seek to recruit people with the skills needed or implement training programmes for exiting personnel.</t>
  </si>
  <si>
    <t>HR-04|2</t>
  </si>
  <si>
    <t>We do an occasional ad hoc review of the NOC's skills needs.</t>
  </si>
  <si>
    <t>We are aware of the need to be sure that the NOC has the skills it needs. To achieve this::
Identify the activities the NOC has to carry out;
Identify the skills needed to do these activities;
Identify the gap between the skills the NOC has access to and the skills needed;
Develop and implement a plan to close this gap.</t>
  </si>
  <si>
    <t>HR-04|3</t>
  </si>
  <si>
    <t>We carry out a quadrennial audit of skills needed by the NOC.</t>
  </si>
  <si>
    <t>The NOC completes a quadrennial review of the skills and competencies formally that are available to the NOC. To achieve this:
Schedule an quadrennial skills audit;
Where possible make use of a specialist in HRM to assist with this process;
Address any weaknesses that appear in the audit either by further recruitment or training and induction.</t>
  </si>
  <si>
    <t>HR-04|4</t>
  </si>
  <si>
    <t>We do an annual audit of skills needed and develop a job structure from these.</t>
  </si>
  <si>
    <t>The NOC completes an annual review to assess the skills available to the NOC, To achieve this:
Schedule an annual skills audit;
Address any weaknesses in the audit;
Modify the existing job structure to account for new skills needed.</t>
  </si>
  <si>
    <t>HR-05|0</t>
  </si>
  <si>
    <t>We do not</t>
  </si>
  <si>
    <t>HR-05|1</t>
  </si>
  <si>
    <t>We recruit and select by word of mouth and through personal contact.</t>
  </si>
  <si>
    <t>The NOC has yet to properly consider where to source its talent from beyond existing immediate networks. To achieve this:
Be aware of the role requirements of positions within the NOC;
Seek people who can fill these roles, by enquiring informally through existing personal networks.</t>
  </si>
  <si>
    <t>HR-05|2</t>
  </si>
  <si>
    <t>We have established job descriptions for our basic roles, but rely on volunteers to fill positions.</t>
  </si>
  <si>
    <t>The NOC identifies where people with the needed skills and competencies are. within the broader membership and seeks to attract them into the organisation. To achieve this:
Be able to describe what roles are needed in the NOC;
Use this information to recruit known contacts to work with the NOC;
Establish a range of incentives that might be attractive to people to make them interested in helping the NOC
Pass this information on to others to help with recruitment.</t>
  </si>
  <si>
    <t>HR-05|3</t>
  </si>
  <si>
    <t>The NOC seeks to recruit beyond its immediate network of members and friends.</t>
  </si>
  <si>
    <t>The NOC recognises the need to seek out people with skills and competencies which are not available from within its immediate networks. To achieve this:
Develop appropriate documentation to support the recruitment process including at least a job description and person specification for each required role;
Use this documentation to recruit people to work with the NOC, who are not known to the NOC or its contacts.</t>
  </si>
  <si>
    <t>HR-05|4</t>
  </si>
  <si>
    <t>Best candidates for the positions are sought both, internally and external to the NOC.</t>
  </si>
  <si>
    <t>Our Recruitment and selection of people is based on best practices in human resource management to put the right people in the right place at the right time. To achieve this:
Develop a comprehensive recruitment policy that attracts candidates from all appropriate sources;
Establish a Human Resources Department within the NOC tasked to recruit and support all staffing needs of the NOC;
Advertise widely but in a targeted way to specific external sources of people with the required competencies as well as within the NOC and appoint according to properly established selection criteria.</t>
  </si>
  <si>
    <t>HR-06|0</t>
  </si>
  <si>
    <t>We have no procedures.</t>
  </si>
  <si>
    <t>HR-06|1</t>
  </si>
  <si>
    <t>Nothing is documented, recruitment is informal.</t>
  </si>
  <si>
    <t>The NOC has yet to properly consider where to source its talent from beyond existing immediate networks. To achieve this:
Be aware of the requirements of the roles within the NOC;
Seek people who can fill these roles;
Encourage people who have done these jobs to help out the new members as much as possible.</t>
  </si>
  <si>
    <t>HR-06|2</t>
  </si>
  <si>
    <t>We have some generic guidelines for recruitment of volunteers and staff.</t>
  </si>
  <si>
    <t>While most of our positions are filled by volunteers, we are seeing some remuneration for some positions. We are also recognising the need to be selective of our volunteers and the need to match people with the skills and competencies needed for each position. To achieve this:
Create a sub-committee to be responsible for recruitment that reports to the Board;
Provide training in recruitment and selection for the sub-committee;
Document general guidelines to support recruitment activities, which consider how people might be recruited;
Use the guidelines to recruit staff and volunteers.</t>
  </si>
  <si>
    <t>HR-06|3</t>
  </si>
  <si>
    <t>The NOC has agreed documented guidelines in place for the recruitment of volunteers and staff.</t>
  </si>
  <si>
    <t>The NOC has established human resource management procedures to better recruit, select and support staff and volunteers in our workforce. To achieve this:
Appoint a member of staff or specialist volunteer to oversee recruitment;
Develop guidelines that cover all aspects of recruitment, such as sources of candidates, roles and responsibilities in the recruitment process, how to attract candidate and recruitment procedures to be followed;
Provide training for all involved in recruitment activities;
Use the guidelines to carry out all recruitment activities.</t>
  </si>
  <si>
    <t>HR-06|4</t>
  </si>
  <si>
    <t>The NOC has a recruitment framework including a recruitment plan aligned to our strategic plan.</t>
  </si>
  <si>
    <t>The NOC has a Human Resources Department that reviews our strategic plan and designs an appropriate job structure to help meet its objectives and ambitions. To achieve this:
Establish a HR department to support recruitment activities and the development and revision of procedures;
Develop a framework that covers all aspects of recruitment practice, including an evaluation of current and future recruitment needs.
Monitor and revise the framework when appropriate.</t>
  </si>
  <si>
    <t>HR-07|0</t>
  </si>
  <si>
    <t>We do not have any.</t>
  </si>
  <si>
    <t>HR-07|1</t>
  </si>
  <si>
    <t>Nothing written, we explain jobs verbally.</t>
  </si>
  <si>
    <t>The NOC has a rough idea what each role in the organisation is but will tend to let people go about it in the way they want to and modify to suit their own strengths. To achieve this:
As a Board, discuss and agree what is required by each of the roles in the NOC;
Use this to describe jobs to potential candidates;
Encourage people to take on jobs that they feel are suited to their knowledge, skills and experience.</t>
  </si>
  <si>
    <t>HR-07|2</t>
  </si>
  <si>
    <t>Job descriptions are a written description of key tasks for specific staff and Board members.</t>
  </si>
  <si>
    <t>The NOC has developed basic job descriptions that list the key tasks that need to be done for each role within the NOC. These lists are not particularly well thought out but are based on experience in undertaking the roles by past people involved in the NOC To achieve this:
Document what each of the roles in the NOC are required to do in a job description;
Communicate these to all candidates and to those in post;
Use job descriptions to recruit and/or orientate new Board members, staff and volunteers.</t>
  </si>
  <si>
    <t>HR-07|3</t>
  </si>
  <si>
    <t>Job descriptions contain a description of key tasks and the basic qualifications and experience needed for all paid staff but not for Board members.</t>
  </si>
  <si>
    <t>The NOC recognises the need to include Board members positions with Job Descriptions. To achieve this:
Expand documented job descriptions to include basic qualifications.
Conduct a comprehensive task analysis of each Board position;
Use this information to formulate a specific Job Description for each Board position;
Encourage members to seek positions on the Board that match their skills.</t>
  </si>
  <si>
    <t>HR-07|4</t>
  </si>
  <si>
    <t>The NOC has full job descriptions and person specifications which include competencies required, responsibilities, reporting lines and tasks for all staff and Board members.</t>
  </si>
  <si>
    <t>These are developed by our HR Department and approved by the Board. To achieve this:
Regularly revise and review tasks and skills needed by the NOC;
Expand documented job descriptions to include competencies, responsibilities and accountabilities for all roles within the NOC - both paid and voluntary.</t>
  </si>
  <si>
    <t>HR-08|0</t>
  </si>
  <si>
    <t>HR-08|1</t>
  </si>
  <si>
    <t>No procedures – direct appointments made of people we know.</t>
  </si>
  <si>
    <t>In reality we are happy to accept anyone who wants to volunteer but recognise the need to select people who can do the required work. To achieve this:
Be clear about what is required from each role within the NOC;
Use this information to choose appropriate people from our immediate personal network to work for the NOC.</t>
  </si>
  <si>
    <t>HR-08|2</t>
  </si>
  <si>
    <t>We carry out an informal interview of candidates.</t>
  </si>
  <si>
    <t>With a basic knowledge of what we want people to do, we carry out interviews to help select and choose people who are interested in working at the NOC. To achieve this:
Appoint a sub-committee responsible for selecting candidates;
Provide training in selection for this sub-committee;
Use documented job descriptions to hold informal interviews/discussion with potential candidates;
Appoint the candidate that best fits the job description.</t>
  </si>
  <si>
    <t>HR-08|3</t>
  </si>
  <si>
    <t>We have detailed selection criteria and interview candidates based on these.</t>
  </si>
  <si>
    <t>These are documented and where possible we have developed a person specification that is used to help with the selection of candidates for positions at the NOC. To achieve this:
Appoint a member of staff or specialist volunteer to take charge of selection and have them report to the Board;
Provide training for all involved in selection;
Develop selection criteria using the job descriptions and use these to interview candidates;
Appoint the candidate that best fits the job description.</t>
  </si>
  <si>
    <t>HR-08|4</t>
  </si>
  <si>
    <t>There is a comprehensive selection process that uses a number of mechanisms for making selection decisions.</t>
  </si>
  <si>
    <t>Selecting people who apply for positions at the NOC is a complex process driven by our HR Department and which employs a number of selection techniques to choose the most appropriate candidates. To achieve this:
Selection should be guided by the HR department and supported by appropriate documentation;
All candidates should be assessed by a range of mechanisms, including, interview, presentations, Completion of tasks and any other mechanism that helps to identify the knowledge of competencies that candidates possess;
All appointments should be on the basis of fit with the job description, the person specification and the job requirements.</t>
  </si>
  <si>
    <t>HR-09|0</t>
  </si>
  <si>
    <t>HR-09|1</t>
  </si>
  <si>
    <t>Nothing is documented, we manage informally.</t>
  </si>
  <si>
    <t>The NOC understands what HR procedures may be required but has little resources to be able to dedicate towards establishing them. To achieve this:
As a Board discuss what HR procedures are appropriate for the NOC;
Regularly review these procedures and consider what can be implemented with the limited resources available;
Consider recruiting someone with HR management skills onto the board or in an advisory capacity to the NOC.</t>
  </si>
  <si>
    <t>HR-09|2</t>
  </si>
  <si>
    <t>We have simple guidelines covering some aspects of HR management, including staff contracts, but have yet to consider this seriously.</t>
  </si>
  <si>
    <t>Staff are appointed following some procedures but there is no systematic HR process in place. volunteers are accepted and welcomed regardless of qualifications but some effort does go into supporting volunteers when they take up roles. To achieve this:
Appoint a Board member to be responsible for Human Resources Management;
Document the key recruitment and selection procedures that the Board thinks is appropriate for the NOC;
Document key staff development and management procedures;
Continue to recruit and select staff and volunteers using some process but advise the Board to consider documenting and approving a more systematic HRM process;
Communicate these procedures to all appropriate stakeholders.</t>
  </si>
  <si>
    <t>HR-09|3</t>
  </si>
  <si>
    <t>We have a HR policy that deals with the key issues of HR, such as recruitment and selection. All staff members have a contract.</t>
  </si>
  <si>
    <t>Simple paperwork has been established with the help of a HR specialist to to support a simple recruit, select and train strategy for handling our needs. To achieve this:
Appoint a member of staff or specialised volunteer to take charge of HR and report to the Board;
Complete documented procedures for the key aspects of HR management that are used to attract, recruit and manage staff and volunteers;
Communicate these procedures to all appropriate stakeholders.</t>
  </si>
  <si>
    <t>HR-09|4</t>
  </si>
  <si>
    <t>The NOC has a HR framework that covers all aspects of HR management, such as recruitment, selection, appraisal, discipline procedures and rewards.</t>
  </si>
  <si>
    <t>The HR Department of the NOC is now fully established and supported by well documented procedures for all aspects of HRM. To achieve this:
Develop a comprehensive HR management framework;
Establish a Human Resources Department that looks after all aspects of H.R.M. at the NOC using the framework as its guide;
Communicate this framework to all appropriate stakeholders.</t>
  </si>
  <si>
    <t>HR-10|0</t>
  </si>
  <si>
    <t>HR-10|1</t>
  </si>
  <si>
    <t>Individuals decide what development they need and arrange it.</t>
  </si>
  <si>
    <t>We encourage individuals to seek out opportunities for personal development and talk to people about their roles in order to better understand them. To achieve this:
Speak to volunteers and Board members and ask them what would help them to perform their role better;
Where possible, arrange mentoring using past experienced people or other organisations to meet with and assist new Board members and volunteers;
Encourage Board members and volunteers to arrange personal development if they want it and provide support where possible.</t>
  </si>
  <si>
    <t>HR-10|2</t>
  </si>
  <si>
    <t>The NOC takes up external opportunities for development when they arise. (e.g. Solidarity funded courses).</t>
  </si>
  <si>
    <t>The NOC provides limited opportunities for development usually made available through Olympic Solidarity or possibly from a government agency or NGO working in the country. To achieve this:
Carry out an audit of the Board to identify development needs;
Identify external training opportunities to meet these development needs;
Communicate these opportunities as they arise and encourage staff and volunteers to take part;
Provide appropriate incentives for people to seek out and take part in training courses;
Commence work on establishing training programmes from within the organisation.</t>
  </si>
  <si>
    <t>HR-10|3</t>
  </si>
  <si>
    <t>Staff/volunteers are offered development opportunities in order to fill gaps in the expertise that the NOC has access to.</t>
  </si>
  <si>
    <t>The NOC has established training programmes in administration and has built on externally provided programmes in coaching and officiating and is working towards training of presenters and programme coordinators who can lead courses in our country where and when needed. To achieve this:
Carry out regular skills audits to identify training needs for Board members and the rest of the NOC;
Identify internal and external opportunities for meeting these training needs;
Consider training personnel within the NOC as trainers and facilitators to conduct introductory courses in either or all of coaching, officiating and administration;
Support staff and volunteers to take up training opportunities;
Lobby external agencies such as educational institutions and government to establish a national sport education programme;
Evaluate the impact of the training on the NOC.</t>
  </si>
  <si>
    <t>HR-10|4</t>
  </si>
  <si>
    <t>Personnel development is based on mutual agreement of what is best for both the individual and the organisation.</t>
  </si>
  <si>
    <t>The NOC has as part of its HR Framework, a fully developed induction and training programme for all staff and volunteers who contribute to its work. To achieve this:
Develop a process that allows individual and NOC needs for development to be identified;
Agree on what is required to best meet both sets on interests;
Identify and take up opportunities for personnel development that are provided either internally or external to the NOC;
Evaluate the impact of this on the NOC.</t>
  </si>
  <si>
    <t>HR-11|0</t>
  </si>
  <si>
    <t>HR-11|1</t>
  </si>
  <si>
    <t>We informally recognise the efforts that people make</t>
  </si>
  <si>
    <t>To acknowledge effort:
Each Board meeting recognise the efforts that volunteers have made for the NOC.</t>
  </si>
  <si>
    <t>HR-11|2</t>
  </si>
  <si>
    <t>We pay expenses and make small awards of recognition for volunteers. Staff members receive a salary, however social benefits/insurances may not always be paid.</t>
  </si>
  <si>
    <t>To provide some rewards:
Generate funds to ensure that expenses can be met for activities that are NOC related;
Develop a mechanism by which expenses can be accounted for and claimed;
Establish a procedure for recognising work of significant benefit to the NOC;
Hold a 'ceremony' that recognises that work.</t>
  </si>
  <si>
    <t>HR-11|3</t>
  </si>
  <si>
    <t>We recognise the efforts of volunteers and staff are paid for services, including social benefits/insurances and performance bonuses where relevant and appropriate.</t>
  </si>
  <si>
    <t>To recognise effort:
Ensure that staff are paid appropriately for the work they do;
Develop a volunteer reward scheme and ensure it is appropriate for the NOC and its volunteers;
Implement and evaluate the scheme.</t>
  </si>
  <si>
    <t>HR-11|4</t>
  </si>
  <si>
    <t>We have incentives and benefits for staff and volunteers.  Fully developed payment policy regularly revised.</t>
  </si>
  <si>
    <t>To have a range of incentives and rewards:
Develop packages of incentives that are appropriate to the NOC and to the staff they are applicable to;
Monitor the effect of these packages and amend where appropriate.</t>
  </si>
  <si>
    <t>HR-12|0</t>
  </si>
  <si>
    <t>We have never considered it.</t>
  </si>
  <si>
    <t>HR-12|1</t>
  </si>
  <si>
    <t>We are aware of the issues.</t>
  </si>
  <si>
    <t>The NOC is aware of the need develop a better understanding of the issues and informally seeks to determine the situation that currently exists within the organisation. To achieve this:
Provide training in equality and diversity for all Board members;
Conduct a series of workshops across the organisation to examine the current situation in the organisation with respect to diversity and equality;
Ensure that the NOC is compliant with the equality and diversity laws of the country;
Be aware of the ethicity and gender balance of the organisation as well as the needs of any minority groups that may exist.</t>
  </si>
  <si>
    <t>HR-12|2</t>
  </si>
  <si>
    <t>We have strategies for diversity and equality that are a response to external requirements.</t>
  </si>
  <si>
    <t>While we have not addressed all aspects of diversity and equality in the organisation we have adopted guidelines from other agencies that have led to simple strategies for recognising and avoiding clear bias particularly with respect to team selections and selection of volunteers, staff and board members. To achieve this:
Be aware of what external stakeholders require in terms of equality and diversity;
Ensure that the NOC knows how to meet these requirements;
Document strategies for meeting the requirements of external stakeholders.</t>
  </si>
  <si>
    <t>HR-12|3</t>
  </si>
  <si>
    <t>We have proactive strategies to promote diversity and equality and select on merit as much as possible.</t>
  </si>
  <si>
    <t>The NOC pays a lot of attention to this issue and actively addresses issues of equality and diversity. To achieve this:
Appoint a Board 'champion' who is responsible for working with staff and volunteers to promote equality and diversity;
Provide equality and diversity training for all of the NOC;
Develop documented strategies that promote equality and diversity in all of the NOC's activities;
Communicate these widely to all stakeholders.</t>
  </si>
  <si>
    <t>HR-12|4</t>
  </si>
  <si>
    <t>The NOC is an equal opportunity employer.</t>
  </si>
  <si>
    <t>To be an equal opportunity employer:
Audit all areas of the NOC to ensure that there is no bias for or against existing and potential employees and members based on the protected characteristics including; National origin/enthnicity; religion; age; gender; or medical history;
Establish a working group or commission that specifically monitors the NOC for all matters pertaining to equal opportunities, especially for the selection of teams and delegations representing the NOC and the Country as a whole;
Ensure that all staff and volunteers promote equality and diversity in all of their actions for the NOC.</t>
  </si>
  <si>
    <t>FIN-01|0</t>
  </si>
  <si>
    <t>No formal oversight.</t>
  </si>
  <si>
    <t>FIN-01|1</t>
  </si>
  <si>
    <t>The elected Board through the Treasurer.</t>
  </si>
  <si>
    <t>To establish the Treasurer to oversee the finances:
Appoint a Board member to be responsible for all financial matters;
Include the roles and responsibilities of this position - the Treasurer- in the Constitution or in its By-Laws;
Ensure that the Treasurer has the necessary financial skillset;
Ensure that the Treasurer reconciles the finances and reports finances to the S.G. &amp; Board when the Board meets.</t>
  </si>
  <si>
    <t>FIN-01|2</t>
  </si>
  <si>
    <t>A Finance Committee consisting of the Treasurer, Chair and one other Board member oversees finances on behalf of the Board.</t>
  </si>
  <si>
    <t>The NOC has established a Finance Committee to oversee the finances of the NOC on behalf of the Board although the Board maintains its absolute responsibility for this function. To achieve this:
Appoint a Committee consisting of, at least, the Treasurer, the Chair and one other Board member to oversee the finances of the NOC;
Include the roles and responsibilities of this committee in the Constitution or in its By-Laws;
Ensure that the Finance Committee have the required financial skillset to support the NOC;                                                                                   Task the Finance Committee to develop financial processes and systems so that the NOC can operate with best practice;
Ensure that the Finance Committee reports to the Board regularly on the balance of funding available for planned activities;
Task this Committee with the responsibility of drafting an annual budget based on the planned activities of the NOC.</t>
  </si>
  <si>
    <t>FIN-01|3</t>
  </si>
  <si>
    <t>A Board based Finance Committee established by Terms of Reference that includes at least one independent external member.</t>
  </si>
  <si>
    <t>The NOC has established a Finance Committee to oversee the finances of the NOC on behalf of the Board although the Board maintains its absolute responsibility for this function. To achieve this:
Appoint a Committee consisting of, at least, the Treasurer, the Chair and one other Board member to oversee the finances of the NOC;
Include the roles and responsibilities of this committee in the Constitution or in its By-Laws;
Ensure that the Finance Committee has the required financial skillset to support the NOC;                                                                                                                        Task the Finance Committee to develop financial processes and systems so that the NOC can operate with best practice;
Ensure that the Finance Committee reports to the Board regularly on the balance of funding available for planned activities;
Task this Committee with the responsibility of drafting an annual budget based on the planned activities of the NOC.</t>
  </si>
  <si>
    <t>FIN-01|4</t>
  </si>
  <si>
    <t>A Board appointed Finance and or Audit Committee has been established that oversees and reports to the Board.</t>
  </si>
  <si>
    <t>The NOC has established an independent Board appointed Finance Committee, that provides financial oversight and fiscal advice to the NOC Board including the preparation and validity of the annual audit. To achieve this:
Establish a Finance committee with the necessary skillset;
Agree on the Terms of Reference (TOR) and define the role of the Finance Committee;
Review financial procedures and risk management on an on-going basis and advise the Board on all financial matters, including those raised by the annual Audit;
Ensure that the NOC remains solvent and maintains its ability to provide services to its members and the sporting community.</t>
  </si>
  <si>
    <t>FIN-02|0</t>
  </si>
  <si>
    <t>No specific management responsibility.</t>
  </si>
  <si>
    <t>FIN-02|1</t>
  </si>
  <si>
    <t>Treasurer.</t>
  </si>
  <si>
    <t>The Board allocates responsibility for managing finances to an elected Treasurer who has either stood for this office or has been selected by the elected Board to undertake this role because of their specific skills in this area. To achieve this:
Establish a Treasurer position on the Board;
Appoint or elect a suitably qualified person to the position;
In conjunction with the General Secretary, the Treasurer manages and oversees the writing of cheques and depositing of funds;
Ensure that the Treasurer periodically collects the financial information and bank statements from the NOC and prepares financial information for the Board.
Note: at this level the Treasurer is part of a 'management board' structure.</t>
  </si>
  <si>
    <t>FIN-02|2</t>
  </si>
  <si>
    <t>Treasurer supported by an external accountant.</t>
  </si>
  <si>
    <t>The NOC spreads the responsibility for managing finances, recognising the need for independent expertise by seeking the services of an accountant, either voluntarily or partly paid. To achieve this:
Establish a committee that is responsible for the finances of the NOC, reporting to the Treasurer;
Appoint suitably qualified people to sit on the committee;
Appoint an external Accountant who is independent of the NOC and its key personnel
Task the committee to acquit financial statements and prepare reports for S.G. and Board when requested and note that  the Accountant may be asked from time to time to come to Board meetings and answer specific questions;
Task the committee and external auditors to prepare the Annual Audit before the AGM .
Ensure the Board has an overview of the finances on a regular basis and take 'whole board' responsibility for the financial report.</t>
  </si>
  <si>
    <t>FIN-02|3</t>
  </si>
  <si>
    <t>Accounting Technician, Accountant or Finance Manager employed by the NOC, reporting to the S.G. and Finance Committee (F.C.).</t>
  </si>
  <si>
    <t>The NOC now allocates responsibility for managing finances to a paid member of staff, Finance Manager (F.M.)who reports to the Treasurer and likely to the General Secretary on a regular basis. To achieve this:
Create a post that requires appropriate qualifications, experience and competencies to manage the NOC's finances;
Appoint a suitably qualified person to this post;
Ensure that the roles and responsibility of the F.M., are clearly documented and that there is an agreed and signed employee contract;
Task the F.M. to record and prepare all financial information periodically or when required by the S.G. and the F.C.;
The F.M. discusses financial matters with managers and S.G. monthly or bi-monthly ensuring that the budget spend and income to be received are all on track as projected in the agreed financial plan;
Ensure that the F.M. in conjunction with the S.G.  present timely financial reports for discussion  with the F.C.;
Task the F.M. to assist the F.C. to review financial information and submissions for Board papers and assist the F.C. with annual audit requirements and preparations;
Ensure that the F.M. reports to the Treasurer and that the Board has a clear understanding of the NOC's finances prior to submission of the Annual report to the AGM.</t>
  </si>
  <si>
    <t>FIN-02|4</t>
  </si>
  <si>
    <t>The NOC has a finance department that develops, manages and reports all finances and financial forecasts for the NOC.</t>
  </si>
  <si>
    <t>At this level of development the Finance Department led by the Finance Manager (F.M.) provides financial oversight and fiscal advice to the NOC Board.  One of its core responsibilities is to ensure the organization is operating responsibly with the financial resources it has, in order to remain solvent and provide the NOC with the financial ability to carry out programs and services to its members and  sporting community. To achieve this:
Create a Finance Director post that requires appropriate qualifications, experience and competencies to manage the NOC's finances;
Appoint a suitably qualified person to this post;
Provide advice to all areas of the NOC on the type of financial reporting they require
Ensure that the Finance Director reports regularly to the Finance Committee (F.C.) and the Board and that the Board has a clear understanding of the NOC's finances, financial and risk management procedures.</t>
  </si>
  <si>
    <t>FIN-03|0</t>
  </si>
  <si>
    <t>No procedures</t>
  </si>
  <si>
    <t>FIN-03|1</t>
  </si>
  <si>
    <t>The NOC has a few procedures and controls that are not documented but are well understood.</t>
  </si>
  <si>
    <t>This usually means that verbal payment and NOC activity procedures are in place, driven by the Treasurer and S.G. To achieve this:
The Bank requires two signatures for cheques, and transfer of funds;
President and Treasurer  are the people who can sign for cheques and fund transfers.
The S.G., Treasurer and President verbally advise what payments are to be  made, and come to the office to sign cheques, and fund transfer forms;
Invoices are paid and fund transfers are filed at the NOC office;
The Treasurer records all financial transactions and advises the Board on what has been paid and what money is available at the bank;
The S.G. &amp; Treasurer receive deposit confirmations and advise on fund deposits verbally;
After a Board meeting the S.G. advises verbally when a project can commence.</t>
  </si>
  <si>
    <t>FIN-03|2</t>
  </si>
  <si>
    <t>Some written guidelines established to cover our financial procedures. These follow established accounting practices.</t>
  </si>
  <si>
    <t>Financial control procedures are semi formalized and issued through the Board and the Treasurer, (F.C. if activated). To achieve this:
The Board, through the Treasurer and F.C. (if activated) should implement financial controls around payments. Two signatures for cheques, and transfer of funds;
The S.G., President and Treasurer are the designated NOC financial signatories.;
The S.G. should authorise all payment requests;
Payments are requested via a payment voucher system;
The S.G. should meet regularly with Treasurer and or President to sign cheques and fund transfers;
The Treasurer should collect and record all financial records from the NOC and  sends to external Accountant to prepare financial statements for the Board and Secretary General (S.G.) to review;
The Treasurer should present financial statements  and available funds balances to the S.G. and F.C. when requested. The Board can then discuss with the S.G. what projects can commence with funds available.
The Board and/or the Treasurer should note all petty cash requirements, allocation and distribution of those payments. The S.G. is responsible for ensuring all receipts are received from any petty cash payments and reporting any concerns back to the F.C.</t>
  </si>
  <si>
    <t>FIN-03|3</t>
  </si>
  <si>
    <t>The NOC has a financial policy and procedures manual that guides board, management and staff on how to operate their NOC's finances.</t>
  </si>
  <si>
    <t>NOC financial controls are formalized and managed by an employed designated Financial person, the controls are overseen by the Finance Committee (F.C.) and the General Secretary (S.G.). To achieve this:
Establish comprehensive financial guidelines that set out the processes and systems that guide the NOC on how to financially operate;
Ensure the NOC understands that the guidelines assist in managing financial risks. The guidelines state who can operate finances, how the Organisation can purchase goods and services, deposit and receive funds, who can authorise the payments of goods and services, how and when the financial information will be presented, recorded and filed;
The guidelines should clearly describe the payment approval process and what is deemed approved, authorised and what is not;
The guidelines must be made available to all staff, and it is the responsibility of the S.G. and F.M. ensure all guidelines are practiced and followed;
The roles and responsibilities of the F.M. and the S.G. along with the annual plan should set out all financial compliance requirements and timelines for the NOC (this includes the annual audit).</t>
  </si>
  <si>
    <t>FIN-03|4</t>
  </si>
  <si>
    <t>The NOC regularly reviews financial risks &amp; communicates financial policies and procedures, delegated authorities, segregation of duties, to all staff, management and Board.</t>
  </si>
  <si>
    <t>The NOC delivers its day to day operations in a best practice financial framework through designated authorities driven by segregation of duties, along with comprehensive financial guidelines which set out the processes and systems by which guides the NOC on how to financially operate. Robust financial risk identification, monitoring and mitigation processes should now be in place which are reviewed, monitored and documented regularly. To achieve this:
The NOC should understand the importance of the guidelines and the regular monitoring of these guidelines in order to promote business  continuity safely whilst managing financial risks.;
The S.G. and F.M. should regularly review and report to the F.C. on risk mitigation and newly implemented processes;
The F.M. and S.G. should be fully conversant with all required financial compliance and timelines for the NOC (this includes financial planning, annual audit, budget, financial forecasts and all financial control systems) and are assessed on the meeting all of these requirements each year as part of their performance review.</t>
  </si>
  <si>
    <t>FIN-04|0</t>
  </si>
  <si>
    <t>No planning</t>
  </si>
  <si>
    <t>FIN-04|1</t>
  </si>
  <si>
    <t>We have no formal planning process; the NOC reacts to opportunities directed by the S.G. and Board.</t>
  </si>
  <si>
    <t>The S.G. &amp; Board verbally advise what grant funds the NOC has available to spend. To achieve this:
As a Board, discuss how finances should be allocated;
Make these allocations and monitor;
Regularly review the external environment for funding opportunities and react where appropriate.</t>
  </si>
  <si>
    <t>FIN-04|2</t>
  </si>
  <si>
    <t>We have planned annual activities approved formally by the S.G. and Board that go ahead if there is funding.</t>
  </si>
  <si>
    <t>The Treasurer or the F.C. with the S.G. lists funds and grants available at Board meetings so the Board can decide what activities can take place. The Board formally minute all financial discussions. To achieve this:
The Treasurer and or the F.C., with the S.G. should develop a budgeting process that allocates funds to key areas of the NOC's activities and present to the Board;
The Board should discuss the activity objectives and formally approve or reject budgets;
Allocate funding to these areas and monitor expenditure against the allocation;
Approved budgets should be sent with grant applications to funders;
The Treasurer should reconcile finances and reports grant finances to the F.C., Board and specific funding agents.
The S.G. should complete activity reports and advises Board and funders if all activity objectives have been met.</t>
  </si>
  <si>
    <t>FIN-04|3</t>
  </si>
  <si>
    <t>An annual Budget is formally presented to the AGM by the Board that is loosely aligned to the NOC Strategic Plan.</t>
  </si>
  <si>
    <t>The NOC Board has at least an annual to 18-month financial focus. The F.C. assists the S.G. and Management to analyse the action plan to achieve the annual to 18-month financial results. To achieve this:
A draft annual budget should be prepared by the S.G. and F.M. and discussed with the F.C. who approve it for submission to the Board, at least two months prior to AGM;
The budget should be appropriate for the income and activities of the NOC and cognisant of the priorities as set out in the strategic plan;
The Members must approve annual budget at AGM and be informed as to how it will be monitored;
The S.G., Board and staff should administrate the budget, following all guidelines set out in the financial policies and procedures;
The F.C. should review accuracy, progress and analysis of budget and activity income and spend and reports to the Board.</t>
  </si>
  <si>
    <t>FIN-04|4</t>
  </si>
  <si>
    <t>Quadrennial financial forecasting and detailed annual budgeting process and procedures that are completely aligned to the Annual Strategic Plan and the Quadrennial strategic objectives.</t>
  </si>
  <si>
    <t>An important focus of the NOC is financial stability and sustainability.  The NOC plans quadrennially and performance appraisals are based on these financial strategic objectives being met within the timelines set out in each years' annual plan. To achieve this:
Develop a financial plan that sets out how the strategic plan will be financed;
Provide a detailed 12 month cash forecast should accompany the annual budget;
Provide a cash forecast which should accompany the quadrennial forecast;
The annual budget which should focus on annual strategic objectives and be approved by the F.C. for submission to Board;
Get the approval of the Members for the annual budget;
Implement the budget and monitor on a regular basis through the F.C.;
The Board must be  formally updated on all financial and activity progress at each Board meeting;
The S.G. should have his performance appraised by the Board on objectives being met. S.G. in turn appraises staff on objectives being met.</t>
  </si>
  <si>
    <t>FIN-05|0</t>
  </si>
  <si>
    <t>FIN-05|1</t>
  </si>
  <si>
    <t>The Treasurer produces an Income Statement/Profit and Loss or Statement of Financial Performance when requested by the S.G. and Board.</t>
  </si>
  <si>
    <t>Basic financial income and expense reporting is carried out when requested by the Board. To achieve this:
Keep clear records of income and expenditure;
The Treasurer should produce an annual income and expenditure statement when requested and report on this to the Board and at the G.A..</t>
  </si>
  <si>
    <t>FIN-05|2</t>
  </si>
  <si>
    <t>The Treasurer and S.G. produce an Income Statement/Profit and Loss or Statement of Financial Performance and a Balance Sheet at least three times a year for the Board and annually for the membership.</t>
  </si>
  <si>
    <t>Quarterly financial performance and position reporting is provided by the Treasurer with the assistance of an external accountant. To achieve this:
The Treasurer with the assistance of an external Accountant should record and produce  financial statements for the F.C., the S.G. and the Board when requested and on a quarterly basis;
Report on this to the Board and at the G.A..
The S.G. and the F.C. (which should now be activated) should discuss the financial statements and activities that are represented in the statements. ready for presentation to the board;
The Treasurer on behalf of the F.C. and S.G. should report to the Board updates on potential grants and funds received and expended on activities.</t>
  </si>
  <si>
    <t>FIN-05|3</t>
  </si>
  <si>
    <t>The NOC produces full financial statements (balance sheet, profit and loss) which are reviewed by the Finance Committee and are presented and accepted by the Board regularly.</t>
  </si>
  <si>
    <t>Bi-monthly comprehensive financial reporting is a requirement of the NOC's annual financial process and planning. To achieve this:
The S.G. and F.M. should produce regular financial information, forecasts and complete financial statements for review by the F.C., either bi-monthly or quarterly;
The F.C. should meet regularly and minute discussions on the financials presented by S.G. and the F.M., and approve both minutes and financials for submission to the Board;
The Board should review and approve financials formally at the next available Board meeting.;
Use the NOC's financial system to produce full final accounts;
Include the accounts in any annual report of the NOC.</t>
  </si>
  <si>
    <t>FIN-05|4</t>
  </si>
  <si>
    <t>Monthly financial, budget and grant analysis, cash flow, financial forecast and statements reported to S.G. and Finance Committee &amp; Board. Annual audit is prepared and completed for each year end before the Financial year's end.</t>
  </si>
  <si>
    <t>The NOC has a financial reporting framework which forms part of NOC's annual and quadrennial financial planning and day to day process. The NOC is required to perform under the framework requirements. NOC financial frameworks are formalized in its guidelines/policies and procedures and are implemented through the roles and responsibilities of the S.G., F.M. and F.C. To achieve this:
Financial information, forecasts and financial statements should be discussed with management, reviewed by S.G. and presented for analytical review by the F.C. on a regular monthly basis;
The F.M. regularly reports to the S.G., an 'actuals versus budget' analysis, along with cash inflows and outflows to ensure activity continuity and the NOC's ability to meet its financial obligations and objectives;
The F.C. should discuss, review and record all financials with the S.G. &amp; F.M. and report to the Board on a monthly or bi-monthly basis, financial activity, alignment to objectives and any areas of concern or opportunities forecast.</t>
  </si>
  <si>
    <t>FIN-06|0</t>
  </si>
  <si>
    <t>FIN-06|1</t>
  </si>
  <si>
    <t>The cheque book is reconciled each time cheques are written. S.G. and the Board advise when funds should come in and be spent.</t>
  </si>
  <si>
    <t>Cash is controlled by S.G. and Treasurer and reported to the Board when requested. To achieve this:
The Treasurer should create a system where the bank balance is written in the cheque book and is carried forward as cheques are written and deposits made;
The Treasurer produces bank reconciliations, fund balances when requested by the S.G. and the Board;
The S.G. and the Board should advise on funds and grants that are available to the NOC that can assist with activities of the NOC;
The S.G., President and Treasurer should advise what payments can be made;
The Treasurer should produce an annual income and expenditure statement and report on this to the Board and at the G.A..</t>
  </si>
  <si>
    <t>FIN-06|2</t>
  </si>
  <si>
    <t>Bank inflows and outflows are recorded and reported in excel to the S.G. and Finance Committee.</t>
  </si>
  <si>
    <t>Reports are made Quarterly or when requested, while cash balances and reconciliations are delivered, monitored and controlled by the Treasurer and external Accountant. To achieve this:
The external Accountant or Treasurer creates an excel spreadsheet where cash expended and cash deposited are entered. The excel cash worksheet reconciles to bank balances  and is regularly monitored and funds balances reported to the F.C. and the Board
The S.G. and the Treasurer must use these spreadsheets to check on the availability of funds to  ensure that payment and any financial obligations of the NOC can be met;
Report on budget progress, activity spend and fund deposits to the F.C. and the Board on an ongoing basis and annually at the G.A..</t>
  </si>
  <si>
    <t>FIN-06|3</t>
  </si>
  <si>
    <t>Cash reconciliations, analysis and projections form part of monthly financial process and reporting.</t>
  </si>
  <si>
    <t>As part of bi-monthly financial process cash is controlled and forecast by the F.M. &amp; the S.G. with the assistance and review by the F.C.. To achieve this:
The F.M. reconciles bank balances weekly, and reports cash balance with forecast to S.G. and F.C. as part of monthly financial process;
Use the NOC's financial system to produce full final accounts;
The F.M. and S.G. discuss, analyze and plan for positive monthly cash flow to ensure payment and financial obligations of the NOC can be met;
Get these audited;
Report on these to the Board and at the G.A.;
Include the accounts in any annual report of the NOC.</t>
  </si>
  <si>
    <t>FIN-06|4</t>
  </si>
  <si>
    <t>Cash forecast prepared with annual budget, cash reconciled, managed, analysed and reported, all forming part of monthly reporting to S.G., Finance Committee &amp; Board.</t>
  </si>
  <si>
    <t>Cash is planned, controlled and forecast as part of a weekly, monthly, annual and quadrennial financial process. The NOC should have an annual and quadrennial cash flow plan which is monitored and measured against actual cash inflows and outflows; daily, weekly, monthly by the F.M. &amp; S.G.. The F.C. oversee and check authenticity of cash forecast as part of their responsibilities; to achieve this:
The NOC has an annual revenue plan, that the  F.M. and S.G. monitor and discuss with management and marketing, ensuring timing of funds is on target;
The management of Bank balances and reconciliations must form part of the NOC's financial monthly processes;
The F.M. and S.G. analyse, communicate and report monthly cash flow, against planned annual budget, revenue plan and annual forecast  to the F.C. as part of monthly financial process;</t>
  </si>
  <si>
    <t>FIN-07|0</t>
  </si>
  <si>
    <t>FIN-07|1</t>
  </si>
  <si>
    <t>We use excel and manually list cheques and deposits as they are paid and received.</t>
  </si>
  <si>
    <t>An excel sheet lists cheques issued, cash spent and funds transferred if relevant, as well as all  deposits; To achieve this:
Cheques and deposits should be listed on two separate excel worksheets by the Treasurer;
The S.G. should send the bank statements to the Treasurer regularly for reconciliation;
Excel files should be kept on the desktop.</t>
  </si>
  <si>
    <t>FIN-07|2</t>
  </si>
  <si>
    <t>An excel income and expense workbook has been created where the cheques and deposits are entered into an excel spreadsheet, which links to a Profit and loss activity statement and to a templated monthly income and expenditure spreadsheet via activities carried out by the NOC. To achieve this:
The Treasurer should work with the external Accountant to ensure the excel ledger agrees to the inflow and outflow of NOC funds and bank balances;
The external Accountant should provide a Balance sheet when requested by the F.C. and or Treasurer;
Keep appropriate records to be able to create the accounts required by external agencies;</t>
  </si>
  <si>
    <t>FIN-07|3</t>
  </si>
  <si>
    <t>The NOC uses accounting software for example: MYOB, Sage or QuickBooks.</t>
  </si>
  <si>
    <t>The accounting package collates and organises all entered financial data into monthly financial statements. To achieve this:
The F.M. should prepare and enter all financial data and acquits the financial reports from the system. The F.C. and S.G. must check and review the financial reports with the F.M.;
Get these audited by an appropriate external agency;
An external  provider checks server storage periodically;
Back up of financial data is taken via the server weekly.</t>
  </si>
  <si>
    <t>FIN-07|4</t>
  </si>
  <si>
    <t>The NOC has a customised financial system that meets its specific needs.</t>
  </si>
  <si>
    <t>The NOC has a specially designed tool that offers financial management data solutions including core accounting, customised budgets and forecasts, project accounting, expense management and compliance management. to achieve this:
The F.M. and S.G.  ensure the tool is maintained and upgraded regularly through the NOC assets and maintenance plan;
Financial data must be backed up automatically and maintained as part of weekly and monthly financial process;
Storage of back-ups and their integrity should be covered by NOC archive and storage guidelines, and tested regularly to ensure data integrity is not compromised.</t>
  </si>
  <si>
    <t>FIN-08|0</t>
  </si>
  <si>
    <t>When requested</t>
  </si>
  <si>
    <t>FIN-08|1</t>
  </si>
  <si>
    <t>Reporting of grants actioned periodically and when time permits</t>
  </si>
  <si>
    <t>Reporting is actioned on average every 6 months. To achieve this:
Develop a system that accounts for cash obtained and cash spent;
Keep receipts and invoices to support expenditure;
Provide a summary of finances for each Board meeting and discuss thoroughly.
The S.G. with the assistance of the Treasurer should report to funders when NOC activities have slowed down, usually within 6 months of receiving funds.</t>
  </si>
  <si>
    <t>FIN-08|2</t>
  </si>
  <si>
    <t>Quarterly or when requested by S.G. and Board.</t>
  </si>
  <si>
    <t>Reporting is actioned Quarterly or when requested by S.G. and the Treasurer, and/or the F.C.. To achieve this:
The Board must discuss grants and grant reporting every quarter;
The Treasurer in conjunction with the external Accountant reconciles grant finances and reports grant finances to the F.C. and Board and funders;
The S.G. should complete activity reports and advises Board and funders if all activity objectives were met.</t>
  </si>
  <si>
    <t>FIN-08|3</t>
  </si>
  <si>
    <t>Grants reported bi-monthly or two months after the event.</t>
  </si>
  <si>
    <t>Grant reporting forms part of annual financial planning, it is monitored and reported through requirements set up in the NOC's bi-monthly financial process. The S.G. and F.C. oversee and assist management in its delivery. To achieve this:
The S.G. and F.M. should reconcile and analyse funded activities against the annual budget and report findings to the F.C. and Board;
The S.G. and or the F.M. check that funders have received reports, and will answer any queries as required by funders.</t>
  </si>
  <si>
    <t>FIN-08|4</t>
  </si>
  <si>
    <t>Grant budget and actuals discussed and reported monthly to S.G. and Finance Committee.</t>
  </si>
  <si>
    <t>Grants contribute to annual planned activities and form part of the annual / quadrennial revenue plan. Monthly reporting of applications and grant spend against activities forms part of the required internal financial process. To achieve this:
The S.G. and or F.M. should update the F.C. monthly on grant progress and reporting;
The S.G., F.M. or delegated grant relationship managers should check with funders regularly to ensure all grant compliances are met and balance of grants are paid in full to the NOC;
Funding not received within planned timeframes must be discussed and actively sought via the S.G., F.M. or President if necessary;
The F.M. and S.G. should proactively plan and work through cash impact scenarios that may occur due to any fund timing issues and discuss re ordered cash flow with F.C. to ensure that the NOC financial obligations and activity objectives can be met. .</t>
  </si>
  <si>
    <t>FIN-09|0</t>
  </si>
  <si>
    <t>We do not know</t>
  </si>
  <si>
    <t>FIN-09|1</t>
  </si>
  <si>
    <t>Up to USD175,000</t>
  </si>
  <si>
    <t>The Board understands approximately what funds are available for each project, before spending any money.  To achieve this:
As a Board, discuss what income opportunities are available to the NOC;
Appoint a Board member to be responsible for income opportunities;
Develop a plan for taking advantage of these opportunities;
Examine closely the January to December Profit &amp; Loss statements, highlighting total revenue received. Note revenue must total to or be below 175k</t>
  </si>
  <si>
    <t>FIN-09|2</t>
  </si>
  <si>
    <t>Up to USD500,000</t>
  </si>
  <si>
    <t>The Board and Treasurer and/or the F.C., regularly discuss what annual revenue is needed to keep the NOC solvent and build more equity. To achieve this:
Appoint a sub-committee to take responsible for raising income ;
Get the committee to develop a broader plan to increase income from NOC activities;
Develop strategies that leverage the benefits of being an NOC;
Examine the annual audited accounts and highlight total revenue received, note revenue must total between 176k and 500k.</t>
  </si>
  <si>
    <t>FIN-09|3</t>
  </si>
  <si>
    <t>Up to USD2.0m</t>
  </si>
  <si>
    <t>The NOC has an annual to 18month approach to funding and budgeting. Annual financial planning includes a realistic annual revenue plan to assist the NOC with building sustainability. To achieve this:
Appoint a member of staff or specialist volunteer to be responsible for raising money and appraise their performance on reaching specific targets agreed by the Board;
Develop a strategy for raising income from ALL NOC activities;
Establish specific targets that address objectives raised in the NOC strategic plan; Compare and send NOC's total revenue for two years, attach audited accounts for last two years.
Compare the planned budget for the current year. Note revenue will be above 501k and below 2million;
Include an update on the progress towards the agreed targets for each Board meeting.</t>
  </si>
  <si>
    <t>FIN-09|4</t>
  </si>
  <si>
    <t>More than USD2.0m</t>
  </si>
  <si>
    <t>The NOC has an organised quadrennial approach to funding. Steady, robust revenue streams are part of NOC's quadrennial financial sustainability objectives. Quadrennial comparisons and current quadrennial forecasts are used to assist with planning realistic revenue targets.  Management has its performance appraised on achieving its financial targets. To achieve this:
Task management to be responsible for raising money;
Develop a strategy for raising income from ALL NOC activities;
Establish specific targets that address objectives raised in the NOC strategic plan;
Compare and send NOC's total revenue for last two years against current year planned revenue;
Examine audited accounts for the last two years;
Provide current quadrennial target revenue plan.</t>
  </si>
  <si>
    <t>FIN-10|0</t>
  </si>
  <si>
    <t>FIN-10|1</t>
  </si>
  <si>
    <t>More than 90% of our funding comes from OS/IOC.</t>
  </si>
  <si>
    <t>The Board is broadly aware of what funds are available from OS and utilizes as many grants as possible during this early stage of the NOC Development. To achieve this :
Show Solidarity revenue as % against total revenue received in the January to December profit &amp; Loss statement;
Discuss ways of increasing funding to the NOC for non-administrative activities and maximise the use of development funding from O.S.</t>
  </si>
  <si>
    <t>FIN-10|2</t>
  </si>
  <si>
    <t>Up to 90% of NOC funding comes from OS/IOC.</t>
  </si>
  <si>
    <t>The S.G., Treasure or F.C. and the Board have a planning process where funds from all sources are collated into an overall activity budget. The Treasurer and/or F.C. and the Board regularly meet and discuss any new possibilities in order to increase alternate revenue. To start to reduce reliance on Olympic Solidarity:
Continue to monitor income sources for the NOC and in particular the percentage of income received from O.S.
Develop a funding plan that increases non-administrative funding to the NOC;
Review the administration of the NOC on a regular basis to ensure it is of an appropriate size for the NOC;
Identify all opportunities to decrease reliance on O.S. where appropriate.</t>
  </si>
  <si>
    <t>FIN-10|3</t>
  </si>
  <si>
    <t>Up to 50% of NOC funding comes from OS/IOC.</t>
  </si>
  <si>
    <t>Planned income sources are actively discussed and opportunities sought for other sources of revenue through Board contacts, and fundraising activities. To achieve this:
Scrutinise the NOC budget and income planning  process, to test % using Vertical and horizontal analysis methods to calculate Solidarity revenue as % against total revenue received via audited accounts for last two years;
Scrutinise the annual comparative positive and negative swings in revenue as they occur to gain a clear insight into cash flow and availability throughout the year;
Develop a funding strategy that successfully increases other sources of funding to the NOC;
Implement and monitor the success of the strategy.</t>
  </si>
  <si>
    <t>FIN-10|4</t>
  </si>
  <si>
    <t>Less than 25% of NOC funding comes from OS/IOC.</t>
  </si>
  <si>
    <t>The Quadrennial plan presents annual commercial targets and opportunities that the Management team actively seek. The S.G., Commercial and Marketing managers are regularly appraised on their annual and quadrennial revenue results, in particular on their success in diversifying income streams. To achieve this:
Develop and implement a funding strategy that successfully increases the sources of funding available the NOC;
Using  vertical and horizontal analysis methods, calculate Solidarity revenue  % against total revenue received and include the annual comparative positive and negative swings in revenue;
Use audited accounts from the previous quadrennial and the current quadrennial with projected forecast for comparative analysis to ensure that less then 25% of NOC funding comes from O.S;
Management should be accountable for all targets being met through their roles and responsibilities, diversifying income streams that keep the reliance on OS funding below 25% of annual income. This should be monitored by the S.G., F.M. and the results discussed with the F.C. and the Board.</t>
  </si>
  <si>
    <t>FIN-11|0</t>
  </si>
  <si>
    <t>100% of all income</t>
  </si>
  <si>
    <t>FIN-11|1</t>
  </si>
  <si>
    <t>Between 75% and 100% of all income</t>
  </si>
  <si>
    <t>Recognising that this is an unacceptably high expenditure on administration, the Board seeks to lower fixed and administration costs along with income opportunities are discussed when planning budgets with the Treasurer, the F.C., the Board and the S.G.. This can be achieved by:
Using the January-December profit and loss statements, show % via the vertical analysis method. (divide total administration expenditure by total income, multiply answer by 100, to find the % of administration expenditure for the NOC);
As a Board, discuss the administrative requirements of the NOC and how they should be funded;
Discuss ways of decreasing the percentage of expenditure on administration, by both increasing income overall and decreasing the cost of administration.</t>
  </si>
  <si>
    <t>FIN-11|2</t>
  </si>
  <si>
    <t>Between 50% and 75% of all income</t>
  </si>
  <si>
    <t>The Treasurer and/or F.C. and S.G. ensure costs are kept low and within reason. New funding opportunities are discussed and sourced where and whenever possible. To achieve this:
Use the audited profit and loss from the previous two years, to calculate the percentage of expenditure on adminstration, by using the vertical analysis method. (divide total administration expenses by total income, multiply answer by 100, to get this percentage.) Do a calculation separately for each year;
Develop a funding plan that increases non-administrative funding to the NOC;
Review the administration of the NOC on a regular basis to ensure it is of an appropriate size for the NOC;
Identify all opportunities to decrease administrative spending where appropriate.</t>
  </si>
  <si>
    <t>FIN-11|3</t>
  </si>
  <si>
    <t>Between 20% and 50% of all income.</t>
  </si>
  <si>
    <t>FIN-11|4</t>
  </si>
  <si>
    <t>Less than 20% of all income</t>
  </si>
  <si>
    <t>Sustainability is a focus and objective of the NOC Board and management, and forms part of the NOC's quadrennial financial plan. NOC financial planning and controls ensure quadrennial cost controls and revenue generation is in place. Quadrennial comparisons form part of financial planning to ensure costs are reasonable and revenue streams are diversified and realistic. To achieve this:
Continue to monitor administration expenses against total income;
Develop and implement a funding strategy that successfully increases non-administrative funding to the NOC;
Monitor and review as appropriate to ensure the sustainability of the NOC.</t>
  </si>
  <si>
    <t>FIN-12|0</t>
  </si>
  <si>
    <t>No money to manage.</t>
  </si>
  <si>
    <t>FIN-12|1</t>
  </si>
  <si>
    <t>We put all of our funds into a single bank account.</t>
  </si>
  <si>
    <t>All of our funds are deposited to a single bank account. To achieve this:
Establish a Treasurer position on the Board;
Appoint or elect a suitably qualified person to the position;
Open a bank account in the NOC's name;
Ensure that the organisation considers its income sources and sets aside specific funds in the accounts for specific activities;
Ensure the Board has an overview of the finances on a regular basis.</t>
  </si>
  <si>
    <t>FIN-12|2</t>
  </si>
  <si>
    <t>The NOC has multiple accounts to service each operational area.</t>
  </si>
  <si>
    <t>The NOC has established multiple bank accounts that cover specific operational areas of the organisation. These are allocated the funding budgeted for that operational area. To achieve this:
Establish a sub-committee that is responsible for the finances of the organisation, reporting to the Treasurer;
Appoint suitably qualified people to sit on the sub-committee;
Open bank accounts for each service area as appropriate;
Ensure that the organisation considers its income sources and sets aside specific funds in the accounts for specific activities;
Ensure the Board has an overview of the finances on a regular basis.</t>
  </si>
  <si>
    <t>FIN-12|3</t>
  </si>
  <si>
    <t>The NOC manages its finances through cost centres that are controlled by different parts of the organisation.</t>
  </si>
  <si>
    <t>The administrative processes are documented above to support cost centres that are allocated to each significant operational area of the organisation in line with its overall structure. To achieve this:
Establish a comprehensive budgeting process that is tied to the organisation's strategic plan;
Manage according to the budget and report regularly to the Board and the Finance Committee.</t>
  </si>
  <si>
    <t>FIN-12|4</t>
  </si>
  <si>
    <t>The NOC has an investment portfolio to help maximise its revenue.</t>
  </si>
  <si>
    <t>The NOC has asset wealth that it endeavours to derive cash from. To achieve this:
Develop a financial plan for all funds;
Seek expert advice on how best to manage the NOC's money;
Develop an investment portfolio where possible;
Report on progress regularly.</t>
  </si>
  <si>
    <t>COM-01|0</t>
  </si>
  <si>
    <t>We don't</t>
  </si>
  <si>
    <t>COM-01|1</t>
  </si>
  <si>
    <t>We communicate informally, verbally and/or by the occasional notice.</t>
  </si>
  <si>
    <t>The NOC has identified simple and personal ways to pass on information to members. To achieve this:
Identify what information members need to know and how you will tell them about it;
As a Board, discuss a possible ways of communicating with members formally.</t>
  </si>
  <si>
    <t>COM-01|2</t>
  </si>
  <si>
    <t>We communicate primarily by phone and an NOC notice board.</t>
  </si>
  <si>
    <t>The NOC has established a basic formal infrastructure to pass on information to members. Given the lack of assets available this may take the form of a simple Notice Board, a social media platform or a phone network. To achieve this:
Ensure that you have appropriate contact numbers;
Ensure that all members know where the NOC notice board is and have access to it;
If available establish a social media page and alert members to it;
Ensure that you communicate regularly using these methods.</t>
  </si>
  <si>
    <t>COM-01|3</t>
  </si>
  <si>
    <t>We primarily use email and web-based methods of communication.</t>
  </si>
  <si>
    <t>The NOC primarily relies on electronic methods and the world wide web to communicate effectively with members. To move toward electronic communication:
Ensure that your members have access to email and web based communications;
Collect the relevant emails to be able to communicate;
Establish a Members area on the NOC Website and assign a person to moderate and populate this area regularly;
Consider a secure social media page and assign a moderator to respond to questions and keep the area up to date with information;
Communicate regularly with members using these methods.</t>
  </si>
  <si>
    <t>COM-01|4</t>
  </si>
  <si>
    <t>We use a range of methods, but rely on interactive web-based communication reinforced by personal contact.</t>
  </si>
  <si>
    <t>To make communication more interactive:
Consult with members to identify the most appropriate way of communicating electronically;
Establish or commission an interactive web-based communication system that is secure, e.g. an Extranet;
Evaluate the success of this and amend when necessary.</t>
  </si>
  <si>
    <t>COM-02|0</t>
  </si>
  <si>
    <t>We have no plan</t>
  </si>
  <si>
    <t>COM-02|1</t>
  </si>
  <si>
    <t>We plan to market our activities on an ad-hoc basis.</t>
  </si>
  <si>
    <t>The NOC has a low profile but recognises the need to advertise itself and what it stands for. It utilises Olympic Solidarity and the Olympic Education Programme to establish its presence in sport in the Country. to achieve this:
Identify what properties and programmes that we have available to us to market;
Seek out support in the way of materials and funding from O.S. that will help to advertise and market our activities;
Seek our local contacts who can assist us to spread our message at little or no cost.</t>
  </si>
  <si>
    <t>COM-02|2</t>
  </si>
  <si>
    <t>Our marketing plan is driven by outside agencies, usually potential sponsors or government.</t>
  </si>
  <si>
    <t>We have a marketing plan that is determined by opportunities and activities driven by agencies external to the NOC and as such is usually constructed according to the standards and conditions imposed by those agencies. To achieve this</t>
  </si>
  <si>
    <t>COM-02|3</t>
  </si>
  <si>
    <t>The marketing plan is developed internally over the quadrennial period</t>
  </si>
  <si>
    <t>The NOC now has a strategic plan and our marketing planning aligns itself to the strategic plan and is developed from within the NOC. To achieve this</t>
  </si>
  <si>
    <t>COM-02|4</t>
  </si>
  <si>
    <t>The marketing plan is internally developed beyond a 4 year period.</t>
  </si>
  <si>
    <t>As a fully functional NOC with a well-developed brand identity, we have a marketing plan that crosses an entire quadrennial and beyond, anticipating our achievements and highlighting our success. To achieve this:</t>
  </si>
  <si>
    <t>COM-03|0</t>
  </si>
  <si>
    <t>We have no marketing</t>
  </si>
  <si>
    <t>COM-03|1</t>
  </si>
  <si>
    <t>The NOC is now established enough to be able to recognise what properties, activities and services it has that can be marketed. Much of the NOC's work involves promoting the Olympic Values and Olympism and so this can form the basis of an ad-hoc marketing plan. To achieve this:
As a Board, discuss what opportunities the NOC has to promote its brand and its activities. For example the Olympic Day;
Seek assistance from Olympic Solidarity to acquire funding and materials that will help promote the Olympic Values;
Conduct a marketing campaign to support the conduct of Olympism promotional events like the Olympic Day Festival;
Consider working with local media outlets on an ad-hoc basis to promote the NOC and the Olympic Values.</t>
  </si>
  <si>
    <t>COM-03|2</t>
  </si>
  <si>
    <t>Since the majority of the NOC's activities are dependent upon working with outside agencies like government or other NGO's marketing of NOC activities occurs around the conducting of joint activities or activities sponsored by external agencies including Olympic Solidarity. To that end our marketing plan is dependent upon the expertise available in these external agencies. To achieve this:
Draw up a comprehensive list of all activities that are likely to be undertaken by the NOC for the next 12 months;
Draw up a calendar of events;
Meet with the agencies that the NOC commonly works with and determine what promotional material and expertise they might be willing to share with the NOC;
Assign a Board member to be responsible for marketing these activities;
Identify and recruit volunteers who are willing to promote and market each of the activities of the NOC throughout the year and seek assistance from external agencies for training and development of these volunteers;
Ensure promotional activities commence well in advance of the event itself and involve both active and passive methods.</t>
  </si>
  <si>
    <t>COM-03|3</t>
  </si>
  <si>
    <t>Our marketing plan revolves around our strategic objectives and is aligned to our strategic plan. Consequently we work within the NOC to establish a quadrenniel marketing plan that is cognisant of our limited resources and income. To achieve this:
Establish a working group or sub committee of willing volunteers, headed by a member of the Executive Board to examine the strategic plan and identify our marketable assets.
Review our logo and branding and ensure we have a consistent approach to our marketing presence.
Establish marketing themes that are aligned to our strategic objectives.
Determine our most viable marketing approaches and pursue these as much as possible, within the capabilities and resources resources of the NOC.
Consider training options in marketing for our working group members where and when needed.</t>
  </si>
  <si>
    <t>COM-03|4</t>
  </si>
  <si>
    <t>The marketing plan is internally developed beyond a 4 year period</t>
  </si>
  <si>
    <t>The NOC has developed well and has many activities and properties to promote and market. Developing the necessary expertise to do this is essential. The market plan needs to align with the Strategic plan and cover the full quadrennial. To achieve this:
Complete a quadrennial calendar of events;
Instruct the marketing department or a marketing commission or sub-committee to draw up a marketing plan that is aligned to the NOC strategic plan;
Seek approval and budget support;
Recruit and train staff and volunteers to carry out marketing activities and update the plan accordingly.</t>
  </si>
  <si>
    <t>COM-04|0</t>
  </si>
  <si>
    <t>No emblem</t>
  </si>
  <si>
    <t>COM-04|1</t>
  </si>
  <si>
    <t>The institutional emblem is being developed for commercial purpose.</t>
  </si>
  <si>
    <t>The NOC Brand is not formally developed but now needs to be. To achieve this:
As a Board create or commission a logo that represents the NOC;
Seek advice from NOC Relations Department over the use of the Olympic Rings;
Consult with the membership on the look of the logo and approve at the AGM;
Seek approval from NOC Relations to adopt your logo as the official mark of the NOC.</t>
  </si>
  <si>
    <t>COM-04|2</t>
  </si>
  <si>
    <t>We have institutional and commercial emblems.</t>
  </si>
  <si>
    <t>The NOC now has an approved logo and applies it to its uniforms, stationary, social media and websites to form a recognisable brand in the country and internationally. To achieve this:
The NOC should have a physical brand that is centred around its NOC logo;
Establish clear guidelines as to how, where and when the NOC Logo can be used;
Seek to develop a catch phrase that encompasses the values of the NOC;
Ensure that this phrase is agreed to at the AGM.</t>
  </si>
  <si>
    <t>COM-04|3</t>
  </si>
  <si>
    <t>The NOC has a rich portfolio of marks and designation which includes a number of features such as a NOC motto, house style and other trademarks.</t>
  </si>
  <si>
    <t>The NOC marks need to be formalised and recorded with detailed instruction on how they may be presented and used. To achieve this:
Develop specific trademarks that reflect specific activities of the NOC;
Ensure these are Legal both within the country and in the opinion of the Olympic Movement;
Register these marks as required within the country.</t>
  </si>
  <si>
    <t>COM-04|4</t>
  </si>
  <si>
    <t>The NOC has a well-established, legally protected brand with equity documented by market research.</t>
  </si>
  <si>
    <t>The NOC has a fully developed and legally protected brand that includes the Olympic Rings that it must protect. To achieve this:
Produce a booklet that identifies clearly the brand purpose of the NOC;
Ensure that the brand developed reflects the Olympic Values and the NOC's values;
Ensure that this brand is presented on all avenues of communication used by the NOC and at all events and facilities that the NOC is responsible for.</t>
  </si>
  <si>
    <t>COM-05|0</t>
  </si>
  <si>
    <t>We have no mark</t>
  </si>
  <si>
    <t>COM-05|1</t>
  </si>
  <si>
    <t>The NOC has official stationery with the NOC mark.</t>
  </si>
  <si>
    <t>The NOC has limited use of its marks for commercial purposes but has produced stationary that uses the NOC logo. We recognise the need to develop the use of our NOC mark further. To achieve this:
Source a printing company that can produce official stationary for the NOC cheaply and efficiently;
As a Board, discuss potential activities that lend themselves to sponsorship;
Identify potential sponsors who might be interested in supporting the work of the NOC and in particular the Olympic Values.</t>
  </si>
  <si>
    <t>COM-05|2</t>
  </si>
  <si>
    <t>We have official pins and merchandise with the NOC mark.</t>
  </si>
  <si>
    <t>We have delegation pins and a generic NOC pin featuring our mark. These are usually produced and supplied by IOC approved agents:
Appoint a Board member to oversee the activation of the NOC Logo through pins and stickers;
Source potential merchandising companies that can brand products they produce with the NOC mark;
Produce a limited release of delegation specific merchandise to use as fund raising and for courtesy purposes for specific delegations like the Olympic Games;
Monitor and control the production of merchandise to avoid ambush marketing or fraudulent behaviour by pin and merchandising suppliers.</t>
  </si>
  <si>
    <t>COM-05|3</t>
  </si>
  <si>
    <t>The NOC mark is present in all NOC-led activities, programmes and services.</t>
  </si>
  <si>
    <t>The NOC mark is now well established and is present at all our events in various forms. To achieve this:
Appoint a member of staff or specialist volunteer to take responsibility for the placement of the NOC mark at events, activities and on uniforms;
Promote NOC events beyond the Olympic Games and Olympic Values programmes with the NOC mark at the forefront;
Consider new ways to gain leverage from the use of the NOC mark;
Evaluate the use of the NOC mark from both the sponsor and the NOC perspective.</t>
  </si>
  <si>
    <t>COM-05|4</t>
  </si>
  <si>
    <t>We license the rights for the use of the NOC mark to sponsors.</t>
  </si>
  <si>
    <t>The NOC mark is now well established and sponsors are willing to be associated with the NOC and pay for the rights to use the NOC mark for commercial and sponsorship purposes. To achieve this:
Ensure that sponsors of the NOC are considered partners and are engaged in the NOC itself;
Ensure that all NOC activities are sponsored.</t>
  </si>
  <si>
    <t>COM-06|0</t>
  </si>
  <si>
    <t>We have never considered merchandising at all</t>
  </si>
  <si>
    <t>COM-06|1</t>
  </si>
  <si>
    <t>We have discussed it but we don’t have a merchandising programme.</t>
  </si>
  <si>
    <t>Effective merchandising can provide a healthy and consistent source of revenue for the NOC. To consider this:
As a Board, discuss potential merchandise opportunities;
Discuss a way for taking up these opportunities and developing merchandising;
Seek advice from NOC Relations over the use of the Olympic Rings in the NOC logo;
Become familiar with the TOP Programme.</t>
  </si>
  <si>
    <t>COM-06|2</t>
  </si>
  <si>
    <t>We sell merchandise associated with specific activities, such as event t-shirts or pins associated with a specific Games delegation.</t>
  </si>
  <si>
    <t>The NOC has a limited range of merchandise that it can sell for fund raising purposes. To achieve this:
Appoint a member of the Board to be responsible for merchandising aspects of the NOC;
Identify NOC activities that allow merchandising activities, such as the Olympic Day Run;
Seek out a cost effective means of obtaining the merchandise, perhaps in partnership with a merchandising agent;
Commission and then sell at NOC activities.</t>
  </si>
  <si>
    <t>COM-06|3</t>
  </si>
  <si>
    <t>We have a limited range of products using the NOC mark (e.g. pins, t-shirts, hats).</t>
  </si>
  <si>
    <t>The NOC sells a limited range of branded merchandise. To achieve this:
Appoint a member of staff or specialist volunteer to be responsible for merchandising and have them report to the Board;
Identify a range of merchandise that can be sold to promote the NOC and increase revenue, particularly around the Olympic Games;
Commission the merchandise and then sell;
Review the success of the merchandise and change if appropriate.</t>
  </si>
  <si>
    <t>COM-06|4</t>
  </si>
  <si>
    <t>We have broad range of products using the NOC mark (e.g. replica uniforms, equipment and gifts).</t>
  </si>
  <si>
    <t>The NOC sells a full range of branded merchandise. To achieve this:
Conduct market research to determine what products are likely to sell, to whom and at what price;
Develop a plan that encompasses the production and sale of a wide range of merchandise;
Establish a clear common brand for the NOC that is implicit in all its merchandise;
Effectively market merchandise to specific target groups and specific activities and events;
Implement, monitor and review, amending if necessary.</t>
  </si>
  <si>
    <t>COM-07|0</t>
  </si>
  <si>
    <t>We do no fundraising.</t>
  </si>
  <si>
    <t>COM-07|1</t>
  </si>
  <si>
    <t>We do some generic fundraising activities when the opportunity arises.</t>
  </si>
  <si>
    <t>Conducting generic fundraising programmes is in our Organisational culture as established by our member NFs. To raise some funds for the NOC:
As a Board identify opportunities to carry out fundraising that may or may not be related to our specific sport or collection of sports;
Carry out fundraising activities to meet specific project targets;
Consider appointing a specific Board member with the responsibility to design and devise a variety of fundraising opportunities that reach to the membership of the NOC and beyond.</t>
  </si>
  <si>
    <t>COM-07|2</t>
  </si>
  <si>
    <t>We have some regular fundraising activities that we plan for, such as an annual dinner.</t>
  </si>
  <si>
    <t>The NOC conducts regular fundraising activities some of which are specific to the NOC and serve its needs, such as an annual dinner that incorporates recognition and awards for outstanding achievement. To achieve this:
Appoint a member of the Board to be responsible for fundraising;
Develop a plan for regular fundraising activities that leans towards using the products created by the Organisation to generate income;
Identify
Put in place the plan and raise funds to achieve the targets set for each specific project.</t>
  </si>
  <si>
    <t>COM-07|3</t>
  </si>
  <si>
    <t>We have a formal fundraising programme that is made up of regular activities that target a range of funding sources.</t>
  </si>
  <si>
    <t>The NOC has a well-established and targeted fundraising programme. To achieve this:
Appoint a member of staff or specialist volunteer to be responsible for fundraising and have them report to the Board;
Develop a fundraising plan that seeks to systematically obtain funds from a range of sources usually related to the products the Organisation offers;
Implement the plan and monitor the success of the plan to meet annual income targets set by the Board, on a regular basis;
Continue to look for new sources of revenue increasingly  leveraging the value of the NOC Brand.</t>
  </si>
  <si>
    <t>COM-07|4</t>
  </si>
  <si>
    <t>We have a fundraising strategy that focuses across a range of funding opportunities and contributes significantly to NOC income.</t>
  </si>
  <si>
    <t>The NOC has a sophisticated a fundraising strategy that aligns to the financial objectives of the NOC as documented in the strategic plan and provides sufficient income to make the NOC all but financially independent. To achieve this:
Establish a fundraising strategy that will make a significant contribution to the independence of the NOC and its ability to fund its own development programmes;
Ensure that the fund raising strategy is aligned with the overall strategic objectives established for the NOC in its Strategic Plan;
Conduct a regular audit of fundraising activities to ensure that the cost of the activity is not so high as to make the activity ineffective as a source of fund raising;
Implement and evaluate, revising when appropriate.</t>
  </si>
  <si>
    <t>COM-08|0</t>
  </si>
  <si>
    <t>We rely solely on TOP sponsorship.</t>
  </si>
  <si>
    <t>COM-08|1</t>
  </si>
  <si>
    <t>Written and informal.</t>
  </si>
  <si>
    <t>Our reports are quite informal, but we are aware of the need to develop a consistent approach to writing reports. To achieve this:
As a Board discuss and agree on what form the  NOC official reports should take;                                                                    Be aware of the requirements imposed by external organisations with respect to the format of their reports;
Continue to report verbally on activities;
Produce written reports about key activities using the agreed format.</t>
  </si>
  <si>
    <t>COM-08|2</t>
  </si>
  <si>
    <t>Alongside TOP sponsorship, the NOC also receives VIK from non-TOP sponsors.</t>
  </si>
  <si>
    <t>The NOC primarily receives Value-in-kind (VIK) support with little cash provisions beyond Olympic Solidarity and TOP. To achieve this:
As a Board discuss what is likely sources could be approached for VIK support or small cash donations;
Use personal networks of Board members and from the membership at large to source possible sources of support;
Determine how the NOC can return favours to sponsors;
Approach sponsors and ensure there is a mutually agreeable understanding of how this support will be serviced;
Continue to ensure maximum use of TOP grants and make contact with the local or regional branches of the TOP companies in the area.</t>
  </si>
  <si>
    <t>COM-08|3</t>
  </si>
  <si>
    <t>We have sponsorship agreements with a range of sponsors for a variety of activities.</t>
  </si>
  <si>
    <t>Sponsorship has now reached a level where specialists are needed to lobby for further sponsorship and service the sponsors appropriately. To achieve this:
Develop a job description for what is required to look after sponsors;
Construct a sponsorship and marketing plan that is realistic and manageable;
Appoint a staff member or specialist volunteer to be responsible for looking after sponsors;Ensure sponsors are well serviced and that the cost of obtaining and servicing the sponsors is not disproportionate to the income received.</t>
  </si>
  <si>
    <t>COM-08|4</t>
  </si>
  <si>
    <t>We have a well-structured sponsorship programme.</t>
  </si>
  <si>
    <t>The NOC has a designated area of management responsible for acquiring sponsorship and properly servicing it Sponsorship is targeted against specific aspects of the strategic plan and as such the implementation of the plan independent upon achieving specific sponsorship targets. To that end the performance appraisals of staff and Board members involved with securing and servicing sponsorship is tied to the achievement of agreed sponsorship objectives. To achieve this:
If the amount of sponsorship requires it, establish a team or department to work with sponsors;
Appoint appropriate people to work in the team or department;
Evaluate the work of the team or department.</t>
  </si>
  <si>
    <t>COM-09|0</t>
  </si>
  <si>
    <t>We have nothing to offer a sponsor.</t>
  </si>
  <si>
    <t>COM-09|1</t>
  </si>
  <si>
    <t>We offer to present sponsors on our letter head, website and social media.</t>
  </si>
  <si>
    <t>The NOC provides basic recognition to its sponsors through immediately available means such as letterheads, web sites and social media pages. To understand what sponsor servicing requires and ensure that what is provided is appropriate:
As a Board discuss what is required to look after sponsors.                                                                      Identify potential sponsors who might be interested in supporting the work of the NOC and in particular the Olympic Values;
Appoint a Board member to oversee sponsorship activation programmes;                                               Construct a basic sponsor activation package that details what sponsors can receive for their contribution and support;
Ensure that this package is approved by the Board and then by the G.A.</t>
  </si>
  <si>
    <t>COM-09|2</t>
  </si>
  <si>
    <t>We offer to present sponsors during the events such as the Olympic Day and provide them with opportunities to associate with our teams.</t>
  </si>
  <si>
    <t>The NOC's programmes and activities are able to achieve a good level of recognition and status and as such may be attractive to sponsors who wish to be associated with the work of the NOC. To offer sponsors an opportunity to be associated with the NOC's events and activities:
Set out guidelines for what is required to look after sponsors;
Discuss and agree on what activities of the NOC might be attractive for sponsors to be associated with;
Determine what needs to be done to service sponsors through the NOC activities;
Divide the tasks up appropriately amongst the Board;
As a Board, take overall responsibility for looking after sponsors.</t>
  </si>
  <si>
    <t>COM-09|3</t>
  </si>
  <si>
    <t>We offer a range of opportunities to activate sponsorship during events (e.g. Sponsored contest)</t>
  </si>
  <si>
    <t>The NOC routinely offers opportunities to activate sponsors during events including at the Olympic Games and for Olympic Games qualifying events. This requires specialist staff or volunteers to establish and maintain a viable working relationship with sponsors. To allocate specialist responsibility for looking after sponsors and maximise opportunities to our sponsors:
Develop a job description for what is required to look after sponsors;
Appoint a staff member or specialist volunteer to be responsible for looking after sponsors;
List all opportunities for providing something back to sponsors and prioritise these against the value of sponsorship support received;
Draw up specific guidelines for allocating opportunities to sponsors;
Task the appointed person(s) to activate the opportunities and conduct their performance appraisals on meeting the target prescribed to them.</t>
  </si>
  <si>
    <t>COM-09|4</t>
  </si>
  <si>
    <t>With sponsors, we co-create initiatives maximising ROI (Return on Investment) (e.g. Sponsor live sites).</t>
  </si>
  <si>
    <t>To ensure the needs of sponsors are met:
If the amount of sponsorship requires it, establish a team or department to work with sponsors;
Appoint appropriate people to work in the team or department;
Evaluate the work of the team or department.</t>
  </si>
  <si>
    <t>COM-10|0</t>
  </si>
  <si>
    <t>COM-10|1</t>
  </si>
  <si>
    <t>1%-10% of total income.</t>
  </si>
  <si>
    <t>The NOC has not yet developed to a point where it has much income generation from commercial activities but it may have some. To generate some income from commercial opportunities:
As a Board, discuss what commercial opportunities are available to the NOC;
Appoint a Board member to be responsible for commercial opportunities;
Develop a plan for taking advantage of these opportunities;
Implement the plan and obtain funding from commercial activities that meets specific but modest targets.</t>
  </si>
  <si>
    <t>COM-10|2</t>
  </si>
  <si>
    <t>Between 10 – 25% of total income.</t>
  </si>
  <si>
    <t>The NOC has established some basic commercial activity, mainly through merchandising or selling of tickets for events. To derive more income from commercial opportunities:
Appoint a sub-committee to take responsible for raising income from commercial opportunities;
Get the committee to develop a broader commercial plan to increase commercial income from NOC activities;
Develop strategies that leverage the benefits of attending the Olympic Games;
Evaluate the success of the plan.</t>
  </si>
  <si>
    <t>COM-10|3</t>
  </si>
  <si>
    <t>Between 25 – 75% of total income.</t>
  </si>
  <si>
    <t>The NOC has in place a commercial strategy that actively seeks to increase its revenue from commercial activity such as merchandising and events or access to services provided by the NOC and its members. To achieve this:
Appoint a member of staff or specialist volunteer to be responsible for raising money from commercial activities;
Develop a commercial strategy for raising commercial income from ALL NOC activities;
Establish specific targets that address objectives raised in the NOC strategic plan;
Implement and evaluate the strategy.</t>
  </si>
  <si>
    <t>COM-10|4</t>
  </si>
  <si>
    <t>More than 75% of total income.</t>
  </si>
  <si>
    <t>The NOC has established a commercial department that is appraised against meeting agreed commercial revenue targets. To achieve this:
Establish a commercial department;
Monitor and evaluate the work of this department.</t>
  </si>
  <si>
    <t>COM-11|0</t>
  </si>
  <si>
    <t>COM-11|1</t>
  </si>
  <si>
    <t>We respond to requests for information on an ad-hoc basis and react to critical circumstances and opportunities.</t>
  </si>
  <si>
    <t>The  NOC has not yet recognised the need for public relations, and it is left to the Chair or a designated spokesperson to respond to issues as they arise. To understand opportunities for PR:
As a Board, discuss opportunities for PR and how you will respond to requests for information;
Take advantage of all appropriate PR opportunities when they arise.</t>
  </si>
  <si>
    <t>COM-11|2</t>
  </si>
  <si>
    <t>We occasionally communicate about key activities to some forms of media.</t>
  </si>
  <si>
    <t>The  NOC is aware of the need to be more interactive with the public as its profile in the community is raised by its association with the Olympic Games and other major international multi-sport events. To better develop our P.R:
Be aware of personal relationships amongst the Board and members that offer potential for PR work;
Appoint a specific person to be the 'face' of the NOC;
Address issues as they arise
Take advantage of opportunities to improve the P.R. of the  NOC whenever appropriate.</t>
  </si>
  <si>
    <t>COM-11|3</t>
  </si>
  <si>
    <t>We proactively manage our communication with the public.</t>
  </si>
  <si>
    <t>The  NOC recognises the need to be proactive with our public relations and strives to put our sport to the forefront of the minds of the general population. To achieve this:
Appoint a member of staff or specialist volunteer to oversee PR activities and report to the Board;
Have this sub-committee develop a plan of action to develop PR activities and/or to take advantage of opportunities when they arise;
Evaluate the success of the plan and amend as appropriate.</t>
  </si>
  <si>
    <t>COM-11|4</t>
  </si>
  <si>
    <t>The  NOC has a public relations strategy and dedicated staff that targets a range of groups using diversified methods complemented by a well-developed media strategy.</t>
  </si>
  <si>
    <t>The  NOC's media strategy is documented and approved at all levels of the NOC and drives the way that the  NOC interacts with the public. To achieve this:
Establish a Public Relations Department;
Conduct a complete task and skills audit for this Department;
Develop job descriptions for each position;
Recruit, select, appoint the required staff and/or volunteers to carry out the work required.
Monitor and evaluate.</t>
  </si>
  <si>
    <t>COM-12|0</t>
  </si>
  <si>
    <t>COM-12|1</t>
  </si>
  <si>
    <t>The NOC has a simple website and/or Facebook page that is not updated.</t>
  </si>
  <si>
    <t>The NOC has developed a website and/or a social media page. To achieve this:
Discuss the value of the NOC having a website;
Discuss the content that might go on the website;
Identify how the NOC might obtain a simple website.</t>
  </si>
  <si>
    <t>COM-12|2</t>
  </si>
  <si>
    <t>The NOC has a simple website and/or Facebook page that is regularly updated.</t>
  </si>
  <si>
    <t>The NOC manages and maintains the website and social media pages by using dedicated volunteers or a specific Board member to do so. To achieve this:
Identify a Board member or keen volunteer(s) to be responsible for the website;
Establish a simple website that sets out the key facts about the NOC, its contact details, details on Board members and NF members;
Include any other information that the Board feels is important;
Keep the website up to date.</t>
  </si>
  <si>
    <t>COM-12|3</t>
  </si>
  <si>
    <t>The NOC has an interactive web platform and regular presence on a full range of social media platforms.</t>
  </si>
  <si>
    <t>To ensure the website and social media platforms are an efficient communication tool:
Appoint a member of staff or specialist volunteer to manage the website and have them report to the Board;
Provide full information on the NOC's activities and services;
Seek contributions from stakeholders and interested parties;
Consider linking the web site to social networks such as Twitter or Facebook;
Keep the information up to date.</t>
  </si>
  <si>
    <t>COM-12|4</t>
  </si>
  <si>
    <t>The NOC has a full digital and social media strategy including direct fan relationship building managed by dedicated staff.</t>
  </si>
  <si>
    <t>The NOC website is a formal communication and engagement tool which along with its social media presence is driven by a well thought out social media strategy that aims to maximise its penetration into the sporting community at large and the public in general. To achieve this:
Commission an interactive web platform that is appropriate for the NOC;
Ensure that it allows 'user generated content';
Provide any necessary training;
Monitor the impact and use of the website.</t>
  </si>
  <si>
    <t>COM-13|0</t>
  </si>
  <si>
    <t>COM-13|1</t>
  </si>
  <si>
    <t>NOC members set up groups for specific activities.</t>
  </si>
  <si>
    <t>The NOC has a basic social media platform and also draws on those of its member NFs to spread its messages. To achieve this:
Assign a willing Board member or an enthusiastic volunteer to establish a social media page;
Determine which social media platform is most popular amongst the members;
Set up social media groups for specific activities being organised by the NOC;
Encourage member NFs to join these groups.</t>
  </si>
  <si>
    <t>COM-13|2</t>
  </si>
  <si>
    <t>The NOC has a single social media page/profile.</t>
  </si>
  <si>
    <t>The NOC has established a single, official social media page that points to its web site and to other social media platforms as appropriate. To achieve this:
Based on the popularity and usage by members, choose a specific platform for social media and develop and brand the NOC page as the official voice of the NOC;
Establish specific open and closed groups from this page to cover specific events, activities, courses being offered and groups within the NOC;
Assign a specific Board member to monitor theses and draw on volunteers to assist to keep the pages up to date and active;
Ensure that the NOC Relations Department and Olympic Solidarity are included in the NOC links.</t>
  </si>
  <si>
    <t>COM-13|3</t>
  </si>
  <si>
    <t>The NOC has a multiple social media page/profiles interconnected with regular newsfeeds.</t>
  </si>
  <si>
    <t>The NOC has multiple platforms which it has branded and with which it has set up links to various sources of current news on sport and about the Olympic Movement. To achieve this:
Task a group of specialist volunteers or dedicated staff within the NOC to set up and maintain the most common social media platforms with a branded page for the NOC;
Monitor them closely and watch for inappropriate comments from external sources;
Ensure the links to news and current events are consistent across all platforms;
Monitor and report on likes and hits to all articles and events.</t>
  </si>
  <si>
    <t>COM-13|4</t>
  </si>
  <si>
    <t>The NOC has a documented social media strategy drawn up using both internally and externally available expertise. The NOC values the influence of its fans and the fans of its member NFs and seeks to interact with these fans in a positive way. To achieve this:
Task the Media Department through an assigned Board member to draft a full media strategy that meets the highest standards according to the Social Media industry and the Olympic Values;
Include in this strategy a functional interactive fan engagement area;
Ensure the strategy is not ambiguous;
Monitor and report on the execution of this strategy to the Board and to the G.A.</t>
  </si>
  <si>
    <t>SVC-01|0</t>
  </si>
  <si>
    <t>We have never attended a Games</t>
  </si>
  <si>
    <t>SVC-01|1</t>
  </si>
  <si>
    <t>It is primarily made up of the Board members and people known to them to take up funded places.</t>
  </si>
  <si>
    <t>The NOC is relatively newly established and has yet to establish broad networks, relying heavily on founding Board members and their immediate networks to build and operate the NOC. To that end, Games Missions are led by the people most active in the NOC and this usually means close friends and family of key Board members. The principles of good governance may still be upheld at this stage. To achieve this:
Identify and invite family and friends that have essential competencies that are willing to volunteer to be part of Games delegations.
Be aware that this may contravene the Basic Principles of Good Governance to which the IOC encourages all Olympic Sport Organisations to subscribe.
Develop job descriptions for delegation positions with a view to opening up opportunities beyond this group of people as soon as possible.</t>
  </si>
  <si>
    <t>SVC-01|2</t>
  </si>
  <si>
    <t>The mission includes coaches and minimal administration support.</t>
  </si>
  <si>
    <t>The NOC recognises the need to include people who are able to directly support the athletes. To achieve this:
Establish job descriptions for any positions likely to be filled for a Games mission;
Identify and invite essential coaches to be part of the mission;
Identify and invite competent administrative and support staff as required and agreed to by the Board and the AGM/Congress;
Include a member of the mission who is based in the Games Village and specifically responsible for small administrative tasks.</t>
  </si>
  <si>
    <t>SVC-01|3</t>
  </si>
  <si>
    <t>The mission includes coaches technical/medical support shared by sports and administrative support for the whole delegation.</t>
  </si>
  <si>
    <t>The NOC sends a Games mission that supports a large number of athletes, coaches and officials across a number of sports:
Establish clear selection criteria for all aspects of the NOC Games mission;
Work with NFs to identify and include key coaches and technical officials;
Include a medical team to work with all sports;
Include an administrative team to work with the entire delegation.</t>
  </si>
  <si>
    <t>SVC-01|4</t>
  </si>
  <si>
    <t>The mission includes specialized personnel for each sport and full administrative support.</t>
  </si>
  <si>
    <t>The Games mission is a very large undertaking requiring a full range of support services across a range of sports and athletic ability. The logistical needs are significant and require well-trained and experienced personnel to be in the Games Village and managing the public relations hub outside of the village. To form a mission made up of those who are able to carry out all Games support roles:
Work with NFs to identify their requirements for coaching, technical and medical support;
Include requirements where appropriate and possible;
Include full administrative support with specialist roles incorporated within a dedicated administrative support cell within the Games Village.</t>
  </si>
  <si>
    <t>SVC-02|0</t>
  </si>
  <si>
    <t>SVC-02|1</t>
  </si>
  <si>
    <t>The mission is selected from people known to NOC, usually Board members and friends.</t>
  </si>
  <si>
    <t>The network of people available to the NOC at this time is limited and so selecting people from within the existing network is essential provided they have some of the required skills. to achieve this:
Select Board members, family and friends who are available to be part of the Games mission that have the required skills and competencies.
Provide training as needed to ensure those selected can do the work that is required;
Draw up some simple guidelines against which, people are selected for the Games mission.</t>
  </si>
  <si>
    <t>SVC-02|2</t>
  </si>
  <si>
    <t>We have several criteria that are used for choosing the Games Mission.</t>
  </si>
  <si>
    <t>Selection criteria for all positions in a Games delegation allows the NOC to become more systematic in selecting the Games mission. To achieve this:
Identify criteria for selecting the Games mission that helps to meet the needs of athletes and the NOC;
Use these criteria for selecting the Games mission.</t>
  </si>
  <si>
    <t>SVC-02|3</t>
  </si>
  <si>
    <t>The NOC has developed Games Mission selection guidelines.</t>
  </si>
  <si>
    <t>The NOC has developed an objective system of selection based on guidelines that clearly describe the skills, knowledge and experience required for anyone selected to a position on the Games delegation. To achieve this:
Develop a policy for selecting the Games mission, which includes criteria for selection;
Use these guidelines to select the Games mission;
Evaluate the success of the guidelines and update when needed.</t>
  </si>
  <si>
    <t>SVC-02|4</t>
  </si>
  <si>
    <t>The NOC has a documented policy which sets out composition, selection and activities of the Games Mission.</t>
  </si>
  <si>
    <t>The NOC enhances the selection process of its Games Mission by setting out and documenting a clear policy which forms the basis of a full human resource process to recruitment, selection and training of people on its Games delegation. To achieve this:
Develop a policy to include selection mechanisms and responsibilities of the Games mission;
Use this policy to select the Games mission;
Evaluate the success of the policy.</t>
  </si>
  <si>
    <t>SVC-03|0</t>
  </si>
  <si>
    <t>SVC-03|1</t>
  </si>
  <si>
    <t>The team is determined by other agencies (e.g. NF, government).</t>
  </si>
  <si>
    <t>The NOC acts as an agent in the selection of athletes to represent it at international multisport events and achieves this by providing selection guidelines to each of its member federations based on published qualifying standards ratified by the International governing Bodies for sport. Team selection is left entirely to the member NFs. To achieve this:
Develop NOC guidelines for selection;
Communicate these guidelines;
Lobby member NFs for the NOC to be involved in selection decisions.</t>
  </si>
  <si>
    <t>SVC-03|2</t>
  </si>
  <si>
    <t>The NOC has a selection justification committee that operates without a specific selection policy.</t>
  </si>
  <si>
    <t>The NOC has established a selection justification committee to monitor the selection of athletes, coaches and officials by its member NFs according to agreed selection guidelines. To achieve this:
Establish the role of the NOC in selecting athletes;
Develop guidelines for athlete selection;
Communicate this policy;
Appoint a Board member to head up a Selection Justification Committee formed of key stakeholders and representatives of the member NFs
Meet to discuss and ratify all selections forwarded by the Member NFs
Forward the final selection of delegations to the Board for approval</t>
  </si>
  <si>
    <t>SVC-03|3</t>
  </si>
  <si>
    <t>The NOC has a selection justification committee that is guided by a specific selection policy.</t>
  </si>
  <si>
    <t>The NOC has established a clear selection policy in consultation with its member NFs and this policy in turn informs the selection guidelines used to justify the selection of all members of a Games delegation. To achieve this:
The NOC should establish a committee for selecting athletes, coaches and officials;
This committee should select athletes, coaches and officials according to the policy agreed to with each NF individually;
An explanation of selections should be made available to all stakeholders;
The Selection Justification Committee provides the final say on the make up of NOC representative teams and presents this list to the Board for approval.</t>
  </si>
  <si>
    <t>SVC-03|4</t>
  </si>
  <si>
    <t>The NOC has documented selection criteria, which have been agreed with each member NF and are enforced by an independent committee.</t>
  </si>
  <si>
    <t>The NOC may assume full control of the selection process or delegate this to each member federation provided it has established its own selection justification committee that operates according to the standards set by and agreed by the NOC. To achieve this:
The NOC should develop and communicate a clear set of selection criteria in consultation with each individual member NF and encourage the NF to establish its own selection justification committee;
Athletes, coaches and officials should be selected according to this policy and this should be communicated to the NOC for approval by its SJC and the Board;
An appeals process should be established within the NOC to hear any grievances over selection.</t>
  </si>
  <si>
    <t>SVC-04|0</t>
  </si>
  <si>
    <t>Never considered.</t>
  </si>
  <si>
    <t>SVC-04|1</t>
  </si>
  <si>
    <t>No tangible support, but we are aware of the issues.</t>
  </si>
  <si>
    <t>The NOC understands the sacrifices made by athletes but lacks the resources to provide much support beyond that which might be available from external sources such as Olympic Solidarity or Government. To understand the issues facing athletes:
Consult with athletes in terms of their needs for support in their athlete career;
Ensure that all Board members are aware of these needs.
Make full use of any programmes of support for athletes that might be available.</t>
  </si>
  <si>
    <t>SVC-04|2</t>
  </si>
  <si>
    <t>The NOC provides support when opportunities arise.</t>
  </si>
  <si>
    <t>The NOC has the means to provide some support for athletes working in partnership with sponsors as well as its member NFs. To provide some level of support for athletes during their career:
Develop a list of needs the NOC might be able to assist with;
Provide support to athletes where possible;
Look for other providers of support to help athletes where the NOC can't.</t>
  </si>
  <si>
    <t>SVC-04|3</t>
  </si>
  <si>
    <t>The NOC assists with post athletic support as the athlete’s career ends.</t>
  </si>
  <si>
    <t>The NOC recognises the need to help athletes prepare for retirement. It has established a post athlete career scheme in partnership with external stakeholders and sponsors to assist athletes make their transition into retirement. To achieve this:
Consult with athletes in terms of what they might need as their career finishes/is finished;
Identify what support the NOC can provide;
Identify other means of supporting needs and assist athletes to access these.</t>
  </si>
  <si>
    <t>SVC-04|4</t>
  </si>
  <si>
    <t>The NOC offers comprehensive support and counselling available throughout a designated athlete’s career programme.</t>
  </si>
  <si>
    <t>The NOC has established a viable and aggressive programme of athlete support working in partnership with its member NFs and external agencies like the government and key corporate sponsors and supporters. To provide an athlete career support plan:
Develop an athlete career support plan;
Resource this appropriately;
Implement and evaluate.</t>
  </si>
  <si>
    <t>SVC-05|0</t>
  </si>
  <si>
    <t>Education has never been considered.</t>
  </si>
  <si>
    <t>SVC-05|1</t>
  </si>
  <si>
    <t>The NOC doesn’t provide any formal coach and official education</t>
  </si>
  <si>
    <t>The member NFs have an understanding of what education for coaches and officials might be required and is aware of NOC and IF supported programmes and government generated education that it can take part in. To achieve this:
Consult with coaches and officials from each member NF to identify what education they might need;
Review OS programmes to see what might be appropriate;
Review what government programmes for education coaches and officials might be available in the country;
Discuss and agree with member NFs on the systematic delivery of coach education courses available through O.S. and the International Federations(I.Fs).</t>
  </si>
  <si>
    <t>SVC-05|2</t>
  </si>
  <si>
    <t>The NOC provides education activities on an ad-hoc basis by utilising OS programmes.</t>
  </si>
  <si>
    <t>The NOC supports a basic level of education by coordinating programmes offered by the NOC and International Governing Bodies for sport to deliver education programmes in-country. To achieve this:
Obtain OS funding for appropriate education, through Olympic Solidarity and with the support of the IF;
Offer programmes of education in partnership with a recognised provider;
Evaluate the success of these.</t>
  </si>
  <si>
    <t>SVC-05|3</t>
  </si>
  <si>
    <t>The NOC works with and encourages NFs to provide sport specific coach and official education in line with its strategic plan.</t>
  </si>
  <si>
    <t>The NOC has established an educational framework in cooperation with member N.F.s and partner organisations to support the development of coaches and officials within the country. To achieve this:
Consult with NFs on their education requirements;
Assist NFs to provide appropriate education and training programmes using both NOC resources and partner education provider resources;
Support their delivery and evaluate with the NF.</t>
  </si>
  <si>
    <t>SVC-05|4</t>
  </si>
  <si>
    <t>The activities that are provided by the NOC are part of an integrated national education framework for coaches and officials.</t>
  </si>
  <si>
    <t>The NOC endeavours to complement the existing coach and officials education framework that has been established, by offering to include its courses and those offered by the I.F.s into the certification that has been provided. To achieve this:
Work to develop a national framework for education;
Encourage and support the delivery of the education programme;
Send in the details of all courses offered through the NOC to the Administrative body responsible for the Sport Education framework in the country to determine its credit level and efficacy;
Contribute where possible and appropriate.</t>
  </si>
  <si>
    <t>SVC-06|0</t>
  </si>
  <si>
    <t>We do not support member NFs.</t>
  </si>
  <si>
    <t>SVC-06|1</t>
  </si>
  <si>
    <t>We support the member NFs via OS programmes and funding.</t>
  </si>
  <si>
    <t>As members of the NOC we recognise that the strength of the NOC is dependent upon the strength of the NFs. Supporting the development of the NFs is essential and we support NFs with programme funding that is available to the NOC. To achieve this:
Identify OS and other programmes that support NFs;
Consult with NFs to establish NF needs;
Support NFs with OS funding where appropriate.</t>
  </si>
  <si>
    <t>SVC-06|2</t>
  </si>
  <si>
    <t>The NOC works in partnership with NFs to develop their capacity.</t>
  </si>
  <si>
    <t>To help develop the capacity of NFs:
Use the NF UMAP to identify development needs that are based on the aspirations of each NF;
Establish a plan to meet shortfalls in the readiness of the NF to engage with an established programme of support;
Support NFs in their achievement of the plan.</t>
  </si>
  <si>
    <t>SVC-06|3</t>
  </si>
  <si>
    <t>The NOC works in partnership with other agencies to develop the capacity of NFs.</t>
  </si>
  <si>
    <t>The NOC has established partnerships with external agencies that have the capabilities to further develop the capacity of NFs. To make use of this:
Seek support from other sources to promote the development of NFs;
Help to create networks that build the capacity of the NFs.</t>
  </si>
  <si>
    <t>SVC-06|4</t>
  </si>
  <si>
    <t>Our NFs are self-sustaining and provide substantial support to the NOC.</t>
  </si>
  <si>
    <t>The members of the NOC are by and large well established and viable Organisations that contribute well to NOC programmes offering support to other members to further their development. The NOC acts as a conduit to facilitate this process. To provide support where required:
Ensure that relationships with NFs are positive, supportive of the NOC and help achieve objectives.</t>
  </si>
  <si>
    <t>SVC-07|0</t>
  </si>
  <si>
    <t>SVC-07|1</t>
  </si>
  <si>
    <t>We are not in a position to provide advice and support</t>
  </si>
  <si>
    <t>To establish possible avenues of advice and support:
Identify sources of advice and support that are available outside of the NOC;
Communicate these to NFs.</t>
  </si>
  <si>
    <t>SVC-07|2</t>
  </si>
  <si>
    <t>Advice and support is limited to areas in which Board members and staff have expertise.</t>
  </si>
  <si>
    <t>The NOC seeks out people and resources from within its membership to assist calls for assistance. To provide some level of advice and support:
Identify what expertise NOC members have in terms of business advice and support;
Make this available to NFs.</t>
  </si>
  <si>
    <t>SVC-07|3</t>
  </si>
  <si>
    <t>We provide advice and support across a wide range of areas according to our strategic plan.</t>
  </si>
  <si>
    <t>The NOC has a number of experienced sport administrators and business leaders available to it to call upon when needed. To provide a range of advice and support to our NFs:
Develop a list of advice and support that NFs can access;
Ensure that access to this advice and support is available;
Regularly communicate the areas in which the NOC can help.</t>
  </si>
  <si>
    <t>SVC-07|4</t>
  </si>
  <si>
    <t>If required, advice and support can be provided across any aspect of business activity.</t>
  </si>
  <si>
    <t>The NOC is dedicated to professionalising its own Organisation as well as its members. To fully support its member NFs:
Identify all areas of business advice and support that is required by NFs;
Ensure that there is access to expertise in all of these areas either from within or outside the NOC.</t>
  </si>
  <si>
    <t>SVC-08|0</t>
  </si>
  <si>
    <t>We have never thought about it</t>
  </si>
  <si>
    <t>SVC-08|1</t>
  </si>
  <si>
    <t>No, it doesn’t.</t>
  </si>
  <si>
    <t>The NOC has started to identify opportunities for bidding for events and supporting our member NFs in their bid to host regional competitions. We do recognise the benefits of hosting events but may not yet be able to do so economically. To think more about hosting events:
Identify potential events the NOC or its affiliates could bid for;
Discuss how the NF might begin to bid for appropriate events;
Consider what partnerships are needed, e.g. the member NFs, Government, in order to bid successfully to host events.</t>
  </si>
  <si>
    <t>SVC-08|2</t>
  </si>
  <si>
    <t>Yes, mini regional events.</t>
  </si>
  <si>
    <t>To bid/host small events:
Establish a sub-committee to develop bids for mini events;
Carry out research to establish what is required to bid for and stage mini events;
Bid when the organisation is 'ready' to host the event to the required standard.</t>
  </si>
  <si>
    <t>SVC-08|3</t>
  </si>
  <si>
    <t>We bid for and/or host major regional events.</t>
  </si>
  <si>
    <t>The NOC is active in seeking opportunities to host manageable regional events and has either hosted events or has bid to host them. To achieve this
Successfully stage a number of mini regional events;
Carry out research to establish what is required to bid for and stage major regional events;
Evaluate the strengths and weaknesses of these events;
Bid for a major event when appropriate.</t>
  </si>
  <si>
    <t>SVC-08|4</t>
  </si>
  <si>
    <t>We bid for and host major international events.</t>
  </si>
  <si>
    <t>The NOC has either held or bid to hold major international events either in partnership with its members, with government or in its own right to host a major international multisport championship. To achieve this:
Use the lessons learned from staging regional events to successfully bid for and stage international events.</t>
  </si>
  <si>
    <t>SVC-09|0</t>
  </si>
  <si>
    <t>We have never attended a multisport Games.</t>
  </si>
  <si>
    <t>SVC-09|1</t>
  </si>
  <si>
    <t>The NOC organises travel for the delegation.</t>
  </si>
  <si>
    <t>The NOC provides essential support for attending Multisport Games, including travel, team entries and basic administration before, during and after the event. Travel is by far the most significant item both in terms of cost and time spent. To achieve this:
Understand delegation travel requirements;
Create a brief for these requirements and send out to potential providers;
Select a travel provider according to the best fit with the delegation requirements.</t>
  </si>
  <si>
    <t>SVC-09|2</t>
  </si>
  <si>
    <t>The NOC provides additional support in the form of uniforms and equipment and some funding.</t>
  </si>
  <si>
    <t>The NOC has the means to improve its support for delegations with an emphasis on the provision of team uniforms, especially out of competition, and team branding for equipment and material. To achieve this:
Identify a means of providing uniforms and equipment for the delegation, either by sponsorship or direct funding;
Allocate funding where possible and appropriate.</t>
  </si>
  <si>
    <t>SVC-09|3</t>
  </si>
  <si>
    <t>The NOC provides comprehensive support for delegations, including team management and funding.</t>
  </si>
  <si>
    <t>The NOC now has the means to take on full responsibility for supporting its delegations, providing comprehensive administrative support, support services including a Hospitality House, Team functions, ticketing and merchandising, funding subsidies, sport science and medical support and preparation opportunities for athletes, coaches and officials. To provide comprehensive support:
Consult with sports to understand what the delegation might require;
Develop a plan for delivering these requirements;
Appoint a team managers to support the delegation as appropriate;
Allocate funding where possible and appropriate.</t>
  </si>
  <si>
    <t>SVC-09|4</t>
  </si>
  <si>
    <t>The NOC provides complete support for Games delegations including funding, all team staff and logistical support.</t>
  </si>
  <si>
    <t>Attending Multi-sport Games is the core business of the NOC and we are geared up to provide full support to all members of our delegation. To achieve this:
Establish a delegation support function;
Consult with all NFs to identify what is required;
Identify these requirements where appropriate and possible;
Evaluate support provided.</t>
  </si>
  <si>
    <t>SVC-10|0</t>
  </si>
  <si>
    <t>We have never done anything for Olympic Day.</t>
  </si>
  <si>
    <t>SVC-10|1</t>
  </si>
  <si>
    <t>Olympic Day activities are organised occasionally.</t>
  </si>
  <si>
    <t>The NOC has used assistance from Olympic Solidarity to run ad-hoc Olympic Day events, usually around a single sport, like the Olympic Day Run. We do recognise the need to promote Olympic Day. To achieve this:
Identify opportunities to promote Olympic Day;
Seek partnerships to help with organising activities;
Stage the activity and evaluate.</t>
  </si>
  <si>
    <t>SVC-10|2</t>
  </si>
  <si>
    <t>An Olympic Day activity is organised annually.</t>
  </si>
  <si>
    <t>Olympic Day is an annual event and is prominent on our annual calendar of events. The NOC uses Olympic Day to promote our activities as well as the messages of Olympism and the spirit of the Olympic values. To hold an annual event on Olympic Day:
Appoint a member of the Board to be responsible for organising the Olympic Day run;
Include an annual Olympic Day run in the strategic plan of the NOC;
organise and run an Olympic Day run or sport festival each year.</t>
  </si>
  <si>
    <t>SVC-10|3</t>
  </si>
  <si>
    <t>The NOC organises a programme of Olympic related events around Olympic Day.</t>
  </si>
  <si>
    <t>The NOC conducts an annual series of events that promote the Olympic Values and Olympism. Our series is diverse and recognises some of the sports played across the membership of the NOC. To raise the profile of Olympic Day:
Establish a subcommittee for Olympic Day activities;
Identify opportunities that support and represent an Olympic Day;
Deliver these activities over an appropriate timescale and evaluate.</t>
  </si>
  <si>
    <t>SVC-10|4</t>
  </si>
  <si>
    <t>The NOC organises an annual Olympic festival.</t>
  </si>
  <si>
    <t>The NOC conducts an annual festival of events that promote the Olympic Values and Olympism and the use of sport to serve the development of a balanced and healthy community. Our festival is diverse and recognises all of the sports played across the entire membership of the NOC. To achieve this:
Appoint a member of staff or specialist volunteer to take charge of the Olympic festival;
Develop an Olympic festival strategy;
Deliver and evaluate the festival.</t>
  </si>
  <si>
    <t>SVC-11|0</t>
  </si>
  <si>
    <t>SVC-11|1</t>
  </si>
  <si>
    <t>The NOC has some memorabilia but it generally stays with members or past members.</t>
  </si>
  <si>
    <t>The NOC has no headquarters of common area to display its memorabilia. Board members are entrusted to keep materials accumulated from involvement in Olympic events and should pass them on once they leave office. To achieve this:
Understand why it is necessary to recognise legacy;
Keep a register of who has kept what NOC memorabilia;
Ensure that when Board members move on, that they hand over significant pieces of NOC memorabilia to their successor or to the NOC office if it becomes established;
Identify ways of recognising the NOC legacy.</t>
  </si>
  <si>
    <t>SVC-11|2</t>
  </si>
  <si>
    <t>The NOC informally collects and displays Olympic-related  memorabilia in the NOC office.</t>
  </si>
  <si>
    <t>The NOC prides itself in demonstrating the legacy of the NOC with souvenirs such a Olympic Torches, delegation photographs and other such souvenirs of its international activities. To achieve this:
Establish a mechanism for collecting memorabilia;
Have a space for displaying this memorabilia;
Communicate the presence of this display to key stakeholders.</t>
  </si>
  <si>
    <t>SVC-11|3</t>
  </si>
  <si>
    <t>The NOC has a formal collection of material that represents its athletes and its involvement in the Olympic Movement.</t>
  </si>
  <si>
    <t>We extend the legacy of the NOC by formally displaying our memorabilia in a designated area as part of the headquarters. To achieve this:
Expand the collection to include information and education about the Olympic Movement;
Set aside specific space for storing and displaying NOC memorabilia;
Actively promote this amongst key stakeholders.</t>
  </si>
  <si>
    <t>SVC-11|4</t>
  </si>
  <si>
    <t>The NOC has a permanent collection of material, such as an Olympic Museum or Library, which represents its athletes and its involvement in the Olympic Movement, available to public.</t>
  </si>
  <si>
    <t>The NOC has established a collection that recognises the NOC legacy. To achieve this:
Establish a fixed and established space for an Olympic collection;
Allocate responsibility for managing this collection;
Promote this widely to all key stakeholder, in particular the public;
Work closely with schools to promote the collection.</t>
  </si>
  <si>
    <t>EXT-01|0</t>
  </si>
  <si>
    <t>The NOC has no formal relationship with government.</t>
  </si>
  <si>
    <t>EXT-01|1</t>
  </si>
  <si>
    <t>There is an uneasy relationship with government based on a misunderstanding of each other's role in sport.</t>
  </si>
  <si>
    <t>The NOC currently strives to build relationships with government and is challenged by a conflict of understanding of its role in sport by government. To build relationships with government:
Identify people in government that the NOC can liaise with;
Be clear about what both parties might get from such a relationship;
Encourage Board members to engage with appropriate government staff.</t>
  </si>
  <si>
    <t>EXT-01|2</t>
  </si>
  <si>
    <t>We work in co-operation with government on community sport related initiatives.</t>
  </si>
  <si>
    <t>The NOC works well with government and cooperates and seeks cooperation with government on its community and education objectives as well as support for its elite athlete development programme. To achieve this:
Identify community initiatives that you could work in partnership with government;
Be clear about what both parties might get from such initiatives;
Promote these initiatives with government staff with whom the NOC has a relationship.</t>
  </si>
  <si>
    <t>EXT-01|3</t>
  </si>
  <si>
    <t>We co-operate over a range of community sport and national sport initiatives including policy development.</t>
  </si>
  <si>
    <t>The NOC is rapidly approaching a level of partnership with government and this includes establishment of both national and community level sport development programmes. The NOC has some influence on government sport policy acting as an advisor. To achieve this:
Establish a mechanism by which the NOC and government can communicate and liaise on a regular basis;
Lobby to place NOC officers onto key government working groups on sport;
Invite Government officials onto NOC working groups, commissions and delegations
Work together to identify sport initiatives that benefit both the NOC and the government.</t>
  </si>
  <si>
    <t>EXT-01|4</t>
  </si>
  <si>
    <t>There is a positive and complementary relationship between activities of the NOC and government in all matters to do with sport.</t>
  </si>
  <si>
    <t>The NOC has a well established and trusted relationship with government that respects fully the autonomy and independence of the NOC while maintaining a high level of cooperation and interaction with government. The NOC has a direct and significant influence on shaping national sport policy, while government views and policies that affect the activities of the NOC are accommodated and respected. To achieve this:
Work with government to identify what each party needs to do to support the other;
Develop plans which are complementary and mutually supporting;
Ensure that government is represented on NOC commissions and the NOC is represented on government working groups on sport;
Monitor this relationship and revise as both parties see necessary.</t>
  </si>
  <si>
    <t>EXT-02|0</t>
  </si>
  <si>
    <t>Our NFs are not active.</t>
  </si>
  <si>
    <t>EXT-02|1</t>
  </si>
  <si>
    <t>Our NFs are not involved in the delivery of NOC activities.</t>
  </si>
  <si>
    <t>The NFs remain very much involved in their own development and activities and see the NOC as a source of support or funding without really showing commitment to the development of the NOC. The NOC would like to involve NFs in the work of the NOC. To achieve this:
Hold a meeting of all NFs to communicate, consult and clarify the role of the NOC and NFs;
Identify and discuss how NFs might be involved in the NOC's activities;
Identify what support NFs need to be able to do this.</t>
  </si>
  <si>
    <t>EXT-02|2</t>
  </si>
  <si>
    <t>Our NFs work with the NOC to deliver targeted sport activities.</t>
  </si>
  <si>
    <t>The majority of our NFs are becoming more active as members of the NOC and contribute occasionally to NOC specific activities, like the Olympic Day and are becoming increasingly engaged with our working groups. To increase NF involvement in NOC work:
Identify NFs that are able to help with targeted sport activities;
Establish what support they need, to be able to do this;
Provide this support, or help the NF to obtain the necessary support.</t>
  </si>
  <si>
    <t>EXT-02|3</t>
  </si>
  <si>
    <t>Our NFs work in co-operation with the NOC to deliver a range of sport activities.</t>
  </si>
  <si>
    <t>All of our NFs are now considered active in the affairs and programmes of the NOC and we work cooperatively to deliver a broad range of sports services and activities to the community and in representing the country at international events. To ensure that all the member NFs are involved in NOC work:
Establish a mechanism by which opportunities for co-operation can be identified and communicated;
Amalgamate the calendar of each of the member NFs and incorporate them into an annual calendar of events and activities;
Ensure the member NFs are well represented on the NOC Commissions and working groups;
Work with appropriate NFs to develop plans for delivering sport activities, including education programmes and special competitions or events.</t>
  </si>
  <si>
    <t>EXT-02|4</t>
  </si>
  <si>
    <t>Our NFs are full partners with the NOC in the delivery of sport.</t>
  </si>
  <si>
    <t>The NOC proudly boasts full and enthusiastic involvement of its member NFs in its activities and policies. The NFs are the NOC and to that end it is essential that every effort is made to include them. To that end, serving on governing and management positions on the NF may also be seen as a training ground for working in the NOC and will hopefully manifest itself in a competitive process for the election of NOC officials as well as the appointment of staff. To achieve this:
Hold regular planning meetings to ensure that NFs and the NOC are working together to achieve key objectives;
Ensure that opportunities for representation on Commissions and Working groups are available to all NF members and audit this regularly to confirm that representation is not overly dominated by a small number of NFs;
Evaluate the activities of both parties and the partnership on a regular basis.</t>
  </si>
  <si>
    <t>EXT-03|0</t>
  </si>
  <si>
    <t>EXT-03|1</t>
  </si>
  <si>
    <t>We make little impact.</t>
  </si>
  <si>
    <t>The NOC has very little or no influence on national sport policy unless one of our Board members also sits in an influential government position. The NOC does recognise the need to start to make impact on national sport policy as an Organisation. To achieve this:
Identify who is important in developing sport policy;
Establish a way of contacting these people;
Encourage the Board to identify and create relationships with the people who are instrumental in establishing national sports policy or who might one day be involved in this.</t>
  </si>
  <si>
    <t>EXT-03|2</t>
  </si>
  <si>
    <t>We make an indirect impact via personal networks.</t>
  </si>
  <si>
    <t>The NOC has more than one person from the Organisation who sits in an influential capacity on a government committee that either directly or indirectly influences national sports policy. Alternatively, our officers are friends of key people in government and can express their opinions to them and be heard. To achieve this:
Be aware of who in the NOC has personal relationships with those responsible for national sport policy;
Get them to actively lobby for the NOC to be a key stakeholder in developing policy;
Encourage others to develop personal networks that will assist the NOC to impact on sport policy.</t>
  </si>
  <si>
    <t>EXT-03|3</t>
  </si>
  <si>
    <t>We make an impact via invitations to take part in working groups to shape sport policy.</t>
  </si>
  <si>
    <t>The NOC receives invitations and takes up positions on key government working groups that are established to discuss issues that may inform the need to establish a policy point pertaining to sport, physical education or any other sport related matter. The NOC sees itself as a major influencer and lobby for sport and actively seeks to be involved in such working groups. To achieve this:
Actively promote the potential role of the NOC in sport policy;
Hold NOC events to discuss sport policy and inform government of the outcomes;
Accept invitations to discuss/contribute/ be consulted on sport policy whenever offered.</t>
  </si>
  <si>
    <t>EXT-03|4</t>
  </si>
  <si>
    <t>The NOC is a lead agency in developing national sport policy.</t>
  </si>
  <si>
    <t>The NOC is recognised as a lead agency for sport in the country and takes a proactive role in shaping Government sport policy due to the expertise and competencies in sport it has available to it. It is important that this expertise is recognised by government and that the NOC is included in some way in the formulation and promulgation of national sport policy. To achieve this:
Communicate the key role of the NOC in developing sport policy;
Develop mechanisms for consulting on sport policy with all key stakeholders;
Establish clear processes for considering/developing and revising policy;
Evaluate the success of these activities on a regular basis.</t>
  </si>
  <si>
    <t>EXT-04|0</t>
  </si>
  <si>
    <t>The NOC works alone.</t>
  </si>
  <si>
    <t>EXT-04|1</t>
  </si>
  <si>
    <t>The NOC has a few partnerships based on personal relationships with Board members.</t>
  </si>
  <si>
    <t>The NOC has no formal partnerships in place with external agencies but informally through personal relationships may have been able to enhance opportunities for the NOC. To achieve this:
Identify agencies and individuals that NOC should be in partnership with;
Approach those with whom partnerships are important or valuable using people from within the NOC who may be known to them;
Set out the benefits of partnership working;
Establish initial partnerships.</t>
  </si>
  <si>
    <t>EXT-04|2</t>
  </si>
  <si>
    <t>The NOC works in partnership with relevant agencies for specific activities on an Ad Hoc basis.</t>
  </si>
  <si>
    <t>The NOC recognises the need to work formally with external agencies and does so but on an ad hoc basis, responding to opportunities as they arise. We recognise that the NOC needs to further develop partnerships and work cooperatively with organisations that have similar objectives. To achieve this:
Identify a few activities that would benefit from working with a partner;
Establish a partnership to deliver these activities;
Evaluate all partnerships to determine how well they work and how they help the NOC achieve its objectives.</t>
  </si>
  <si>
    <t>EXT-04|3</t>
  </si>
  <si>
    <t>The NOC works in partnership with a range of commercial and non-commercial partners to deliver quality sport services.</t>
  </si>
  <si>
    <t>The NOC has established a portfolio of formal partnerships with both government and non-government Organisations to deliver and enhance sports services. To achieve this:
Review the range of activities that the NOC offers and could contribute to;
Establish firm partnerships to deliver these activities.</t>
  </si>
  <si>
    <t>EXT-04|4</t>
  </si>
  <si>
    <t>The NOC has a number of formally endorsed partnerships to deliver a range of sport services.</t>
  </si>
  <si>
    <t>The NOC has a well established portfolio of partnerships that have been formally endorsed by the G.A. including major national initiatives like the national sports institute or national doping control agency. To achieve this:
Review the strategic objectives of the NOC and revise where necessary;
Establish a section within the management of the NOC that specifically works to develop and maintain partnerships with external agencies;
Conduct appraisals of staff and board members responsible for partnerships based on agreed set targets;
Continue to review the potential for partnership development and take advantage of this.</t>
  </si>
  <si>
    <t>EXT-05|0</t>
  </si>
  <si>
    <t>It isn't.</t>
  </si>
  <si>
    <t>EXT-05|1</t>
  </si>
  <si>
    <t>The NOC and its members are represented on an ad-hoc basis at international meetings.</t>
  </si>
  <si>
    <t>The NOC recognises the need to increase the visibility of the NOC in the Olympic Movement as a means of gaining better access to and awareness of its services and opportunities. To achieve this:
Identify the meetings that the NOC MUST be represented at;
Identify appropriate Board members to attend those meetings;
Ensure that attendees are fully briefed;
Ensure that the delegate reports back to the executive Board and lists any actions to be taken.</t>
  </si>
  <si>
    <t>EXT-05|2</t>
  </si>
  <si>
    <t>The NOC and its members are regularly represented at international meetings as an expert on the areas addressed there.</t>
  </si>
  <si>
    <t>The NOC has achieved a good profile in the Olympic Movement due to the presence of people from the NOC on at least one IOC Commission or through an IOC Member who resides in the country. To achieve this:
Establish portfolios for Board members that reflect international meetings;
Ensure that the Board member responsible for each portfolio attends the appropriate meeting;
Ensure that the Board member responsible reports back to the Board on all meetings attended and oversees the meeting of deadlines attached to that portfolio.</t>
  </si>
  <si>
    <t>EXT-05|3</t>
  </si>
  <si>
    <t>The NOC and its members are represented on continental bodies and/or commissions.</t>
  </si>
  <si>
    <t>Members of our NOC and our member Organisations routinely sit on the Boards or Commissions of continental Organisations and we are seen as important contributors to the development of sport at the continental level. to achieve this:
Encourage Board members to promote the NOC and lobby for further representation;
Ensure that Board members stand for further representation.</t>
  </si>
  <si>
    <t>EXT-05|4</t>
  </si>
  <si>
    <t>The NOC and its members are represented on IOC Commissions, ANOC, IFs and/or we have IOC members in country.</t>
  </si>
  <si>
    <t>The NOC has members who assume significant and important positions on key international Organisations or we have high profile IOC members who either sit on the IOC Executive Board or head up IOC or ANOC Commissions. To achieve this:
Promote members of the NOC amongst peer groups and other stakeholders;
Encourage Board members to take on roles that will lead to further representation;
Support members with their roles, should they be successful.</t>
  </si>
  <si>
    <t>EXT-06|0</t>
  </si>
  <si>
    <t>No representation.</t>
  </si>
  <si>
    <t>EXT-06|1</t>
  </si>
  <si>
    <t>Limited and based on personal networks.</t>
  </si>
  <si>
    <t>The NOC has no official representation on any non-sporting agencies but informally may have members who are ad who may voice the opinion of the NOC if appropriate in that forum. The NOC recognises the need to develop relationships with non-sporting agencies that may help to promote Olympism and the Olympic Values. To achieve this:
Identify members who may be on the Board or are associated with Organisations that might be of value to the NOC;
Discuss the possibility of lobbying these Organisation for funding support or to work cooperatively on projects that have mutual interest;
Identify non-sporting agencies that the NOC should be represented on, in line with the Olympic values;
Identify how representation might be achieved.</t>
  </si>
  <si>
    <t>EXT-06|2</t>
  </si>
  <si>
    <t>The NOC has representation on community agencies</t>
  </si>
  <si>
    <t>The NOC is represented on at least one community agency concerned with the development of people, as a voice for the role of sport. The NOC believes that it needs to establish its profile as a lead agency for sport nationally but recognises that it needs to establish its credibility by working at the community level as well as nationally. To achieve this:
Identify which community agencies the NOC should be represented on;
Identify how representation might be achieved;
Lobby for NOC representation.</t>
  </si>
  <si>
    <t>EXT-06|3</t>
  </si>
  <si>
    <t>The NOC has representation on national agencies.</t>
  </si>
  <si>
    <t>The NOC is officially represented on at least one national non-sporting agency. The NOC recognises that it needs to establish itself with a national profile for sport and be considered as experts in the field of sport. To achieve this:
Identify which national agencies the NOC should be represented on;
Identify how representation might be achieved;
Lobby for NOC representation.</t>
  </si>
  <si>
    <t>EXT-06|4</t>
  </si>
  <si>
    <t>The NOC has representation on international agencies.</t>
  </si>
  <si>
    <t>The NOC is represented on at least one international non-sporting agency. The NOC accepts that sport can influence lives in many ways and play an important role in non-sporting areas including health, social development and poverty alleviation and seeks to sit on bodies that work in these areas. To achieve this:
Identify which international agencies the NOC should be represented on;
Identify how representation might be achieved;
Lobby for NOC representation.</t>
  </si>
  <si>
    <t>EXT-07|0</t>
  </si>
  <si>
    <t>EXT-07|1</t>
  </si>
  <si>
    <t>Ad-hoc personal contact and/or through NFs.</t>
  </si>
  <si>
    <t>The NOC has no formal relationship with athletes but may be in contact with athletes through their individual NF members or through personal contact of Board members who also sit on their respective NF Board. To achieve this:
Be aware of the contact that Board members have with the athletes from the NF they also belong to;
Know how NFs communicate with athletes;
Take advantage of these mechanisms to communicate with athletes.</t>
  </si>
  <si>
    <t>EXT-07|2</t>
  </si>
  <si>
    <t>We hold ad hoc forums for athletes as need arises, but direct contact is rare.</t>
  </si>
  <si>
    <t>We hold occasional assemblies or forums for athletes as part of the team formation process prior to travelling to a major event, however direct contact remains with the respective NFs. The NOC recognises the need to establish an Athletes Commission. To achieve this:
Discuss the formation of an Athletes Commission, at Board level, in line with IOC requirements and seek approval for establishing an Athletes Commission at the G.A.;
Encourage each member NF to establish their own specific Athletes' Commission or Organisation to establish a 'Voice' for the athletes.</t>
  </si>
  <si>
    <t>EXT-07|3</t>
  </si>
  <si>
    <t>The NOC has a formal process of communicating with athletes through an active Athletes Commission.</t>
  </si>
  <si>
    <t>The NOC encourages the active involvement of athletes in the NOC, through the establishment of an Athletes Commission that draws on representation from each of its Member NFs. To achieve this:
Establish an athlete's commission that is truly representative of the membership of the NOC;
Ensure the Athletes Commission meets regularly;
Support the Commission's activities by having mechanisms and resources for regular athlete consultation;
Hold regular forums that provide athletes with the opportunity to contribute the work of the NOC.</t>
  </si>
  <si>
    <t>EXT-07|4</t>
  </si>
  <si>
    <t>The athlete representative is a vocal advocate for athletes' interest on the EB.</t>
  </si>
  <si>
    <t>The NOC makes provision for an athlete representative to hold a position on the Board of the NOC to represent the 'Voice' of the athletes. The athlete is nominated and elected by the athletes across all of the NOC member NFs. To achieve this:
Instruct the Athletes' Commission to establish a mechanism for selecting an athlete representative to the Board of the NOC;
Create one or more places on the Board for athlete's representative(s) to play an active role in policy development in the NOC;
Support this initiative with a comprehensive information dissemination programme that ensures decisions made by the Board and the involvement of the athlete's representative is fully appreciated by the general athlete population;
Establish an athlete's forum, managed by the Athlete's Commission where athletes can raise matters of interests on concerns that can be heard by the Board.</t>
  </si>
  <si>
    <t>EXT-08|0</t>
  </si>
  <si>
    <t>The NOC has no relationships with media.</t>
  </si>
  <si>
    <t>EXT-08|1</t>
  </si>
  <si>
    <t>We have individual relationships based on personal contacts.</t>
  </si>
  <si>
    <t>The NOC has no formal relationships with the media but may have access to some media outlets by virtue of the personal relationships that may exist with members of the NOC. To achieve this:
Identify the media Organisations the NOC should have relationships with;
Identify the benefits to both parties of a relationship;
Identify what personal relationships with key media outlets might exist with members of the NOC;
Establish potential ways of developing relationships initially through these informal contacts but leading towards a more formal arrangement.</t>
  </si>
  <si>
    <t>EXT-08|2</t>
  </si>
  <si>
    <t>The NOC makes formal approaches to media Organisations.</t>
  </si>
  <si>
    <t>The NOC has made a number of formal approaches to media Organisations and has at least one formal arrangement in place. To achieve this:
Identify what media Organisations the NOC should attempt to establish a formal relationship with;
Make formal approaches to these Organisations to establish a formal working relationship with them;
Appoint a media liaison person from the Board to manage our media relationships.
Encourage our member NFs to coordinate their media collaborations with the NOC</t>
  </si>
  <si>
    <t>EXT-08|3</t>
  </si>
  <si>
    <t>The NOC has a network of media contacts who consistently cover our activities and developments.</t>
  </si>
  <si>
    <t>THE NOC has now established a healthy range of connections and formal arrangements with media Organisations and strives to work with them to cover all of our activities and any new developments. We work with these Organisations to help mitigate risks through a policy of openness and transparency. To achieve this:
Identify a dedicated specialist volunteer(s) to be responsible for relationships with media Organisations or consider establishing a media relations group of volunteers headed up by a specific Board member;
Develop initiatives and plans for media involvement in the NOC;
Use the Media group to promote these plans with appropriate media Organisations;
Ensure that media outlets are invited to attend all of the NOC's events and openly welcomed</t>
  </si>
  <si>
    <t>EXT-08|4</t>
  </si>
  <si>
    <t>We have good relations with the media, which are driven by a Press Attaché or equivalent person.</t>
  </si>
  <si>
    <t>The NOC has a Press Attaché or a Media Department solely responsible for handling the NOC relationships with media organisations. To achieve this:
Appoint a member of staff or specialist volunteer to be responsible for media relationships, who is responsible to the Board;
Appoint a Press Attaché from one of these media Organisations who will accompany teams and delegations to international competitions
Develop a strategy for engaging the media in the activities of the NOC;
Implement and evaluate the effectiveness of our media relationships on a regular basis.</t>
  </si>
  <si>
    <t>ENV-01|0</t>
  </si>
  <si>
    <t>No sport events are ever held.</t>
  </si>
  <si>
    <t>ENV-01|1</t>
  </si>
  <si>
    <t>Some local sport events are run outside of the sport system.</t>
  </si>
  <si>
    <t>Some local sport events are held with some NFs conducting national championships. Overall the competition structure is at an early stage of development with only a few well organised regular competitions in place. To understand where we are at now and what we need to do:
Conduct an audit of national sport events held in the country;
Conduct an audit of expertise required to host national events among member federations;
Conduct an audit of sport facilities in the country.</t>
  </si>
  <si>
    <t>ENV-01|2</t>
  </si>
  <si>
    <t>We host national competitions that are run by the NOC or at least 50% of NFs.</t>
  </si>
  <si>
    <t>The NOC either host a national multi-sport Games to encourage its members to develop, to at least 50% of National Federations conduct a national championship annually. To achieve this:
Determine which sport federations have the expertise to conduct a national event;
Consider a role for the NOC in coordinating national sport events in partnership with member national federations or provide incentives for member federations to conduct their own, e.g. A National Games or Sports Festival;
Establish a national events working group.</t>
  </si>
  <si>
    <t>ENV-01|3</t>
  </si>
  <si>
    <t>The country hosts regular national competitions according to the IF rules and by at least 75% of NFs.</t>
  </si>
  <si>
    <t>The NOC plays an active role in facilitating the establishment of national competitions and regular leagues and where appropriate organises its own events to support the work of the NFs. To achieve this:
Facilitate and support initiatives by NFs to conduct regular national championships;
Establish national championships that cater for specific age groups;
Establish multisport Games held nationally that are conducted by the NFs.</t>
  </si>
  <si>
    <t>ENV-01|4</t>
  </si>
  <si>
    <t>The country hosts regularly international sport events which are run by an organising committee endorsed by their sport Organisation.</t>
  </si>
  <si>
    <t>The country has a well established sport system and competition structure that has allowed sufficient expertise to be developed to host individual or multisport events that are endorsed by respective international sports federations. To achieve this:
Identify benefits for hosting international events;
Develop people with specific skills and expertise in all aspects of hosting and organising sporting events that meet standards established by international sport Organisations;
Consider establishing an events department or Organisation that provides support for bidding and hosting international events;
Bid for and stage international events.</t>
  </si>
  <si>
    <t>ENV-02|0</t>
  </si>
  <si>
    <t>We have not participated in the Olympic Games.</t>
  </si>
  <si>
    <t>ENV-02|1</t>
  </si>
  <si>
    <t>Athletes did not qualify on merit, we attended via universality places only.</t>
  </si>
  <si>
    <t>The NOC attends Olympic Games on the basis of Universality but has as yet not sent athletes to the Games who have qualified on merit alone. To achieve this:
Work with NFs to identify athletes that have the potential to qualify on merit;
Identify ways of supporting these athletes;
Support the development of the NF to improve its capability to support the future development of athletes.</t>
  </si>
  <si>
    <t>ENV-02|2</t>
  </si>
  <si>
    <t>Most athletes qualify on merit.</t>
  </si>
  <si>
    <t>The NOC is fortunate to have one or two NFs who have athletes that have qualified on merit to take part in the Olympic Games. Although our delegation is still quite small, the majority of athletes sent to the Games have reached at least the B standard for the Olympic Games. To achieve this:
investigate ways that the NOC can support NFs in the further improvement of athlete performance.
Publish the qualifying standards for the Olympic Games and challenge each NF to establish a programme of activities designed to assist its athletes to reach this standard;
Ensure that all NFs are fully aware of the qualification pathways that are available to them and support them to attend with well prepared and focussed athletes and coaches;
Access as many Olympic Solidarity programmes as possible that support athlete, coach and officials development
Utilise the Olympic Youth Ambassadors Programme to encourage talented young athletes by attending the Games with the aim to inspire them to train to compete there in their own right.</t>
  </si>
  <si>
    <t>ENV-02|3</t>
  </si>
  <si>
    <t>Athletes won Olympic diplomas within the last three Olympiads.</t>
  </si>
  <si>
    <t>We have been fortunate that at least 1 of our athletes has achieved an Olympic Diploma in the last three Olympiads: To achieve this
Continue to support NFs in the further improvement of athlete performance;
Establish partnerships both nationally and internationally with Organisations that specifically offer opportunities for athletes to train and compete at the highest levels of sport;
Where the capabilities and resources exist, Establish opportunities for athletes and coaches to train at the highest levels within the country.
investigate ways that the NOC can assist those NFs without Diploma winners.</t>
  </si>
  <si>
    <t>ENV-02|4</t>
  </si>
  <si>
    <t>Athletes have won medals within the past 3 Olympiads.</t>
  </si>
  <si>
    <t>Our NOC is fortunate to have had at least one athlete win an Olympic medal in the past three Olympiads. To achieve this:
Support athletes from high performing NFs whenever possible;
Make use of the experience of medal winning athletes and programmes to mentor and encourage more athletes and more sports to achieve excellence in sport;
Continue to support the development of elite national competitions and involvement in international competitions
Establish an Olympians Association.</t>
  </si>
  <si>
    <t>ENV-03|0</t>
  </si>
  <si>
    <t>The minimum 5 to obtain NOC status</t>
  </si>
  <si>
    <t>ENV-03|1</t>
  </si>
  <si>
    <t>Up to 25% of core Olympic sports</t>
  </si>
  <si>
    <t>We have up to 25% of the sports on the summer Olympic Programme as being established and active. To achieve this:
Conduct a survey to determine the activity levels of each sport in the country and compare this to the list of sports on the summer Olympic Programme to determine what % of these sports are developed;
Using the NF UMAP, identify how other Olympic sport NFs might be further developed;
Provide support where possible and appropriate to develop NFs;
Identify other agencies that could help the development of NFs and establish relationships with these agencies.</t>
  </si>
  <si>
    <t>ENV-03|2</t>
  </si>
  <si>
    <t>About half of core Olympic sports.</t>
  </si>
  <si>
    <t>Between 25 and 50% of the sports on the summer Olympic Programme have been established and are active. To determine this:
Conduct a survey to determine the activity levels of each sport in the country and compare this to the list of sports on the summer Olympic Programme to determine what % of these sports are developed;
Review the development of Olympic sport NFs on a regular basis;
Continue to provide support where possible and appropriate to develop NFs on the summer Olympic Programme;
Continue to work with other agencies that can support the development of NFs.</t>
  </si>
  <si>
    <t>ENV-03|3</t>
  </si>
  <si>
    <t>Up to 80% of core Olympic sports.</t>
  </si>
  <si>
    <t>Between 50% and 80 % of sports on the summer Olympic Program are established and active. To determine this:
Conduct a survey to determine the activity levels of each sport in the country and compare this to the list of sports on the summer Olympic Programme to determine what % of these sports are developed;
Review the development of Olympic sport NFs on a regular basis;
Provide support where possible and appropriate to support the development of the remaining Olympic sport NFs.</t>
  </si>
  <si>
    <t>ENV-03|4</t>
  </si>
  <si>
    <t>All core Olympic sports.</t>
  </si>
  <si>
    <t>All sports on the Summer Olympic Programme are established and active in the country. To determine this:
Conduct a survey to determine the activity levels of each sport in the country and compare this to the list of sports on the summer Olympic Programme to determine what % of these sports are developed;
Continue to support the work of the NFs where possible and appropriate.</t>
  </si>
  <si>
    <t>ENV-04|0</t>
  </si>
  <si>
    <t>Have not assessed the NF level of development.</t>
  </si>
  <si>
    <t>ENV-04|1</t>
  </si>
  <si>
    <t>Emerging level of development.</t>
  </si>
  <si>
    <t>Our NFs are largely at an early stage of development with perhaps one or two well established sports that are considered our national sports. To determine the level of development of the NFs:
Use NF UMAP to assess the level of development of all NFs;
Determine the average score for all NFs and if between 0.5 and 1.5, then NFs are overall 'Emerging';
Count the number of NFs that occur in each of the categories of development and if the majority lie in the 'Emerging' level of development then this is the correct level;
Keep a register that indicates the level of development for each of the NFs.</t>
  </si>
  <si>
    <t>ENV-04|2</t>
  </si>
  <si>
    <t>Developing level of development.</t>
  </si>
  <si>
    <t>Our NFs are established but with varying degrees of activity, resources and capabilities:
Use NF UMAP to assess the level of development of all NFs;
Determine the average score for all NFs and if between 1.5 and 2.5, then NFs are overall 'Developing';
Count the number of NFs that occur in each of the categories of development and if the majority lie in the 'Developing' level of development then this is the correct level;
Keep a register that indicates the level of development for each of the NFs.
Conduct NF UMAP/RAT on at least 2 occasions for each NF and determine what changes of development are occurring;
Work with other agencies to establish capacity building programs for NFs.</t>
  </si>
  <si>
    <t>ENV-04|3</t>
  </si>
  <si>
    <t>Established level of development.</t>
  </si>
  <si>
    <t>The NFs are functional and contribute significantly to sport development overall and to the NOC:
Use NF UMAP/RAT to assess the level of development of all NFs;
Determine the average score for all NFs and if between 2.5 and 3.5, then NFs are overall 'Established';
Count the number of NFs that occur in each of the categories of development and if the majority lie in the 'Established' level of development then this is the correct level;
Keep a register that indicates the level of development for each of the NFs.
Conduct NF UMAP/RAT on at least 2 occasions for each NF per Olympiad and determine what changes of development are occurring;
Work with other agencies to establish capacity building programs for NFs.
Use highly developed NFs to mentor others to improve the development of all NFs;</t>
  </si>
  <si>
    <t>ENV-04|4</t>
  </si>
  <si>
    <t>Embedded level of development.</t>
  </si>
  <si>
    <t>Our NFs are largely fully developed professional sports organisations who by their own strength contribute significantly to the strength of the NOC. To achieve this:
Use NF RAT/UMAP to assess the level of development of all NFs;
Determine the average score for all NFs and if between 3.5 and 4.0, then NFs are overall 'Embedded';
Count the number of NFs that occur in each of the categories of development and if the majority lie in the 'Embedded' level of development then this is the correct level;
Keep a register that indicates the level of development for each of the NFs.
Conduct NF RAT/UMAP on at least 2 occasions for each NF and determine what changes of development are occurring and establish plans that target clear weaknesses in development for each of the NF pillars;
Work with other agencies to establish capacity building programs for NFs.
Use highly developed NFs to mentor others to improve the development of all NFs;</t>
  </si>
  <si>
    <t>ENV-05|0</t>
  </si>
  <si>
    <t>None. We only have recreational activity.</t>
  </si>
  <si>
    <t>ENV-05|1</t>
  </si>
  <si>
    <t>The country has no high-performance sport system – athletes are developed outside the country.</t>
  </si>
  <si>
    <t>There is no high performance sport system in the country but some sports have athletes who dedicate themselves to be the best they can be with an ambition to move overseas to compete as professionals or as high performing amateurs. To achieve this:
Identify what is required of an appropriate high performance system for the country;
Audit what the country has in place against these requirements;
Lobby government for funding to support dedicated athletes and coaches.</t>
  </si>
  <si>
    <t>ENV-05|2</t>
  </si>
  <si>
    <t>The NOC arranges for athletes to be prepared for international events.</t>
  </si>
  <si>
    <t>The NOC uses its available resources to target high performance sport systems in other countries to help prepare its athletes for international events. To achieve this:
Work with NFs to identify talented athletes;
Establish what preparation these athletes need;
Make arrangements for athletes to be prepared in another country;
Continue to lobby government for investment in an appropriate national system.</t>
  </si>
  <si>
    <t>ENV-05|3</t>
  </si>
  <si>
    <t>The NOC works with partners to provide national opportunities for high performance sport.</t>
  </si>
  <si>
    <t>We have establish a basic high performance sport system in the country but still rely on other countries to provide opportunities for high level training, competition and support for our top athletes and coaches. To achieve this:
Identify partners who can provide opportunities for high performance sport;
Establish the necessary partnerships to implement a high performance system;
Enable athlete access to the system.</t>
  </si>
  <si>
    <t>ENV-05|4</t>
  </si>
  <si>
    <t>The country has a formal and well-structured national high-performance sport system.</t>
  </si>
  <si>
    <t>Our country leads the way in high performance sport with a well establish sports institute or academy in place to provide all of the support needed for developing elite athletes. To achieve this:
In consultation with partners, develop a high performance sport strategy;
Put into place the support services needed ensuring that we have both the resources and the capabilities to do so;
Implement and monitor the H.P. system to ensure it remains at the 'cutting edge' of development worldwide.</t>
  </si>
  <si>
    <t>ENV-06|0</t>
  </si>
  <si>
    <t>None, only recreational and public spaces.</t>
  </si>
  <si>
    <t>ENV-06|1</t>
  </si>
  <si>
    <t>There are no designated elite sport facilities in the country.</t>
  </si>
  <si>
    <t>The NOC is aware of our lack of facilities and seeks to put in place plans for establishing them in our most popular sports. To plan for elite sport facilities:
Determine what elite facilities are required in the country;
Lobby government for the provision of elite sport facilities.</t>
  </si>
  <si>
    <t>ENV-06|2</t>
  </si>
  <si>
    <t>The country has standard facilities for hosting national events.</t>
  </si>
  <si>
    <t>We have a range of established sport facilities but they do not meet strict standards as imposed by International Sports Federations. We recognise the need for establishing a facilities development strategy that is mindful of costs and our resources and capabilities of maintaining and operation such facilities. To achieve this:
Develop a facility strategy that can direct lobbying for facilities;
Work with government to provide sport facilities;
Use facilities regularly to host events, so that their value is appropriate.</t>
  </si>
  <si>
    <t>ENV-06|3</t>
  </si>
  <si>
    <t>The country has some facilities that meet IF standards.</t>
  </si>
  <si>
    <t>We have at least one sport facility in the country that meets IF standards and could be used to host an IF sanctioned event. To achieve this:
Establish IF facility requirements for key sports;
Audit existing facilities to see if they can be upgraded, or if new facilities need to be built;
Conduct an audit of resources and capabilities in order to determine what level of facility can be utilised and maintained;
Develop a plan for funding this using a range of potential funding agencies;
Work with partners to have the facilities built or upgraded.</t>
  </si>
  <si>
    <t>ENV-06|4</t>
  </si>
  <si>
    <t>IF standard facilities for all significant sports are available in the country.</t>
  </si>
  <si>
    <t>We have a well established range of IF standard sport facilities capable of hosting international events in all of the significant sports in our country:
Establish IF facility requirements for all sports;
Audit existing facilities to see if they can be upgraded, or if new facilities need to be built;
Conduct an audit of resources and capabilities in order to determine what level of facility can be utilised and maintained;
Develop a plan for funding this using a range of potential funding agencies;
Work with partners to have the facilities built or upgraded.</t>
  </si>
  <si>
    <t>ENV-07|0</t>
  </si>
  <si>
    <t>Our athletes have no access to sport science services.</t>
  </si>
  <si>
    <t>ENV-07|1</t>
  </si>
  <si>
    <t>Athletes rely on services that are available outside of the country.</t>
  </si>
  <si>
    <t>We have no facilities to support sport science but some expertise to enable basic field testing and observation. We recognise the need to provide a more scientific support service to our sports and our athletes. To achieve this:
Establish what sport science services are required by national athletes;
Establish what can be provided within the country by universities and government;
Lobby appropriate stakeholders for the further development of sport science services.</t>
  </si>
  <si>
    <t>ENV-07|2</t>
  </si>
  <si>
    <t>The country has some national sport science services available through agencies, such as universities.</t>
  </si>
  <si>
    <t>Sports Sciences are available in the country through schools and universities but these programmes have net been established specifically to support our athletes. We understand the need to access these services. To achieve this:
Create partnerships with those agencies that can provide sport science services;
Enable access to these services for elite athletes;
Continue to lobby key stakeholders for a national sport science programme.</t>
  </si>
  <si>
    <t>ENV-07|3</t>
  </si>
  <si>
    <t>There is a national sport science programme for some sports.</t>
  </si>
  <si>
    <t>There is a national sports science support programme made up of various providers and is available to work with key sports. To achieve this:
Select key sports and establish what their complete sport science requirements are;
Identify partners who might be able to deliver these requirements;
Develop a network of providers to provide the sport's requirements.</t>
  </si>
  <si>
    <t>ENV-07|4</t>
  </si>
  <si>
    <t>The country has a sport science service framework involving a range of partners.</t>
  </si>
  <si>
    <t>There is a sport science service framework established in the country that either utilises the services offered by a range of providers or is available through a national sports institute:
Ensure that all elite athletes have appropriate access to the system;
Monitor the success of the system.</t>
  </si>
  <si>
    <t>ENV-08|0</t>
  </si>
  <si>
    <t>No support at all.</t>
  </si>
  <si>
    <t>ENV-08|1</t>
  </si>
  <si>
    <t>Support is available when external grants are made available such as OS scholarships.</t>
  </si>
  <si>
    <t>We have no significant funding to provide to athletes but are aware of the need for supporting athletes who are dedicated to train at the elite level. Most funding comes from external sources such as Olympic Solidarity. To make use of this and other opportunities:
Identify possible sources of grants for athletes;
Make NFs aware of what support might be available to them for supporting athletes;
Provide a simple means of applying for these grants and support their applications
Work with NFs to help athletes access these grants.</t>
  </si>
  <si>
    <t>ENV-08|2</t>
  </si>
  <si>
    <t>Incentive payments are available for athlete achievement, from either government or commercial sponsors.</t>
  </si>
  <si>
    <t>Funding remains limited and so to increase the effectiveness of athlete support grants we seek out support from external agencies and establish a competitive process via applications or offer grants based on achievements for athletic success. To achieve this:
Develop a scheme of incentive payments for athletes;
Establish where the funding for the scheme might be obtained;
Seek the agreement of funding agencies for the scheme and communicate this to athletes;
Implement the scheme.</t>
  </si>
  <si>
    <t>ENV-08|3</t>
  </si>
  <si>
    <t>There is adequate support to enable high level athletes to train and compete on a full-time basis.</t>
  </si>
  <si>
    <t>The NOC finds ways to support athletes financially so that they may train virtually on a full time basis. to achieve this:
Establish the level of support that athletes need to train and complete;
Establish sources of funding for athlete support - usually government or lottery;
Implement a support scheme based on standards agreed with the NFs;
Monitor and evaluate the effectiveness and success of the scheme.</t>
  </si>
  <si>
    <t>ENV-08|4</t>
  </si>
  <si>
    <t>Most high-level athletes are able to sustain themselves on income generated from their sport achievements.</t>
  </si>
  <si>
    <t>Many of our top athletes have become self-financing. The NOC does however, continue to support athletes by providing incentive based grants and awards based on performance. To achieve this:
Assist athletes to obtain sponsorship contracts;
Help athletes to identify other sources of income, such as TV commentary or product endorsement.</t>
  </si>
  <si>
    <t>ENV-09|0</t>
  </si>
  <si>
    <t>Not considered.</t>
  </si>
  <si>
    <t>ENV-09|1</t>
  </si>
  <si>
    <t>There is no systematic process of Talent ID and development.</t>
  </si>
  <si>
    <t>The NOC has no programme and nothing formal yet exists in the country but we recognise the need to initiate a Talent ID and development system for athletes: It is recommended that we:
Work with key stakeholders (NFs, government) to develop an appropriate talent ID and development system;
Lobby government or private sources for funding of the system.</t>
  </si>
  <si>
    <t>ENV-09|2</t>
  </si>
  <si>
    <t>Some Talent ID activities are carried out, but athletes are developed abroad.</t>
  </si>
  <si>
    <t>The NOC supports basic Talent Identification for athletes but a more systematic and targeted system is not yet in place and our athletes rely on feedback from external opportunities to determine their direction and gain opportunities for development of their talent. To achieve this:
Work with member NFs to develop an appropriate programme of talent ID for key sports;
Begin to establish the requirements of sport specific athlete development;
Identify how these requirements might be delivered;
Ensure athletes with real talent and dedication are supported using available funding and opportunities provided by Olympic solidarity and by other agencies;
Continue to lobby funding of the Talent ID and development system.</t>
  </si>
  <si>
    <t>ENV-09|3</t>
  </si>
  <si>
    <t>There is a Talent ID programme in place and some in-country athlete development occurs.</t>
  </si>
  <si>
    <t>We have a structured talent ID program that is an integral part of a sport development programme that targets athletes for training and development opportunities. It is not necessarily controlled by the NOC. To achieve this:
Work with member NFs to develop an appropriate programme of talent ID for all sports;
Work with key sports Organisations to establish and implement a development system for their sport;
Work with institutions in the country that have the capabilities and resources to assist with talent identification and can provide opportunities for training and development of athletes;
Monitor the success of these systems;
Continue to lobby for a national talent ID and development system.</t>
  </si>
  <si>
    <t>ENV-09|4</t>
  </si>
  <si>
    <t>There is a systematic in-country Talent ID and development framework.</t>
  </si>
  <si>
    <t>The NOC either has in place or supports a holistic talent ID and development system which it draws upon to help inform its decisions regarding support for athletes from an early stage of their elite sport pathway. To achieve this:
Establish partnerships with tertiary and other interested partners to support a comprehensive Talent ID programme based around competition;
Provide support for the purchase of equipment and the training of expertise whenever possible;
Evaluate the success of the system on a regular basis.</t>
  </si>
  <si>
    <t>NOC RAT — CONTROLLED LISTS</t>
  </si>
  <si>
    <t>Not Started</t>
  </si>
  <si>
    <t>In Progress</t>
  </si>
  <si>
    <t>Low</t>
  </si>
  <si>
    <t>Complete</t>
  </si>
  <si>
    <t>Unverified</t>
  </si>
  <si>
    <t>On Hold</t>
  </si>
  <si>
    <t>NOC RAT — PROGRAMME / OBJECTIVE READINESS PROFILES</t>
  </si>
  <si>
    <t>These are editable NOC RAT decision-support profiles. Olympic Solidarity programme names reflect the 2025–2028 Plan. The minimum readiness scores and critical-pillar designations are ISMT/NOC RAT working thresholds — they are NOT IOC eligibility rules.</t>
  </si>
  <si>
    <t>Programme / Objective</t>
  </si>
  <si>
    <t>Critical Pillars</t>
  </si>
  <si>
    <t>Readiness Rationale</t>
  </si>
  <si>
    <t>Source URL</t>
  </si>
  <si>
    <t>Crit GOV</t>
  </si>
  <si>
    <t>Crit MGT</t>
  </si>
  <si>
    <t>Crit HR</t>
  </si>
  <si>
    <t>Crit FIN</t>
  </si>
  <si>
    <t>Crit COM</t>
  </si>
  <si>
    <t>Crit SVC</t>
  </si>
  <si>
    <t>Crit EXT</t>
  </si>
  <si>
    <t>Crit ENV</t>
  </si>
  <si>
    <t>Olympic Scholarships for Athletes — Los Angeles 2028</t>
  </si>
  <si>
    <t>Olympic Solidarity — World Programme</t>
  </si>
  <si>
    <t>Support Olympic-calibre athletes preparing for LA28 through structured training, competition and NOC oversight.</t>
  </si>
  <si>
    <t>Finance, NOC Services</t>
  </si>
  <si>
    <t>Requires sound athlete support, grant control and a credible performance environment.</t>
  </si>
  <si>
    <t>https://library.olympics.com/digitalCollection/DigitalCollectionAttachmentDownloadHandler.ashx?documentId=3417404&amp;parentDocumentId=3417403&amp;skipCopyright=true&amp;skipWatermark=true</t>
  </si>
  <si>
    <t>2025–2028</t>
  </si>
  <si>
    <t>Olympic Scholarships for Athletes — French Alps 2030</t>
  </si>
  <si>
    <t>Support Olympic-calibre winter athletes preparing for the French Alps 2030 Olympic Winter Games.</t>
  </si>
  <si>
    <t>Requires grant control, athlete servicing and a credible winter-sport/performance pathway.</t>
  </si>
  <si>
    <t>Refugee Athlete Support</t>
  </si>
  <si>
    <t>Identify and support eligible refugee athletes while safeguarding athlete welfare, administration and external coordination.</t>
  </si>
  <si>
    <t>Governance, Finance, NOC Services, External Relations</t>
  </si>
  <si>
    <t>Higher governance and external-relations readiness is appropriate because athlete status, safeguarding, partnerships and funding require careful oversight.</t>
  </si>
  <si>
    <t>Technical Courses for Coaches and Athletes’ Entourage</t>
  </si>
  <si>
    <t>Deliver technical education for coaches and athlete-entourage personnel in partnership with relevant sport bodies.</t>
  </si>
  <si>
    <t>Management, Human Resources, Finance</t>
  </si>
  <si>
    <t>The NOC must be able to organise learning, select participants, manage funds and coordinate technical partners.</t>
  </si>
  <si>
    <t>Olympic Scholarships for Coaches</t>
  </si>
  <si>
    <t>Select and support coaches for advanced education and development opportunities.</t>
  </si>
  <si>
    <t>Human Resources, Finance, NOC Services</t>
  </si>
  <si>
    <t>Selection, development planning, financial accountability and application management are central.</t>
  </si>
  <si>
    <t>Athletes’ Commission Support</t>
  </si>
  <si>
    <t>Strengthen athlete representation through an effective NOC Athletes’ Commission and athlete-led activities.</t>
  </si>
  <si>
    <t>Governance, Finance</t>
  </si>
  <si>
    <t>Athlete representation depends particularly on governance legitimacy, commission structures and accountable use of support.</t>
  </si>
  <si>
    <t>Athletes’ Career Transition</t>
  </si>
  <si>
    <t>Support athletes as they prepare for and transition to education, employment and life after elite sport.</t>
  </si>
  <si>
    <t>Requires coordinated athlete services, competent people and reliable programme management.</t>
  </si>
  <si>
    <t>Development of National Sports System</t>
  </si>
  <si>
    <t>Use expert support to strengthen a national sport or sports system in cooperation with NFs and other partners.</t>
  </si>
  <si>
    <t>Governance, Management, Finance, External Relations</t>
  </si>
  <si>
    <t>This is a system-development intervention requiring strong coordination, planning, NF relationships and implementation capacity.</t>
  </si>
  <si>
    <t>Support Grant for Continental Athletes</t>
  </si>
  <si>
    <t>Support athletes competing and developing at continental level through appropriate NOC systems.</t>
  </si>
  <si>
    <t>Finance, NOC Services, Sporting Environment</t>
  </si>
  <si>
    <t>A viable athlete pathway, servicing capability and basic financial controls are essential.</t>
  </si>
  <si>
    <t>Team Support Grant</t>
  </si>
  <si>
    <t>Support a national team preparing for and progressing toward Olympic-level competition.</t>
  </si>
  <si>
    <t>Team support requires planning, qualified personnel, grant control and a functioning competition/performance system.</t>
  </si>
  <si>
    <t>Youth Athlete Development</t>
  </si>
  <si>
    <t>Develop talented young athletes through structured national and international development opportunities.</t>
  </si>
  <si>
    <t>The programme relies on safe youth pathways, competent support, selection systems and a credible development environment.</t>
  </si>
  <si>
    <t>NOC Administration Development</t>
  </si>
  <si>
    <t>Strengthen NOC administrative structures, systems, staffing, planning, technology and management capability.</t>
  </si>
  <si>
    <t>Governance, Management, Finance</t>
  </si>
  <si>
    <t>This programme can build weak capacity, but the NOC still needs sufficient governance and financial control to manage the intervention.</t>
  </si>
  <si>
    <t>National Courses for Sports Administrators</t>
  </si>
  <si>
    <t>Deliver national-level education for sports administrators and volunteers.</t>
  </si>
  <si>
    <t>Management, Finance</t>
  </si>
  <si>
    <t>Moderate readiness is sufficient because the programme itself develops capacity; basic organisation and financial control remain necessary.</t>
  </si>
  <si>
    <t>International Executive Courses in Sport Management</t>
  </si>
  <si>
    <t>Support appropriate NOC/NF personnel to participate in advanced international sport-management education.</t>
  </si>
  <si>
    <t>Requires credible participant selection, development planning and grant/administrative control.</t>
  </si>
  <si>
    <t>NOC Exchanges</t>
  </si>
  <si>
    <t>Facilitate structured knowledge exchange and transfer of good practice between NOCs.</t>
  </si>
  <si>
    <t>Governance, Management, External Relations</t>
  </si>
  <si>
    <t>An exchange has value only when learning needs are clear, relationships are managed and lessons can be implemented.</t>
  </si>
  <si>
    <t>NOC Forums</t>
  </si>
  <si>
    <t>Participate in or organise forums that strengthen NOC knowledge, networks and institutional learning.</t>
  </si>
  <si>
    <t>Forums require organisational commitment, stakeholder engagement and the ability to use shared learning.</t>
  </si>
  <si>
    <t>Olympic Values Initiatives</t>
  </si>
  <si>
    <t>Design and deliver initiatives that promote Olympism and create community benefit through sport.</t>
  </si>
  <si>
    <t>Governance, Finance, Marketing &amp; Communications</t>
  </si>
  <si>
    <t>Values programmes need credible governance, communication reach, partnerships and accountable project delivery.</t>
  </si>
  <si>
    <t>Education &amp; Training Scholarships</t>
  </si>
  <si>
    <t>Support education and training opportunities that contribute to Olympic Movement and NOC capacity.</t>
  </si>
  <si>
    <t>Requires transparent selection, development relevance and sound programme administration.</t>
  </si>
  <si>
    <t>Plan and deliver Olympic Day activities that engage communities and promote Olympic values.</t>
  </si>
  <si>
    <t>Management, Finance, Marketing &amp; Communications</t>
  </si>
  <si>
    <t>The NOC must coordinate people, finance, promotion, partners and safe community delivery.</t>
  </si>
  <si>
    <t>NOC Activities Programme</t>
  </si>
  <si>
    <t>Olympic Solidarity — Continental Programme</t>
  </si>
  <si>
    <t>Use continental Olympic Solidarity support for NOC priorities not covered, or only partly covered, by World Programmes.</t>
  </si>
  <si>
    <t>A flexible grant demands a clear strategic purpose, competent delivery and accountable financial management.</t>
  </si>
  <si>
    <t>Support for Continental Athletes’ Commissions</t>
  </si>
  <si>
    <t>Use continental support to strengthen athlete representation, meetings, forums and commission activity.</t>
  </si>
  <si>
    <t>Legitimate athlete representation and responsible use of funding are the key foundations.</t>
  </si>
  <si>
    <t>Continental Association Initiative / Targeted Support</t>
  </si>
  <si>
    <t>Undertake a targeted continental initiative addressing NOC development, sport development, facilities or participation needs.</t>
  </si>
  <si>
    <t>Requirements vary by initiative; this profile is a conservative general-purpose readiness standard and should be edited when exact programme guidelines are known.</t>
  </si>
  <si>
    <t>IOC Subsidy — NOC Participation in Los Angeles 2028</t>
  </si>
  <si>
    <t>IOC Subsidy — Games Participation</t>
  </si>
  <si>
    <t>Prepare and send an NOC delegation to the Los Angeles 2028 Olympic Games with appropriate governance, logistics, athlete support and financial control.</t>
  </si>
  <si>
    <t>Governance, Management, Human Resources, Finance, NOC Services</t>
  </si>
  <si>
    <t>Olympic participation is a core NOC mission requiring strong delegation systems, athlete services, finance and operational management.</t>
  </si>
  <si>
    <t>IOC Subsidy — NOC Participation in Dakar 2026 YOG</t>
  </si>
  <si>
    <t>Prepare and send an NOC delegation to the Dakar 2026 Youth Olympic Games with appropriate youth safeguarding and delegation systems.</t>
  </si>
  <si>
    <t>Youth Games participation adds safeguarding and youth-development demands to the normal Games mission.</t>
  </si>
  <si>
    <t>IOC Subsidy — NOC Participation in Winter YOG 2028</t>
  </si>
  <si>
    <t>Prepare and send an NOC delegation to the 2028 Winter Youth Olympic Games.</t>
  </si>
  <si>
    <t>Requires robust delegation management, youth safeguarding, qualified support and reliable finances.</t>
  </si>
  <si>
    <t>Send Delegation to Olympic Games</t>
  </si>
  <si>
    <t>Core NOC Function</t>
  </si>
  <si>
    <t>Plan, select, prepare, administer and support the national delegation to an Olympic Games.</t>
  </si>
  <si>
    <t>A Games mission is one of the NOC's highest-risk operational responsibilities and should not rely on weak foundations.</t>
  </si>
  <si>
    <t>https://gamesdeliveryplaybook.olympics.com/</t>
  </si>
  <si>
    <t>Core function</t>
  </si>
  <si>
    <t>Send Delegation to Youth Olympic Games</t>
  </si>
  <si>
    <t>Plan, select, safeguard and support the national delegation to a Youth Olympic Games.</t>
  </si>
  <si>
    <t>Requires the normal Games mission capability plus strong youth safeguarding and development systems.</t>
  </si>
  <si>
    <t>Send Delegation to Continental / Regional Multisport Games</t>
  </si>
  <si>
    <t>Plan and deliver a national delegation to a recognised continental or regional multisport Games.</t>
  </si>
  <si>
    <t>Management, Human Resources, Finance, NOC Services</t>
  </si>
  <si>
    <t>Requirements are substantial but normally lower than an Olympic Games mission.</t>
  </si>
  <si>
    <t>Bid to Host Olympic Games / Youth Olympic Games</t>
  </si>
  <si>
    <t>Strategic NOC Function — Hosting</t>
  </si>
  <si>
    <t>Enter and responsibly support the IOC future-host process with government and a potential host city/region/country.</t>
  </si>
  <si>
    <t>Governance, Management, Finance, External Relations, Sporting Environment</t>
  </si>
  <si>
    <t>Current IOC host principles require strong governance, stakeholder roles, public-authority partnerships, risk management and a credible Games concept.</t>
  </si>
  <si>
    <t>https://library.olympics.com/default/digitalCollection/DigitalCollectionAttachmentDownloadHandler.ashx?documentId=619121&amp;parentDocumentId=619119&amp;skipCopyright=true&amp;skipWatermark=true</t>
  </si>
  <si>
    <t>Bid to Host Continental / Regional Multisport Games</t>
  </si>
  <si>
    <t>Develop and support a credible bid to host a continental or regional multisport Games.</t>
  </si>
  <si>
    <t>A credible bid needs coordinated government relationships, facilities/event capability, finance and communications.</t>
  </si>
  <si>
    <t>Host Continental / Regional Multisport Games</t>
  </si>
  <si>
    <t>Undertake the governance, coordination and oversight needed to successfully stage a major multisport Games.</t>
  </si>
  <si>
    <t>Governance, Management, Human Resources, Finance, Marketing &amp; Communications, NOC Services, External Relations, Sporting Environment</t>
  </si>
  <si>
    <t>Games delivery places system-wide pressure on every pillar and should be attempted only with strong, balanced capability.</t>
  </si>
  <si>
    <t>Develop National High Performance Programme</t>
  </si>
  <si>
    <t>Strategic NOC Function</t>
  </si>
  <si>
    <t>Coordinate a national high-performance system capable of supporting athletes toward sustained international performance.</t>
  </si>
  <si>
    <t>Governance, Management, Human Resources, Finance, Sporting Environment</t>
  </si>
  <si>
    <t>High performance depends on long-term planning, specialist people, athlete services, funding and a strong sporting environment.</t>
  </si>
  <si>
    <t>Develop / Strengthen National Federation System</t>
  </si>
  <si>
    <t>Systematically strengthen member NFs and their governance, programmes, competition and development capability.</t>
  </si>
  <si>
    <t>NF development is a system function requiring governance standards, development services and strong relationships.</t>
  </si>
  <si>
    <t>Establish / Expand National Olympic Academy or Olympic Education Programme</t>
  </si>
  <si>
    <t>Build a sustainable national structure for Olympic education, values, learning and community engagement.</t>
  </si>
  <si>
    <t>Management, Human Resources, Marketing &amp; Communications</t>
  </si>
  <si>
    <t>Education programmes rely on capable people, programme design, communication and partnerships more than elite-performance infrastructure.</t>
  </si>
  <si>
    <t>Establish Major Commercial / Sponsorship Programme</t>
  </si>
  <si>
    <t>Develop a professional commercial programme that protects Olympic assets while generating sustainable partner income.</t>
  </si>
  <si>
    <t>Governance, Finance, Marketing &amp; Communications, External Relations</t>
  </si>
  <si>
    <t>Commercial growth requires strong brand control, transparent governance, finance, marketing capability and partner management.</t>
  </si>
  <si>
    <t>Lead National Sport Policy Partnership with Government</t>
  </si>
  <si>
    <t>Act as a credible national sport-policy partner while preserving NOC autonomy and strengthening cooperation with government.</t>
  </si>
  <si>
    <t>Governance, External Relations</t>
  </si>
  <si>
    <t>Policy influence depends on legitimacy, autonomy, relationships, evidence and the ability to represent the sport movement.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</si>
</sst>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font>
      <sz val="11"/>
      <name val="Carlito"/>
    </font>
    <font>
      <b/>
      <sz val="17"/>
      <color rgb="FFFFFFFF"/>
      <name val="Carlito"/>
    </font>
    <font>
      <b/>
      <sz val="9"/>
      <color rgb="FFFFFFFF"/>
      <name val="Carlito"/>
    </font>
    <font>
      <i/>
      <sz val="11"/>
      <color rgb="FF404040"/>
      <name val="Carlito"/>
    </font>
    <font>
      <sz val="11"/>
      <color rgb="FF404040"/>
      <name val="Carlito"/>
    </font>
    <font>
      <b/>
      <sz val="11"/>
      <color rgb="FFFFFFFF"/>
      <name val="Carlito"/>
    </font>
    <font>
      <b/>
      <sz val="12"/>
      <color rgb="FFFFFFFF"/>
      <name val="Carlito"/>
    </font>
    <font>
      <b/>
      <sz val="14"/>
      <color rgb="FF17365D"/>
      <name val="Carlito"/>
    </font>
    <font>
      <sz val="11"/>
      <name val="Arial"/>
    </font>
    <font>
      <sz val="14"/>
      <name val="Arial"/>
    </font>
    <font>
      <b/>
      <sz val="14"/>
      <name val="Arial"/>
    </font>
    <font>
      <sz val="11"/>
      <color rgb="FF404040"/>
      <name val="Arial"/>
    </font>
    <font>
      <b/>
      <sz val="11"/>
      <color rgb="FFFFFFFF"/>
      <name val="Arial"/>
    </font>
    <font>
      <b/>
      <sz val="11"/>
      <name val="Arial"/>
    </font>
    <font>
      <b/>
      <sz val="12"/>
      <color rgb="FFFFFFFF"/>
      <name val="Arial"/>
    </font>
    <font>
      <b/>
      <sz val="11"/>
      <color rgb="FF17365D"/>
      <name val="Arial"/>
    </font>
    <font>
      <i/>
      <sz val="11"/>
      <color rgb="FF404040"/>
      <name val="Arial"/>
    </font>
    <font>
      <b/>
      <sz val="14"/>
      <color rgb="FFFFFFFF"/>
      <name val="Arial"/>
    </font>
    <font>
      <b/>
      <sz val="17"/>
      <color rgb="FFFFFFFF"/>
      <name val="Arial"/>
    </font>
    <font>
      <b/>
      <sz val="14"/>
      <color rgb="FF17365D"/>
      <name val="Arial"/>
    </font>
    <font>
      <sz val="12"/>
      <name val="Arial"/>
    </font>
    <font>
      <b/>
      <sz val="10"/>
      <color rgb="FFFFFFFF"/>
      <name val="Arial"/>
    </font>
    <font>
      <sz val="12"/>
      <name val="Carlito"/>
    </font>
    <font>
      <b/>
      <sz val="14"/>
      <color rgb="FF404040"/>
      <name val="Arial"/>
    </font>
    <font>
      <b/>
      <sz val="16"/>
      <name val="Arial"/>
    </font>
    <font>
      <i/>
      <sz val="11"/>
      <name val="Arial"/>
    </font>
    <font>
      <sz val="14"/>
      <color rgb="FF404040"/>
      <name val="Arial"/>
    </font>
    <font>
      <b/>
      <sz val="13"/>
      <color rgb="FF17365D"/>
      <name val="Carlito"/>
    </font>
    <font>
      <b/>
      <sz val="11"/>
      <name val="Carlito"/>
    </font>
    <font>
      <b/>
      <sz val="11"/>
      <color rgb="FF404040"/>
      <name val="Arial"/>
    </font>
    <font>
      <sz val="11"/>
      <name val="Arial"/>
    </font>
    <font>
      <b/>
      <sz val="14"/>
      <name val="Arial"/>
    </font>
    <font>
      <i/>
      <sz val="11"/>
      <name val="Carlito"/>
    </font>
    <font>
      <b/>
      <sz val="12"/>
      <name val="Arial"/>
    </font>
  </fonts>
  <fills count="17">
    <fill>
      <patternFill patternType="none"/>
    </fill>
    <fill>
      <patternFill patternType="gray125"/>
    </fill>
    <fill>
      <patternFill patternType="solid">
        <fgColor rgb="FF17365D"/>
      </patternFill>
    </fill>
    <fill>
      <patternFill patternType="solid">
        <fgColor rgb="FFF3F4F6"/>
      </patternFill>
    </fill>
    <fill>
      <patternFill patternType="solid">
        <fgColor rgb="FFFFF2CC"/>
      </patternFill>
    </fill>
    <fill>
      <patternFill patternType="solid">
        <fgColor rgb="FF244A73"/>
      </patternFill>
    </fill>
    <fill>
      <patternFill patternType="solid">
        <fgColor rgb="FFEEF5F9"/>
      </patternFill>
    </fill>
    <fill>
      <patternFill patternType="solid">
        <fgColor rgb="FFD9EAF7"/>
      </patternFill>
    </fill>
    <fill>
      <patternFill patternType="solid">
        <fgColor rgb="FF17365D"/>
      </patternFill>
    </fill>
    <fill>
      <patternFill patternType="solid">
        <fgColor rgb="FFF3F4F6"/>
      </patternFill>
    </fill>
    <fill>
      <patternFill patternType="solid">
        <fgColor rgb="FFFFF2CC"/>
      </patternFill>
    </fill>
    <fill>
      <patternFill patternType="solid">
        <fgColor rgb="FF244A73"/>
      </patternFill>
    </fill>
    <fill>
      <patternFill patternType="solid">
        <fgColor rgb="FFD9EAF7"/>
      </patternFill>
    </fill>
    <fill>
      <patternFill patternType="solid">
        <fgColor rgb="FFE2F0D9"/>
      </patternFill>
    </fill>
    <fill>
      <patternFill patternType="solid">
        <fgColor rgb="FFFCE4D6"/>
      </patternFill>
    </fill>
    <fill>
      <patternFill patternType="solid">
        <fgColor rgb="FFF4CCCC"/>
      </patternFill>
    </fill>
    <fill>
      <patternFill patternType="solid">
        <fgColor rgb="FFEEF5F9"/>
      </patternFill>
    </fill>
  </fills>
  <borders count="4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auto="1"/>
      </right>
      <top/>
      <bottom/>
      <diagonal/>
    </border>
    <border>
      <left style="thin">
        <color auto="1"/>
      </left>
      <right/>
      <top/>
      <bottom/>
      <diagonal/>
    </border>
    <border>
      <left/>
      <right style="thin">
        <color auto="1"/>
      </right>
      <top/>
      <bottom/>
      <diagonal/>
    </border>
    <border>
      <left style="thin">
        <color auto="1"/>
      </left>
      <right/>
      <top/>
      <bottom/>
      <diagonal/>
    </border>
    <border>
      <left/>
      <right style="thin">
        <color auto="1"/>
      </right>
      <top/>
      <bottom/>
      <diagonal/>
    </border>
    <border>
      <left style="thin">
        <color auto="1"/>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cellStyleXfs>
  <cellXfs count="286">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4" fillId="3" borderId="1"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0" fillId="4" borderId="1" xfId="0" applyFill="1" applyBorder="1" applyAlignment="1">
      <alignment vertical="top" wrapText="1"/>
    </xf>
    <xf numFmtId="0" fontId="0" fillId="4" borderId="2" xfId="0" applyFill="1" applyBorder="1" applyAlignment="1">
      <alignment vertical="top" wrapText="1"/>
    </xf>
    <xf numFmtId="0" fontId="0" fillId="4" borderId="3" xfId="0" applyFill="1" applyBorder="1" applyAlignment="1">
      <alignment vertical="top" wrapText="1"/>
    </xf>
    <xf numFmtId="2" fontId="4" fillId="3" borderId="1" xfId="0" applyNumberFormat="1" applyFont="1" applyFill="1" applyBorder="1" applyAlignment="1">
      <alignment vertical="top"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xf>
    <xf numFmtId="0" fontId="10" fillId="4" borderId="15" xfId="0" applyFont="1" applyFill="1" applyBorder="1" applyAlignment="1">
      <alignment horizontal="center" vertical="center" wrapText="1"/>
    </xf>
    <xf numFmtId="0" fontId="8" fillId="0" borderId="4" xfId="0" applyFont="1" applyBorder="1" applyAlignment="1">
      <alignment vertical="top" wrapText="1"/>
    </xf>
    <xf numFmtId="0" fontId="8" fillId="4" borderId="15" xfId="0" applyFont="1" applyFill="1" applyBorder="1" applyAlignment="1">
      <alignment vertical="top" wrapText="1"/>
    </xf>
    <xf numFmtId="0" fontId="8" fillId="0" borderId="5" xfId="0" applyFont="1" applyBorder="1" applyAlignment="1">
      <alignment vertical="top" wrapText="1"/>
    </xf>
    <xf numFmtId="0" fontId="8" fillId="0" borderId="0" xfId="0" applyFont="1"/>
    <xf numFmtId="0" fontId="8" fillId="0" borderId="7" xfId="0" applyFont="1" applyBorder="1" applyAlignment="1">
      <alignment vertical="top" wrapText="1"/>
    </xf>
    <xf numFmtId="0" fontId="8" fillId="0" borderId="0" xfId="0" applyFont="1" applyAlignment="1">
      <alignment vertical="top" wrapText="1"/>
    </xf>
    <xf numFmtId="0" fontId="11" fillId="3" borderId="15" xfId="0" applyFont="1" applyFill="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15" fillId="7" borderId="12" xfId="0" applyFont="1" applyFill="1" applyBorder="1" applyAlignment="1">
      <alignment horizontal="center" vertical="top" wrapText="1"/>
    </xf>
    <xf numFmtId="0" fontId="8" fillId="0" borderId="6" xfId="0" applyFont="1" applyBorder="1" applyAlignment="1">
      <alignment vertical="top" wrapText="1"/>
    </xf>
    <xf numFmtId="0" fontId="15" fillId="7" borderId="13" xfId="0" applyFont="1" applyFill="1" applyBorder="1" applyAlignment="1">
      <alignment horizontal="center" vertical="top" wrapText="1"/>
    </xf>
    <xf numFmtId="0" fontId="8" fillId="0" borderId="8" xfId="0" applyFont="1" applyBorder="1" applyAlignment="1">
      <alignment vertical="top" wrapText="1"/>
    </xf>
    <xf numFmtId="0" fontId="15" fillId="7" borderId="14" xfId="0" applyFont="1" applyFill="1" applyBorder="1" applyAlignment="1">
      <alignment horizontal="center" vertical="top" wrapText="1"/>
    </xf>
    <xf numFmtId="0" fontId="8" fillId="0" borderId="11" xfId="0" applyFont="1" applyBorder="1" applyAlignment="1">
      <alignment vertical="top"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9" fillId="0" borderId="0" xfId="0" applyFont="1"/>
    <xf numFmtId="0" fontId="14" fillId="2" borderId="2" xfId="0" applyFont="1" applyFill="1" applyBorder="1" applyAlignment="1">
      <alignment horizontal="center" vertical="center" wrapText="1"/>
    </xf>
    <xf numFmtId="0" fontId="11" fillId="3" borderId="1" xfId="0" applyFont="1" applyFill="1" applyBorder="1" applyAlignment="1">
      <alignment vertical="top" wrapText="1"/>
    </xf>
    <xf numFmtId="0" fontId="11" fillId="3" borderId="2" xfId="0" applyFont="1" applyFill="1" applyBorder="1" applyAlignment="1">
      <alignment vertical="top" wrapText="1"/>
    </xf>
    <xf numFmtId="0" fontId="11" fillId="3" borderId="3" xfId="0" applyFont="1" applyFill="1" applyBorder="1" applyAlignment="1">
      <alignment vertical="top" wrapText="1"/>
    </xf>
    <xf numFmtId="0" fontId="8" fillId="0" borderId="0" xfId="0" applyFont="1" applyAlignment="1">
      <alignment horizontal="center" vertical="center"/>
    </xf>
    <xf numFmtId="0" fontId="8" fillId="4" borderId="15" xfId="0" applyFont="1" applyFill="1" applyBorder="1" applyAlignment="1">
      <alignment vertical="center" wrapText="1"/>
    </xf>
    <xf numFmtId="0" fontId="8" fillId="4" borderId="15" xfId="0" applyFont="1" applyFill="1" applyBorder="1" applyAlignment="1">
      <alignment horizontal="center" vertical="center" wrapText="1"/>
    </xf>
    <xf numFmtId="0" fontId="20" fillId="0" borderId="0" xfId="0" applyFont="1"/>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1" fillId="3" borderId="5" xfId="0" applyFont="1" applyFill="1" applyBorder="1" applyAlignment="1">
      <alignment vertical="top" wrapText="1"/>
    </xf>
    <xf numFmtId="0" fontId="11" fillId="3" borderId="6" xfId="0" applyFont="1" applyFill="1" applyBorder="1" applyAlignment="1">
      <alignment vertical="top" wrapText="1"/>
    </xf>
    <xf numFmtId="0" fontId="11" fillId="3" borderId="0" xfId="0" applyFont="1" applyFill="1" applyAlignment="1">
      <alignment vertical="top" wrapText="1"/>
    </xf>
    <xf numFmtId="0" fontId="11" fillId="3" borderId="8" xfId="0" applyFont="1" applyFill="1" applyBorder="1" applyAlignment="1">
      <alignment vertical="top" wrapText="1"/>
    </xf>
    <xf numFmtId="0" fontId="11" fillId="3" borderId="10" xfId="0" applyFont="1" applyFill="1" applyBorder="1" applyAlignment="1">
      <alignment vertical="top" wrapText="1"/>
    </xf>
    <xf numFmtId="0" fontId="11" fillId="3" borderId="11" xfId="0" applyFont="1" applyFill="1" applyBorder="1" applyAlignment="1">
      <alignment vertical="top" wrapText="1"/>
    </xf>
    <xf numFmtId="0" fontId="11" fillId="3" borderId="5"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5" xfId="0" applyFont="1" applyFill="1" applyBorder="1" applyAlignment="1">
      <alignment vertical="center" wrapText="1"/>
    </xf>
    <xf numFmtId="0" fontId="22" fillId="3" borderId="5" xfId="0" applyFont="1" applyFill="1" applyBorder="1" applyAlignment="1">
      <alignment horizontal="center" vertical="center" wrapText="1"/>
    </xf>
    <xf numFmtId="9" fontId="22" fillId="3" borderId="6" xfId="0" applyNumberFormat="1"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0" xfId="0" applyFont="1" applyFill="1" applyAlignment="1">
      <alignment vertical="center" wrapText="1"/>
    </xf>
    <xf numFmtId="0" fontId="22" fillId="3" borderId="0" xfId="0" applyFont="1" applyFill="1" applyAlignment="1">
      <alignment horizontal="center" vertical="center" wrapText="1"/>
    </xf>
    <xf numFmtId="9" fontId="22" fillId="3" borderId="8" xfId="0" applyNumberFormat="1"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0" xfId="0" applyFont="1" applyFill="1" applyBorder="1" applyAlignment="1">
      <alignment vertical="center" wrapText="1"/>
    </xf>
    <xf numFmtId="0" fontId="22" fillId="3" borderId="10" xfId="0" applyFont="1" applyFill="1" applyBorder="1" applyAlignment="1">
      <alignment horizontal="center" vertical="center" wrapText="1"/>
    </xf>
    <xf numFmtId="9" fontId="22" fillId="3" borderId="11" xfId="0" applyNumberFormat="1" applyFont="1" applyFill="1" applyBorder="1" applyAlignment="1">
      <alignment horizontal="center" vertical="center" wrapText="1"/>
    </xf>
    <xf numFmtId="0" fontId="23" fillId="3" borderId="4" xfId="0" applyFont="1" applyFill="1" applyBorder="1" applyAlignment="1">
      <alignment vertical="center" wrapText="1"/>
    </xf>
    <xf numFmtId="0" fontId="23" fillId="3" borderId="7" xfId="0" applyFont="1" applyFill="1" applyBorder="1" applyAlignment="1">
      <alignment vertical="center" wrapText="1"/>
    </xf>
    <xf numFmtId="0" fontId="23" fillId="3" borderId="9" xfId="0" applyFont="1" applyFill="1" applyBorder="1" applyAlignment="1">
      <alignment vertical="center" wrapText="1"/>
    </xf>
    <xf numFmtId="2" fontId="8" fillId="3" borderId="15" xfId="0" applyNumberFormat="1" applyFont="1" applyFill="1" applyBorder="1" applyAlignment="1">
      <alignment vertical="top" wrapText="1"/>
    </xf>
    <xf numFmtId="0" fontId="8" fillId="3" borderId="5" xfId="0" applyFont="1" applyFill="1" applyBorder="1" applyAlignment="1">
      <alignment horizontal="center" vertical="center" wrapText="1"/>
    </xf>
    <xf numFmtId="0" fontId="8" fillId="3" borderId="6" xfId="0" applyFont="1" applyFill="1" applyBorder="1" applyAlignment="1">
      <alignment vertical="center" wrapText="1"/>
    </xf>
    <xf numFmtId="0" fontId="8" fillId="3" borderId="0" xfId="0" applyFont="1" applyFill="1" applyAlignment="1">
      <alignment horizontal="center" vertical="center" wrapText="1"/>
    </xf>
    <xf numFmtId="0" fontId="8" fillId="3" borderId="8" xfId="0" applyFont="1" applyFill="1" applyBorder="1" applyAlignment="1">
      <alignmen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vertical="top" wrapText="1"/>
    </xf>
    <xf numFmtId="0" fontId="8" fillId="3" borderId="4" xfId="0" applyFont="1" applyFill="1" applyBorder="1" applyAlignment="1">
      <alignment vertical="center" wrapText="1"/>
    </xf>
    <xf numFmtId="2" fontId="8" fillId="3" borderId="5" xfId="0" applyNumberFormat="1" applyFont="1" applyFill="1" applyBorder="1" applyAlignment="1">
      <alignment horizontal="center" vertical="center" wrapText="1"/>
    </xf>
    <xf numFmtId="0" fontId="8" fillId="3" borderId="5" xfId="0" applyFont="1" applyFill="1" applyBorder="1" applyAlignment="1">
      <alignment vertical="center" wrapText="1"/>
    </xf>
    <xf numFmtId="0" fontId="8" fillId="3" borderId="6" xfId="0" applyFont="1" applyFill="1" applyBorder="1" applyAlignment="1">
      <alignment vertical="top" wrapText="1"/>
    </xf>
    <xf numFmtId="0" fontId="8" fillId="3" borderId="7" xfId="0" applyFont="1" applyFill="1" applyBorder="1" applyAlignment="1">
      <alignment vertical="center" wrapText="1"/>
    </xf>
    <xf numFmtId="2" fontId="8" fillId="3" borderId="0" xfId="0" applyNumberFormat="1" applyFont="1" applyFill="1" applyAlignment="1">
      <alignment horizontal="center" vertical="center" wrapText="1"/>
    </xf>
    <xf numFmtId="0" fontId="8" fillId="3" borderId="0" xfId="0" applyFont="1" applyFill="1" applyAlignment="1">
      <alignment vertical="center" wrapText="1"/>
    </xf>
    <xf numFmtId="0" fontId="8" fillId="3" borderId="8" xfId="0" applyFont="1" applyFill="1" applyBorder="1" applyAlignment="1">
      <alignment vertical="top" wrapText="1"/>
    </xf>
    <xf numFmtId="0" fontId="8" fillId="3" borderId="9" xfId="0" applyFont="1" applyFill="1" applyBorder="1" applyAlignment="1">
      <alignment vertical="center" wrapText="1"/>
    </xf>
    <xf numFmtId="0" fontId="8" fillId="3" borderId="10" xfId="0" applyFont="1" applyFill="1" applyBorder="1" applyAlignment="1">
      <alignment vertical="center" wrapText="1"/>
    </xf>
    <xf numFmtId="0" fontId="11" fillId="3" borderId="4"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5" xfId="0" applyFont="1" applyFill="1" applyBorder="1" applyAlignment="1">
      <alignment horizontal="left" vertical="center" wrapText="1"/>
    </xf>
    <xf numFmtId="0" fontId="11" fillId="3" borderId="0" xfId="0" applyFont="1" applyFill="1" applyAlignment="1">
      <alignment horizontal="left" vertical="center" wrapText="1"/>
    </xf>
    <xf numFmtId="0" fontId="11" fillId="3" borderId="10" xfId="0" applyFont="1" applyFill="1" applyBorder="1" applyAlignment="1">
      <alignment horizontal="left" vertical="center" wrapText="1"/>
    </xf>
    <xf numFmtId="0" fontId="24" fillId="4" borderId="15" xfId="0" applyFont="1" applyFill="1" applyBorder="1" applyAlignment="1">
      <alignment horizontal="center" vertical="center" wrapText="1"/>
    </xf>
    <xf numFmtId="0" fontId="8" fillId="4" borderId="15" xfId="0" applyFont="1" applyFill="1" applyBorder="1" applyAlignment="1">
      <alignment horizontal="left" vertical="top" wrapText="1"/>
    </xf>
    <xf numFmtId="0" fontId="23" fillId="3" borderId="15" xfId="0" applyFont="1" applyFill="1" applyBorder="1" applyAlignment="1">
      <alignment horizontal="center" vertical="center" wrapText="1"/>
    </xf>
    <xf numFmtId="0" fontId="26" fillId="3" borderId="15"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2" fillId="8" borderId="21" xfId="0" applyFont="1" applyFill="1" applyBorder="1" applyAlignment="1">
      <alignment horizontal="center" vertical="center" wrapText="1"/>
    </xf>
    <xf numFmtId="0" fontId="2" fillId="8" borderId="22" xfId="0" applyFont="1" applyFill="1" applyBorder="1" applyAlignment="1">
      <alignment horizontal="center" vertical="center"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0" fontId="4" fillId="9" borderId="31" xfId="0" applyFont="1" applyFill="1" applyBorder="1" applyAlignment="1">
      <alignment vertical="top" wrapText="1"/>
    </xf>
    <xf numFmtId="0" fontId="4" fillId="9" borderId="32" xfId="0" applyFont="1" applyFill="1" applyBorder="1" applyAlignment="1">
      <alignment vertical="top" wrapText="1"/>
    </xf>
    <xf numFmtId="0" fontId="4" fillId="9" borderId="33" xfId="0" applyFont="1" applyFill="1" applyBorder="1" applyAlignment="1">
      <alignment vertical="top" wrapText="1"/>
    </xf>
    <xf numFmtId="0" fontId="28" fillId="13" borderId="34" xfId="0" applyFont="1" applyFill="1" applyBorder="1" applyAlignment="1">
      <alignment vertical="top" wrapText="1"/>
    </xf>
    <xf numFmtId="0" fontId="28" fillId="14" borderId="34" xfId="0" applyFont="1" applyFill="1" applyBorder="1" applyAlignment="1">
      <alignment vertical="top" wrapText="1"/>
    </xf>
    <xf numFmtId="0" fontId="28" fillId="15" borderId="34" xfId="0" applyFont="1" applyFill="1" applyBorder="1" applyAlignment="1">
      <alignment vertical="top" wrapText="1"/>
    </xf>
    <xf numFmtId="0" fontId="28" fillId="9" borderId="34" xfId="0" applyFont="1" applyFill="1" applyBorder="1" applyAlignment="1">
      <alignment vertical="top" wrapText="1"/>
    </xf>
    <xf numFmtId="164" fontId="31" fillId="10" borderId="24" xfId="0" applyNumberFormat="1" applyFont="1" applyFill="1" applyBorder="1" applyAlignment="1">
      <alignment horizontal="center" vertical="center" wrapText="1"/>
    </xf>
    <xf numFmtId="164" fontId="31" fillId="10" borderId="0" xfId="0" applyNumberFormat="1" applyFont="1" applyFill="1" applyAlignment="1">
      <alignment horizontal="center" vertical="center" wrapText="1"/>
    </xf>
    <xf numFmtId="164" fontId="31" fillId="10" borderId="29" xfId="0" applyNumberFormat="1" applyFont="1" applyFill="1" applyBorder="1" applyAlignment="1">
      <alignment horizontal="center" vertical="center" wrapText="1"/>
    </xf>
    <xf numFmtId="0" fontId="30" fillId="4" borderId="15" xfId="0" applyFont="1" applyFill="1" applyBorder="1" applyAlignment="1">
      <alignment vertical="top" wrapText="1"/>
    </xf>
    <xf numFmtId="0" fontId="5" fillId="8" borderId="20" xfId="0" applyFont="1" applyFill="1" applyBorder="1" applyAlignment="1">
      <alignment horizontal="center" vertical="center" wrapText="1"/>
    </xf>
    <xf numFmtId="0" fontId="5" fillId="8" borderId="21" xfId="0" applyFont="1" applyFill="1" applyBorder="1" applyAlignment="1">
      <alignment horizontal="center" vertical="center" wrapText="1"/>
    </xf>
    <xf numFmtId="0" fontId="5" fillId="8" borderId="22" xfId="0" applyFont="1" applyFill="1" applyBorder="1" applyAlignment="1">
      <alignment horizontal="center" vertical="center" wrapText="1"/>
    </xf>
    <xf numFmtId="2" fontId="4" fillId="9" borderId="19" xfId="0" applyNumberFormat="1"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9" borderId="19" xfId="0" applyFont="1" applyFill="1" applyBorder="1" applyAlignment="1">
      <alignment vertical="top" wrapText="1"/>
    </xf>
    <xf numFmtId="0" fontId="0" fillId="0" borderId="0" xfId="0" applyAlignment="1">
      <alignment horizontal="left" vertical="center"/>
    </xf>
    <xf numFmtId="0" fontId="33" fillId="9" borderId="23" xfId="0" applyFont="1" applyFill="1" applyBorder="1" applyAlignment="1">
      <alignment horizontal="left" vertical="center" wrapText="1"/>
    </xf>
    <xf numFmtId="0" fontId="33" fillId="9" borderId="26" xfId="0" applyFont="1" applyFill="1" applyBorder="1" applyAlignment="1">
      <alignment horizontal="left" vertical="center" wrapText="1"/>
    </xf>
    <xf numFmtId="0" fontId="33" fillId="9" borderId="28" xfId="0" applyFont="1" applyFill="1" applyBorder="1" applyAlignment="1">
      <alignment horizontal="left" vertical="center" wrapText="1"/>
    </xf>
    <xf numFmtId="0" fontId="33" fillId="0" borderId="0" xfId="0" applyFont="1" applyAlignment="1">
      <alignment horizontal="left" vertical="center"/>
    </xf>
    <xf numFmtId="0" fontId="14" fillId="5" borderId="0" xfId="0" applyFont="1" applyFill="1" applyAlignment="1">
      <alignment vertical="center" wrapText="1"/>
    </xf>
    <xf numFmtId="0" fontId="25" fillId="3" borderId="4" xfId="0" applyFont="1" applyFill="1" applyBorder="1" applyAlignment="1">
      <alignment vertical="top" wrapText="1"/>
    </xf>
    <xf numFmtId="0" fontId="25" fillId="3" borderId="5" xfId="0" applyFont="1" applyFill="1" applyBorder="1" applyAlignment="1">
      <alignment vertical="top" wrapText="1"/>
    </xf>
    <xf numFmtId="0" fontId="25" fillId="3" borderId="6" xfId="0" applyFont="1" applyFill="1" applyBorder="1" applyAlignment="1">
      <alignment vertical="top" wrapText="1"/>
    </xf>
    <xf numFmtId="0" fontId="25" fillId="3" borderId="7" xfId="0" applyFont="1" applyFill="1" applyBorder="1" applyAlignment="1">
      <alignment vertical="top" wrapText="1"/>
    </xf>
    <xf numFmtId="0" fontId="25" fillId="3" borderId="0" xfId="0" applyFont="1" applyFill="1" applyAlignment="1">
      <alignment vertical="top" wrapText="1"/>
    </xf>
    <xf numFmtId="0" fontId="25" fillId="3" borderId="8" xfId="0" applyFont="1" applyFill="1" applyBorder="1" applyAlignment="1">
      <alignment vertical="top" wrapText="1"/>
    </xf>
    <xf numFmtId="0" fontId="25" fillId="3" borderId="9" xfId="0" applyFont="1" applyFill="1" applyBorder="1" applyAlignment="1">
      <alignment vertical="top" wrapText="1"/>
    </xf>
    <xf numFmtId="0" fontId="25" fillId="3" borderId="10" xfId="0" applyFont="1" applyFill="1" applyBorder="1" applyAlignment="1">
      <alignment vertical="top" wrapText="1"/>
    </xf>
    <xf numFmtId="0" fontId="25" fillId="3" borderId="11" xfId="0" applyFont="1" applyFill="1" applyBorder="1" applyAlignment="1">
      <alignment vertical="top" wrapText="1"/>
    </xf>
    <xf numFmtId="0" fontId="1" fillId="2" borderId="0" xfId="0" applyFont="1" applyFill="1" applyAlignment="1">
      <alignment vertical="center" wrapText="1"/>
    </xf>
    <xf numFmtId="0" fontId="3" fillId="3" borderId="1" xfId="0" applyFont="1" applyFill="1" applyBorder="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12" fillId="5" borderId="1"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2" fillId="11" borderId="20" xfId="0" applyFont="1" applyFill="1" applyBorder="1" applyAlignment="1">
      <alignment horizontal="center" vertical="center" wrapText="1"/>
    </xf>
    <xf numFmtId="0" fontId="12" fillId="11" borderId="22" xfId="0" applyFont="1" applyFill="1" applyBorder="1" applyAlignment="1">
      <alignment horizontal="center" vertical="center" wrapText="1"/>
    </xf>
    <xf numFmtId="0" fontId="29" fillId="16" borderId="35" xfId="0" applyFont="1" applyFill="1" applyBorder="1" applyAlignment="1">
      <alignment horizontal="center" vertical="center" wrapText="1"/>
    </xf>
    <xf numFmtId="0" fontId="29" fillId="16" borderId="36" xfId="0" applyFont="1" applyFill="1" applyBorder="1" applyAlignment="1">
      <alignment horizontal="center" vertical="center" wrapText="1"/>
    </xf>
    <xf numFmtId="0" fontId="29" fillId="16" borderId="37" xfId="0" applyFont="1" applyFill="1" applyBorder="1" applyAlignment="1">
      <alignment horizontal="center" vertical="center" wrapText="1"/>
    </xf>
    <xf numFmtId="0" fontId="29" fillId="16" borderId="38" xfId="0" applyFont="1" applyFill="1" applyBorder="1" applyAlignment="1">
      <alignment horizontal="center" vertical="center" wrapText="1"/>
    </xf>
    <xf numFmtId="0" fontId="29" fillId="16" borderId="39" xfId="0" applyFont="1" applyFill="1" applyBorder="1" applyAlignment="1">
      <alignment horizontal="center" vertical="center" wrapText="1"/>
    </xf>
    <xf numFmtId="0" fontId="29" fillId="16" borderId="40" xfId="0" applyFont="1" applyFill="1" applyBorder="1" applyAlignment="1">
      <alignment horizontal="center" vertical="center" wrapText="1"/>
    </xf>
    <xf numFmtId="0" fontId="1" fillId="8" borderId="0" xfId="0" applyFont="1" applyFill="1" applyAlignment="1">
      <alignment vertical="center" wrapText="1"/>
    </xf>
    <xf numFmtId="0" fontId="32" fillId="9" borderId="20" xfId="0" applyFont="1" applyFill="1" applyBorder="1" applyAlignment="1">
      <alignment horizontal="left" vertical="center" wrapText="1"/>
    </xf>
    <xf numFmtId="0" fontId="32" fillId="9" borderId="21" xfId="0" applyFont="1" applyFill="1" applyBorder="1" applyAlignment="1">
      <alignment horizontal="left" vertical="center" wrapText="1"/>
    </xf>
    <xf numFmtId="0" fontId="32" fillId="9" borderId="22" xfId="0" applyFont="1" applyFill="1" applyBorder="1" applyAlignment="1">
      <alignment horizontal="left" vertical="center" wrapText="1"/>
    </xf>
    <xf numFmtId="0" fontId="5" fillId="11" borderId="20" xfId="0" applyFont="1" applyFill="1" applyBorder="1" applyAlignment="1">
      <alignment horizontal="center" vertical="center" wrapText="1"/>
    </xf>
    <xf numFmtId="0" fontId="5" fillId="11" borderId="21" xfId="0" applyFont="1" applyFill="1" applyBorder="1" applyAlignment="1">
      <alignment horizontal="center" vertical="center" wrapText="1"/>
    </xf>
    <xf numFmtId="0" fontId="5" fillId="11" borderId="22" xfId="0" applyFont="1" applyFill="1" applyBorder="1" applyAlignment="1">
      <alignment horizontal="center" vertical="center" wrapText="1"/>
    </xf>
    <xf numFmtId="0" fontId="0" fillId="10" borderId="41" xfId="0" applyFill="1" applyBorder="1" applyAlignment="1">
      <alignment vertical="center" wrapText="1"/>
    </xf>
    <xf numFmtId="0" fontId="0" fillId="10" borderId="42" xfId="0" applyFill="1" applyBorder="1" applyAlignment="1">
      <alignment vertical="center" wrapText="1"/>
    </xf>
    <xf numFmtId="0" fontId="0" fillId="10" borderId="43" xfId="0" applyFill="1" applyBorder="1" applyAlignment="1">
      <alignment vertical="center" wrapText="1"/>
    </xf>
    <xf numFmtId="0" fontId="0" fillId="10" borderId="44" xfId="0" applyFill="1" applyBorder="1" applyAlignment="1">
      <alignment vertical="center" wrapText="1"/>
    </xf>
    <xf numFmtId="0" fontId="0" fillId="10" borderId="45" xfId="0" applyFill="1" applyBorder="1" applyAlignment="1">
      <alignment vertical="center" wrapText="1"/>
    </xf>
    <xf numFmtId="0" fontId="0" fillId="10" borderId="46" xfId="0" applyFill="1" applyBorder="1" applyAlignment="1">
      <alignment vertical="center" wrapText="1"/>
    </xf>
    <xf numFmtId="0" fontId="4" fillId="9" borderId="23" xfId="0" applyFont="1" applyFill="1" applyBorder="1" applyAlignment="1">
      <alignment vertical="top" wrapText="1"/>
    </xf>
    <xf numFmtId="0" fontId="4" fillId="9" borderId="24" xfId="0" applyFont="1" applyFill="1" applyBorder="1" applyAlignment="1">
      <alignment vertical="top" wrapText="1"/>
    </xf>
    <xf numFmtId="0" fontId="4" fillId="9" borderId="25" xfId="0" applyFont="1" applyFill="1" applyBorder="1" applyAlignment="1">
      <alignment vertical="top" wrapText="1"/>
    </xf>
    <xf numFmtId="0" fontId="4" fillId="9" borderId="28" xfId="0" applyFont="1" applyFill="1" applyBorder="1" applyAlignment="1">
      <alignment vertical="top" wrapText="1"/>
    </xf>
    <xf numFmtId="0" fontId="4" fillId="9" borderId="29" xfId="0" applyFont="1" applyFill="1" applyBorder="1" applyAlignment="1">
      <alignment vertical="top" wrapText="1"/>
    </xf>
    <xf numFmtId="0" fontId="4" fillId="9" borderId="30" xfId="0" applyFont="1" applyFill="1" applyBorder="1" applyAlignment="1">
      <alignment vertical="top" wrapText="1"/>
    </xf>
    <xf numFmtId="9" fontId="27" fillId="12" borderId="23" xfId="0" applyNumberFormat="1" applyFont="1" applyFill="1" applyBorder="1" applyAlignment="1">
      <alignment horizontal="center" vertical="center" wrapText="1"/>
    </xf>
    <xf numFmtId="9" fontId="27" fillId="12" borderId="25" xfId="0" applyNumberFormat="1" applyFont="1" applyFill="1" applyBorder="1" applyAlignment="1">
      <alignment horizontal="center" vertical="center" wrapText="1"/>
    </xf>
    <xf numFmtId="9" fontId="27" fillId="12" borderId="28" xfId="0" applyNumberFormat="1" applyFont="1" applyFill="1" applyBorder="1" applyAlignment="1">
      <alignment horizontal="center" vertical="center" wrapText="1"/>
    </xf>
    <xf numFmtId="9" fontId="27" fillId="12" borderId="30" xfId="0" applyNumberFormat="1" applyFont="1" applyFill="1" applyBorder="1" applyAlignment="1">
      <alignment horizontal="center" vertical="center" wrapText="1"/>
    </xf>
    <xf numFmtId="0" fontId="27" fillId="12" borderId="23" xfId="0" applyFont="1" applyFill="1" applyBorder="1" applyAlignment="1">
      <alignment horizontal="center" vertical="center" wrapText="1"/>
    </xf>
    <xf numFmtId="0" fontId="27" fillId="12" borderId="25" xfId="0" applyFont="1" applyFill="1" applyBorder="1" applyAlignment="1">
      <alignment horizontal="center" vertical="center" wrapText="1"/>
    </xf>
    <xf numFmtId="0" fontId="27" fillId="12" borderId="28" xfId="0" applyFont="1" applyFill="1" applyBorder="1" applyAlignment="1">
      <alignment horizontal="center" vertical="center" wrapText="1"/>
    </xf>
    <xf numFmtId="0" fontId="27" fillId="12" borderId="30" xfId="0" applyFont="1" applyFill="1" applyBorder="1" applyAlignment="1">
      <alignment horizontal="center" vertical="center" wrapText="1"/>
    </xf>
    <xf numFmtId="0" fontId="6" fillId="11" borderId="0" xfId="0" applyFont="1" applyFill="1" applyAlignment="1">
      <alignment vertical="center" wrapText="1"/>
    </xf>
    <xf numFmtId="0" fontId="32" fillId="9" borderId="23" xfId="0" applyFont="1" applyFill="1" applyBorder="1" applyAlignment="1">
      <alignment vertical="top" wrapText="1"/>
    </xf>
    <xf numFmtId="0" fontId="32" fillId="9" borderId="24" xfId="0" applyFont="1" applyFill="1" applyBorder="1" applyAlignment="1">
      <alignment vertical="top" wrapText="1"/>
    </xf>
    <xf numFmtId="0" fontId="32" fillId="9" borderId="25" xfId="0" applyFont="1" applyFill="1" applyBorder="1" applyAlignment="1">
      <alignment vertical="top" wrapText="1"/>
    </xf>
    <xf numFmtId="0" fontId="32" fillId="9" borderId="26" xfId="0" applyFont="1" applyFill="1" applyBorder="1" applyAlignment="1">
      <alignment vertical="top" wrapText="1"/>
    </xf>
    <xf numFmtId="0" fontId="32" fillId="9" borderId="0" xfId="0" applyFont="1" applyFill="1" applyAlignment="1">
      <alignment vertical="top" wrapText="1"/>
    </xf>
    <xf numFmtId="0" fontId="32" fillId="9" borderId="27" xfId="0" applyFont="1" applyFill="1" applyBorder="1" applyAlignment="1">
      <alignment vertical="top" wrapText="1"/>
    </xf>
    <xf numFmtId="0" fontId="32" fillId="9" borderId="28" xfId="0" applyFont="1" applyFill="1" applyBorder="1" applyAlignment="1">
      <alignment vertical="top" wrapText="1"/>
    </xf>
    <xf numFmtId="0" fontId="32" fillId="9" borderId="29" xfId="0" applyFont="1" applyFill="1" applyBorder="1" applyAlignment="1">
      <alignment vertical="top" wrapText="1"/>
    </xf>
    <xf numFmtId="0" fontId="32" fillId="9" borderId="30" xfId="0" applyFont="1" applyFill="1"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18" fillId="2" borderId="0" xfId="0" applyFont="1" applyFill="1" applyAlignment="1">
      <alignment vertical="center" wrapText="1"/>
    </xf>
    <xf numFmtId="0" fontId="16" fillId="3" borderId="1" xfId="0" applyFont="1" applyFill="1" applyBorder="1" applyAlignment="1">
      <alignment vertical="top" wrapText="1"/>
    </xf>
    <xf numFmtId="0" fontId="16" fillId="3" borderId="2" xfId="0" applyFont="1" applyFill="1" applyBorder="1" applyAlignment="1">
      <alignment vertical="top" wrapText="1"/>
    </xf>
    <xf numFmtId="0" fontId="16" fillId="3" borderId="3" xfId="0" applyFont="1" applyFill="1" applyBorder="1" applyAlignment="1">
      <alignment vertical="top"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2" fontId="19" fillId="7" borderId="4" xfId="0" applyNumberFormat="1" applyFont="1" applyFill="1" applyBorder="1" applyAlignment="1">
      <alignment horizontal="center" vertical="center" wrapText="1"/>
    </xf>
    <xf numFmtId="2" fontId="19" fillId="7" borderId="5" xfId="0" applyNumberFormat="1" applyFont="1" applyFill="1" applyBorder="1" applyAlignment="1">
      <alignment horizontal="center" vertical="center" wrapText="1"/>
    </xf>
    <xf numFmtId="2" fontId="19" fillId="7" borderId="6" xfId="0" applyNumberFormat="1" applyFont="1" applyFill="1" applyBorder="1" applyAlignment="1">
      <alignment horizontal="center" vertical="center" wrapText="1"/>
    </xf>
    <xf numFmtId="2" fontId="19" fillId="7" borderId="7" xfId="0" applyNumberFormat="1" applyFont="1" applyFill="1" applyBorder="1" applyAlignment="1">
      <alignment horizontal="center" vertical="center" wrapText="1"/>
    </xf>
    <xf numFmtId="2" fontId="19" fillId="7" borderId="0" xfId="0" applyNumberFormat="1" applyFont="1" applyFill="1" applyAlignment="1">
      <alignment horizontal="center" vertical="center" wrapText="1"/>
    </xf>
    <xf numFmtId="2" fontId="19" fillId="7" borderId="8" xfId="0" applyNumberFormat="1" applyFont="1" applyFill="1" applyBorder="1" applyAlignment="1">
      <alignment horizontal="center" vertical="center" wrapText="1"/>
    </xf>
    <xf numFmtId="2" fontId="19" fillId="7" borderId="9" xfId="0" applyNumberFormat="1" applyFont="1" applyFill="1" applyBorder="1" applyAlignment="1">
      <alignment horizontal="center" vertical="center" wrapText="1"/>
    </xf>
    <xf numFmtId="2" fontId="19" fillId="7" borderId="10" xfId="0" applyNumberFormat="1" applyFont="1" applyFill="1" applyBorder="1" applyAlignment="1">
      <alignment horizontal="center" vertical="center" wrapText="1"/>
    </xf>
    <xf numFmtId="2" fontId="19" fillId="7" borderId="11" xfId="0" applyNumberFormat="1"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7" borderId="6"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7" borderId="0" xfId="0" applyFont="1" applyFill="1" applyAlignment="1">
      <alignment horizontal="center" vertical="center" wrapText="1"/>
    </xf>
    <xf numFmtId="0" fontId="19" fillId="7" borderId="8"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7" borderId="11" xfId="0" applyFont="1" applyFill="1" applyBorder="1" applyAlignment="1">
      <alignment horizontal="center" vertical="center" wrapText="1"/>
    </xf>
    <xf numFmtId="9" fontId="19" fillId="7" borderId="4" xfId="0" applyNumberFormat="1" applyFont="1" applyFill="1" applyBorder="1" applyAlignment="1">
      <alignment horizontal="center" vertical="center" wrapText="1"/>
    </xf>
    <xf numFmtId="9" fontId="19" fillId="7" borderId="5" xfId="0" applyNumberFormat="1" applyFont="1" applyFill="1" applyBorder="1" applyAlignment="1">
      <alignment horizontal="center" vertical="center" wrapText="1"/>
    </xf>
    <xf numFmtId="9" fontId="19" fillId="7" borderId="6" xfId="0" applyNumberFormat="1" applyFont="1" applyFill="1" applyBorder="1" applyAlignment="1">
      <alignment horizontal="center" vertical="center" wrapText="1"/>
    </xf>
    <xf numFmtId="9" fontId="19" fillId="7" borderId="7" xfId="0" applyNumberFormat="1" applyFont="1" applyFill="1" applyBorder="1" applyAlignment="1">
      <alignment horizontal="center" vertical="center" wrapText="1"/>
    </xf>
    <xf numFmtId="9" fontId="19" fillId="7" borderId="0" xfId="0" applyNumberFormat="1" applyFont="1" applyFill="1" applyAlignment="1">
      <alignment horizontal="center" vertical="center" wrapText="1"/>
    </xf>
    <xf numFmtId="9" fontId="19" fillId="7" borderId="8" xfId="0" applyNumberFormat="1" applyFont="1" applyFill="1" applyBorder="1" applyAlignment="1">
      <alignment horizontal="center" vertical="center" wrapText="1"/>
    </xf>
    <xf numFmtId="9" fontId="19" fillId="7" borderId="9" xfId="0" applyNumberFormat="1" applyFont="1" applyFill="1" applyBorder="1" applyAlignment="1">
      <alignment horizontal="center" vertical="center" wrapText="1"/>
    </xf>
    <xf numFmtId="9" fontId="19" fillId="7" borderId="10" xfId="0" applyNumberFormat="1" applyFont="1" applyFill="1" applyBorder="1" applyAlignment="1">
      <alignment horizontal="center" vertical="center" wrapText="1"/>
    </xf>
    <xf numFmtId="9" fontId="19" fillId="7" borderId="11" xfId="0" applyNumberFormat="1" applyFont="1" applyFill="1" applyBorder="1" applyAlignment="1">
      <alignment horizontal="center" vertical="center" wrapText="1"/>
    </xf>
    <xf numFmtId="0" fontId="3" fillId="9" borderId="23" xfId="0" applyFont="1" applyFill="1" applyBorder="1" applyAlignment="1">
      <alignment vertical="top" wrapText="1"/>
    </xf>
    <xf numFmtId="0" fontId="3" fillId="9" borderId="24" xfId="0" applyFont="1" applyFill="1" applyBorder="1" applyAlignment="1">
      <alignment vertical="top" wrapText="1"/>
    </xf>
    <xf numFmtId="0" fontId="3" fillId="9" borderId="25" xfId="0" applyFont="1" applyFill="1" applyBorder="1" applyAlignment="1">
      <alignment vertical="top" wrapText="1"/>
    </xf>
    <xf numFmtId="0" fontId="3" fillId="9" borderId="26" xfId="0" applyFont="1" applyFill="1" applyBorder="1" applyAlignment="1">
      <alignment vertical="top" wrapText="1"/>
    </xf>
    <xf numFmtId="0" fontId="3" fillId="9" borderId="0" xfId="0" applyFont="1" applyFill="1" applyAlignment="1">
      <alignment vertical="top" wrapText="1"/>
    </xf>
    <xf numFmtId="0" fontId="3" fillId="9" borderId="27" xfId="0" applyFont="1" applyFill="1" applyBorder="1" applyAlignment="1">
      <alignment vertical="top" wrapText="1"/>
    </xf>
    <xf numFmtId="0" fontId="3" fillId="9" borderId="28" xfId="0" applyFont="1" applyFill="1" applyBorder="1" applyAlignment="1">
      <alignment vertical="top" wrapText="1"/>
    </xf>
    <xf numFmtId="0" fontId="3" fillId="9" borderId="29" xfId="0" applyFont="1" applyFill="1" applyBorder="1" applyAlignment="1">
      <alignment vertical="top" wrapText="1"/>
    </xf>
    <xf numFmtId="0" fontId="3" fillId="9" borderId="30" xfId="0" applyFont="1" applyFill="1" applyBorder="1" applyAlignment="1">
      <alignment vertical="top" wrapText="1"/>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0" fillId="4" borderId="4" xfId="0" applyFill="1" applyBorder="1" applyAlignment="1">
      <alignment vertical="top" wrapText="1"/>
    </xf>
    <xf numFmtId="0" fontId="0" fillId="4" borderId="5" xfId="0" applyFill="1" applyBorder="1" applyAlignment="1">
      <alignment vertical="top" wrapText="1"/>
    </xf>
    <xf numFmtId="0" fontId="0" fillId="4" borderId="6" xfId="0" applyFill="1" applyBorder="1" applyAlignment="1">
      <alignment vertical="top" wrapText="1"/>
    </xf>
    <xf numFmtId="0" fontId="0" fillId="4" borderId="9" xfId="0" applyFill="1" applyBorder="1" applyAlignment="1">
      <alignment vertical="top" wrapText="1"/>
    </xf>
    <xf numFmtId="0" fontId="0" fillId="4" borderId="10" xfId="0" applyFill="1" applyBorder="1" applyAlignment="1">
      <alignment vertical="top" wrapText="1"/>
    </xf>
    <xf numFmtId="0" fontId="0" fillId="4" borderId="11" xfId="0" applyFill="1" applyBorder="1" applyAlignment="1">
      <alignment vertical="top" wrapText="1"/>
    </xf>
    <xf numFmtId="0" fontId="7" fillId="7" borderId="4"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6" fillId="5" borderId="0" xfId="0" applyFont="1" applyFill="1" applyAlignment="1">
      <alignment vertical="center" wrapText="1"/>
    </xf>
    <xf numFmtId="2" fontId="7" fillId="7" borderId="4" xfId="0" applyNumberFormat="1" applyFont="1" applyFill="1" applyBorder="1" applyAlignment="1">
      <alignment horizontal="center" vertical="center" wrapText="1"/>
    </xf>
    <xf numFmtId="2" fontId="7" fillId="7" borderId="6" xfId="0" applyNumberFormat="1" applyFont="1" applyFill="1" applyBorder="1" applyAlignment="1">
      <alignment horizontal="center" vertical="center" wrapText="1"/>
    </xf>
    <xf numFmtId="2" fontId="7" fillId="7" borderId="9" xfId="0" applyNumberFormat="1" applyFont="1" applyFill="1" applyBorder="1" applyAlignment="1">
      <alignment horizontal="center" vertical="center" wrapText="1"/>
    </xf>
    <xf numFmtId="2" fontId="7" fillId="7" borderId="11" xfId="0" applyNumberFormat="1" applyFont="1" applyFill="1" applyBorder="1" applyAlignment="1">
      <alignment horizontal="center" vertical="center"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3" fillId="3" borderId="4" xfId="0" applyFont="1" applyFill="1" applyBorder="1" applyAlignment="1">
      <alignment vertical="top" wrapText="1"/>
    </xf>
    <xf numFmtId="0" fontId="3" fillId="3" borderId="5" xfId="0" applyFont="1" applyFill="1" applyBorder="1" applyAlignment="1">
      <alignment vertical="top" wrapText="1"/>
    </xf>
    <xf numFmtId="0" fontId="3" fillId="3" borderId="6" xfId="0" applyFont="1" applyFill="1" applyBorder="1" applyAlignment="1">
      <alignment vertical="top" wrapText="1"/>
    </xf>
    <xf numFmtId="0" fontId="3" fillId="3" borderId="7" xfId="0" applyFont="1" applyFill="1" applyBorder="1" applyAlignment="1">
      <alignment vertical="top" wrapText="1"/>
    </xf>
    <xf numFmtId="0" fontId="3" fillId="3" borderId="0" xfId="0" applyFont="1" applyFill="1" applyAlignment="1">
      <alignment vertical="top" wrapText="1"/>
    </xf>
    <xf numFmtId="0" fontId="3" fillId="3" borderId="8" xfId="0" applyFont="1" applyFill="1" applyBorder="1" applyAlignment="1">
      <alignment vertical="top" wrapText="1"/>
    </xf>
    <xf numFmtId="0" fontId="3" fillId="3" borderId="9" xfId="0" applyFont="1" applyFill="1" applyBorder="1" applyAlignment="1">
      <alignment vertical="top" wrapText="1"/>
    </xf>
    <xf numFmtId="0" fontId="3" fillId="3" borderId="10" xfId="0" applyFont="1" applyFill="1" applyBorder="1" applyAlignment="1">
      <alignment vertical="top" wrapText="1"/>
    </xf>
    <xf numFmtId="0" fontId="3" fillId="3" borderId="11" xfId="0" applyFont="1" applyFill="1" applyBorder="1" applyAlignment="1">
      <alignment vertical="top" wrapText="1"/>
    </xf>
    <xf numFmtId="0" fontId="3" fillId="9" borderId="20" xfId="0" applyFont="1" applyFill="1" applyBorder="1" applyAlignment="1">
      <alignment vertical="top" wrapText="1"/>
    </xf>
    <xf numFmtId="0" fontId="3" fillId="9" borderId="21" xfId="0" applyFont="1" applyFill="1" applyBorder="1" applyAlignment="1">
      <alignment vertical="top" wrapText="1"/>
    </xf>
    <xf numFmtId="0" fontId="3" fillId="9" borderId="22" xfId="0" applyFont="1" applyFill="1" applyBorder="1" applyAlignment="1">
      <alignment vertical="top" wrapText="1"/>
    </xf>
  </cellXfs>
  <cellStyles count="1">
    <cellStyle name="Normal" xfId="0" builtinId="0"/>
  </cellStyles>
  <dxfs count="82">
    <dxf>
      <fill>
        <patternFill>
          <bgColor rgb="FFD9EAF7"/>
        </patternFill>
      </fill>
    </dxf>
    <dxf>
      <fill>
        <patternFill>
          <bgColor rgb="FFE2F0D9"/>
        </patternFill>
      </fill>
    </dxf>
    <dxf>
      <fill>
        <patternFill>
          <bgColor rgb="FFD9EAF7"/>
        </patternFill>
      </fill>
    </dxf>
    <dxf>
      <fill>
        <patternFill>
          <bgColor rgb="FFE2F0D9"/>
        </patternFill>
      </fill>
    </dxf>
    <dxf>
      <fill>
        <patternFill>
          <bgColor rgb="FFD9EAF7"/>
        </patternFill>
      </fill>
    </dxf>
    <dxf>
      <fill>
        <patternFill>
          <bgColor rgb="FFE2F0D9"/>
        </patternFill>
      </fill>
    </dxf>
    <dxf>
      <fill>
        <patternFill>
          <bgColor rgb="FFD9EAF7"/>
        </patternFill>
      </fill>
    </dxf>
    <dxf>
      <fill>
        <patternFill>
          <bgColor rgb="FFE2F0D9"/>
        </patternFill>
      </fill>
    </dxf>
    <dxf>
      <fill>
        <patternFill>
          <bgColor rgb="FFD9EAF7"/>
        </patternFill>
      </fill>
    </dxf>
    <dxf>
      <fill>
        <patternFill>
          <bgColor rgb="FFE2F0D9"/>
        </patternFill>
      </fill>
    </dxf>
    <dxf>
      <fill>
        <patternFill>
          <bgColor rgb="FFD9EAF7"/>
        </patternFill>
      </fill>
    </dxf>
    <dxf>
      <fill>
        <patternFill>
          <bgColor rgb="FFE2F0D9"/>
        </patternFill>
      </fill>
    </dxf>
    <dxf>
      <fill>
        <patternFill>
          <bgColor rgb="FFD9EAF7"/>
        </patternFill>
      </fill>
    </dxf>
    <dxf>
      <fill>
        <patternFill>
          <bgColor rgb="FFE2F0D9"/>
        </patternFill>
      </fill>
    </dxf>
    <dxf>
      <fill>
        <patternFill>
          <bgColor rgb="FFD9EAF7"/>
        </patternFill>
      </fill>
    </dxf>
    <dxf>
      <fill>
        <patternFill>
          <bgColor rgb="FFE2F0D9"/>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ill>
        <patternFill>
          <bgColor rgb="FFFCE4D6"/>
        </patternFill>
      </fill>
    </dxf>
    <dxf>
      <font>
        <b/>
      </font>
      <fill>
        <patternFill>
          <bgColor rgb="FFF4CCCC"/>
        </patternFill>
      </fill>
    </dxf>
    <dxf>
      <font>
        <b/>
      </font>
      <fill>
        <patternFill>
          <bgColor rgb="FFF3F4F6"/>
        </patternFill>
      </fill>
    </dxf>
    <dxf>
      <font>
        <b/>
      </font>
      <fill>
        <patternFill>
          <bgColor rgb="FFF4CCCC"/>
        </patternFill>
      </fill>
    </dxf>
    <dxf>
      <font>
        <b/>
      </font>
      <fill>
        <patternFill>
          <bgColor rgb="FFFCE4D6"/>
        </patternFill>
      </fill>
    </dxf>
    <dxf>
      <font>
        <b/>
        <color rgb="FF17365D"/>
      </font>
      <fill>
        <patternFill>
          <bgColor rgb="FFE2F0D9"/>
        </patternFill>
      </fill>
    </dxf>
    <dxf>
      <fill>
        <patternFill>
          <bgColor rgb="FFF3F4F6"/>
        </patternFill>
      </fill>
    </dxf>
    <dxf>
      <font>
        <b/>
      </font>
      <fill>
        <patternFill>
          <bgColor rgb="FFF4CCCC"/>
        </patternFill>
      </fill>
    </dxf>
    <dxf>
      <font>
        <b/>
      </font>
      <fill>
        <patternFill>
          <bgColor rgb="FFFCE4D6"/>
        </patternFill>
      </fill>
    </dxf>
    <dxf>
      <font>
        <b/>
      </font>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NOC Readiness by Pillar</a:t>
            </a:r>
          </a:p>
        </c:rich>
      </c:tx>
      <c:overlay val="1"/>
    </c:title>
    <c:autoTitleDeleted val="0"/>
    <c:plotArea>
      <c:layout/>
      <c:barChart>
        <c:barDir val="col"/>
        <c:grouping val="clustered"/>
        <c:varyColors val="0"/>
        <c:ser>
          <c:idx val="0"/>
          <c:order val="0"/>
          <c:tx>
            <c:v>Score / 4</c:v>
          </c:tx>
          <c:invertIfNegative val="1"/>
          <c:cat>
            <c:strRef>
              <c:f>Dashboard!$A$13:$A$20</c:f>
              <c:strCache>
                <c:ptCount val="8"/>
                <c:pt idx="0">
                  <c:v>Governance</c:v>
                </c:pt>
                <c:pt idx="1">
                  <c:v>Management</c:v>
                </c:pt>
                <c:pt idx="2">
                  <c:v>Human Resources</c:v>
                </c:pt>
                <c:pt idx="3">
                  <c:v>Finance</c:v>
                </c:pt>
                <c:pt idx="4">
                  <c:v>Marketing &amp; Communications</c:v>
                </c:pt>
                <c:pt idx="5">
                  <c:v>NOC Services</c:v>
                </c:pt>
                <c:pt idx="6">
                  <c:v>External Relations</c:v>
                </c:pt>
                <c:pt idx="7">
                  <c:v>Sporting Environment</c:v>
                </c:pt>
              </c:strCache>
            </c:strRef>
          </c:cat>
          <c:val>
            <c:numRef>
              <c:f>Dashboard!$B$13:$B$20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D47-4143-9195-AD034F38C87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990600</xdr:colOff>
      <xdr:row>39</xdr:row>
      <xdr:rowOff>38100</xdr:rowOff>
    </xdr:to>
    <xdr:sp macro="" textlink="">
      <xdr:nvSpPr>
        <xdr:cNvPr id="1026" name="Text Box 2" hidden="1">
          <a:extLst>
            <a:ext uri="{FF2B5EF4-FFF2-40B4-BE49-F238E27FC236}">
              <a16:creationId xmlns:a16="http://schemas.microsoft.com/office/drawing/2014/main" id="{FD46B487-EBD8-86A9-CE76-51A599DEF2C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22</xdr:row>
      <xdr:rowOff>0</xdr:rowOff>
    </xdr:from>
    <xdr:to>
      <xdr:col>7</xdr:col>
      <xdr:colOff>0</xdr:colOff>
      <xdr:row>39</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Brian Minikin" id="{D0B34361-613A-4569-83D9-309E38BE19EE}" userId="" providerId=""/>
</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5" dT="2026-08-29T07:05:47.13" personId="{D0B34361-613A-4569-83D9-309E38BE19EE}" id="{106353CA-A2B9-4128-8B6A-7F5C6658F21A}">
    <text>This cell self generates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topLeftCell="A15" workbookViewId="0">
      <selection activeCell="G6" sqref="G6"/>
    </sheetView>
  </sheetViews>
  <sheetFormatPr defaultRowHeight="14.25"/>
  <cols>
    <col min="1" max="1" width="24" customWidth="1"/>
    <col min="2" max="2" width="22" customWidth="1"/>
    <col min="3" max="3" width="24" customWidth="1"/>
    <col min="4" max="4" width="18" customWidth="1"/>
    <col min="5" max="5" width="24" customWidth="1"/>
    <col min="6" max="6" width="18" customWidth="1"/>
    <col min="7" max="8" width="24" customWidth="1"/>
  </cols>
  <sheetData>
    <row r="1" spans="1:8" ht="21.75">
      <c r="A1" s="155" t="s">
        <v>0</v>
      </c>
      <c r="B1" s="155"/>
      <c r="C1" s="155"/>
      <c r="D1" s="155"/>
      <c r="E1" s="155"/>
      <c r="F1" s="155"/>
      <c r="G1" s="155"/>
      <c r="H1" s="155"/>
    </row>
    <row r="2" spans="1:8">
      <c r="A2" s="156" t="s">
        <v>1</v>
      </c>
      <c r="B2" s="157"/>
      <c r="C2" s="157"/>
      <c r="D2" s="157"/>
      <c r="E2" s="157"/>
      <c r="F2" s="157"/>
      <c r="G2" s="157"/>
      <c r="H2" s="158"/>
    </row>
    <row r="3" spans="1:8" ht="12.75" customHeight="1"/>
    <row r="4" spans="1:8" s="28" customFormat="1" ht="21" customHeight="1">
      <c r="A4" s="25" t="s">
        <v>2</v>
      </c>
      <c r="B4" s="26"/>
      <c r="C4" s="27"/>
      <c r="D4" s="27" t="s">
        <v>3</v>
      </c>
      <c r="E4" s="26"/>
      <c r="F4" s="27"/>
      <c r="G4" s="27" t="s">
        <v>4</v>
      </c>
      <c r="H4" s="26" t="s">
        <v>5</v>
      </c>
    </row>
    <row r="5" spans="1:8" s="28" customFormat="1" ht="18">
      <c r="A5" s="29" t="s">
        <v>6</v>
      </c>
      <c r="B5" s="26"/>
      <c r="C5" s="30"/>
      <c r="D5" s="30" t="s">
        <v>7</v>
      </c>
      <c r="E5" s="24">
        <v>3</v>
      </c>
      <c r="F5" s="30"/>
      <c r="G5" s="30" t="s">
        <v>8</v>
      </c>
      <c r="H5" s="31" t="str">
        <f>IF(E5=1,"Limited / informal",IF(E5=2,"Basic / developing",IF(E5=3,"Functional / established","Mature / leading")))</f>
        <v>Functional / established</v>
      </c>
    </row>
    <row r="6" spans="1:8" s="28" customFormat="1" ht="42.75">
      <c r="A6" s="32" t="s">
        <v>9</v>
      </c>
      <c r="B6" s="26" t="s">
        <v>10</v>
      </c>
      <c r="C6" s="33"/>
      <c r="D6" s="33" t="s">
        <v>11</v>
      </c>
      <c r="E6" s="133" t="s">
        <v>12</v>
      </c>
      <c r="F6" s="33"/>
      <c r="G6" s="33"/>
      <c r="H6" s="26"/>
    </row>
    <row r="9" spans="1:8" s="28" customFormat="1" ht="15">
      <c r="A9" s="159" t="s">
        <v>13</v>
      </c>
      <c r="B9" s="160"/>
      <c r="C9" s="159" t="s">
        <v>14</v>
      </c>
      <c r="D9" s="160"/>
      <c r="E9" s="159" t="s">
        <v>15</v>
      </c>
      <c r="F9" s="160"/>
      <c r="G9" s="164" t="s">
        <v>16</v>
      </c>
      <c r="H9" s="165"/>
    </row>
    <row r="10" spans="1:8" s="28" customFormat="1">
      <c r="A10" s="161" t="s">
        <v>17</v>
      </c>
      <c r="B10" s="161"/>
      <c r="C10" s="161" t="s">
        <v>18</v>
      </c>
      <c r="D10" s="161"/>
      <c r="E10" s="161" t="s">
        <v>19</v>
      </c>
      <c r="F10" s="161"/>
      <c r="G10" s="166" t="s">
        <v>20</v>
      </c>
      <c r="H10" s="167"/>
    </row>
    <row r="11" spans="1:8" s="28" customFormat="1">
      <c r="A11" s="162"/>
      <c r="B11" s="162"/>
      <c r="C11" s="162"/>
      <c r="D11" s="162"/>
      <c r="E11" s="162"/>
      <c r="F11" s="162"/>
      <c r="G11" s="168"/>
      <c r="H11" s="169"/>
    </row>
    <row r="12" spans="1:8" s="28" customFormat="1">
      <c r="A12" s="163"/>
      <c r="B12" s="163"/>
      <c r="C12" s="163"/>
      <c r="D12" s="163"/>
      <c r="E12" s="163"/>
      <c r="F12" s="163"/>
      <c r="G12" s="170"/>
      <c r="H12" s="171"/>
    </row>
    <row r="13" spans="1:8" s="28" customFormat="1"/>
    <row r="14" spans="1:8" s="28" customFormat="1"/>
    <row r="15" spans="1:8" s="28" customFormat="1" ht="15.75">
      <c r="A15" s="145" t="s">
        <v>21</v>
      </c>
      <c r="B15" s="145"/>
      <c r="C15" s="145"/>
      <c r="D15" s="145"/>
      <c r="E15" s="145"/>
      <c r="F15" s="145"/>
      <c r="G15" s="145"/>
      <c r="H15" s="145"/>
    </row>
    <row r="16" spans="1:8" s="28" customFormat="1"/>
    <row r="17" spans="1:8" s="28" customFormat="1" ht="28.5">
      <c r="A17" s="34" t="s">
        <v>22</v>
      </c>
      <c r="B17" s="27" t="s">
        <v>23</v>
      </c>
      <c r="C17" s="35" t="s">
        <v>24</v>
      </c>
      <c r="E17" s="146" t="s">
        <v>25</v>
      </c>
      <c r="F17" s="147"/>
      <c r="G17" s="147"/>
      <c r="H17" s="148"/>
    </row>
    <row r="18" spans="1:8" s="28" customFormat="1" ht="42.75">
      <c r="A18" s="36" t="s">
        <v>26</v>
      </c>
      <c r="B18" s="30" t="s">
        <v>27</v>
      </c>
      <c r="C18" s="37" t="s">
        <v>28</v>
      </c>
      <c r="E18" s="149"/>
      <c r="F18" s="150"/>
      <c r="G18" s="150"/>
      <c r="H18" s="151"/>
    </row>
    <row r="19" spans="1:8" s="28" customFormat="1" ht="42.75">
      <c r="A19" s="36" t="s">
        <v>29</v>
      </c>
      <c r="B19" s="30" t="s">
        <v>30</v>
      </c>
      <c r="C19" s="37" t="s">
        <v>31</v>
      </c>
      <c r="E19" s="149"/>
      <c r="F19" s="150"/>
      <c r="G19" s="150"/>
      <c r="H19" s="151"/>
    </row>
    <row r="20" spans="1:8" s="28" customFormat="1" ht="42.75">
      <c r="A20" s="36" t="s">
        <v>32</v>
      </c>
      <c r="B20" s="30" t="s">
        <v>33</v>
      </c>
      <c r="C20" s="37" t="s">
        <v>34</v>
      </c>
      <c r="E20" s="149"/>
      <c r="F20" s="150"/>
      <c r="G20" s="150"/>
      <c r="H20" s="151"/>
    </row>
    <row r="21" spans="1:8" s="28" customFormat="1" ht="57">
      <c r="A21" s="38" t="s">
        <v>35</v>
      </c>
      <c r="B21" s="33" t="s">
        <v>36</v>
      </c>
      <c r="C21" s="39" t="s">
        <v>37</v>
      </c>
      <c r="E21" s="152"/>
      <c r="F21" s="153"/>
      <c r="G21" s="153"/>
      <c r="H21" s="154"/>
    </row>
    <row r="22" spans="1:8" s="28" customFormat="1"/>
    <row r="23" spans="1:8" s="28" customFormat="1"/>
    <row r="24" spans="1:8" s="28" customFormat="1" ht="15.75">
      <c r="A24" s="145" t="s">
        <v>38</v>
      </c>
      <c r="B24" s="145"/>
      <c r="C24" s="145"/>
      <c r="D24" s="145"/>
      <c r="E24" s="145"/>
      <c r="F24" s="145"/>
      <c r="G24" s="145"/>
      <c r="H24" s="145"/>
    </row>
    <row r="25" spans="1:8" s="28" customFormat="1"/>
    <row r="26" spans="1:8" s="28" customFormat="1">
      <c r="A26" s="146" t="s">
        <v>39</v>
      </c>
      <c r="B26" s="147"/>
      <c r="C26" s="147"/>
      <c r="D26" s="147"/>
      <c r="E26" s="147"/>
      <c r="F26" s="147"/>
      <c r="G26" s="147"/>
      <c r="H26" s="148"/>
    </row>
    <row r="27" spans="1:8" s="28" customFormat="1">
      <c r="A27" s="149"/>
      <c r="B27" s="150"/>
      <c r="C27" s="150"/>
      <c r="D27" s="150"/>
      <c r="E27" s="150"/>
      <c r="F27" s="150"/>
      <c r="G27" s="150"/>
      <c r="H27" s="151"/>
    </row>
    <row r="28" spans="1:8" s="28" customFormat="1">
      <c r="A28" s="149"/>
      <c r="B28" s="150"/>
      <c r="C28" s="150"/>
      <c r="D28" s="150"/>
      <c r="E28" s="150"/>
      <c r="F28" s="150"/>
      <c r="G28" s="150"/>
      <c r="H28" s="151"/>
    </row>
    <row r="29" spans="1:8" s="28" customFormat="1">
      <c r="A29" s="152"/>
      <c r="B29" s="153"/>
      <c r="C29" s="153"/>
      <c r="D29" s="153"/>
      <c r="E29" s="153"/>
      <c r="F29" s="153"/>
      <c r="G29" s="153"/>
      <c r="H29" s="154"/>
    </row>
    <row r="30" spans="1:8" s="28" customFormat="1"/>
  </sheetData>
  <mergeCells count="14">
    <mergeCell ref="A15:H15"/>
    <mergeCell ref="E17:H21"/>
    <mergeCell ref="A24:H24"/>
    <mergeCell ref="A26:H29"/>
    <mergeCell ref="A1:H1"/>
    <mergeCell ref="A2:H2"/>
    <mergeCell ref="A9:B9"/>
    <mergeCell ref="A10:B12"/>
    <mergeCell ref="C9:D9"/>
    <mergeCell ref="C10:D12"/>
    <mergeCell ref="E9:F9"/>
    <mergeCell ref="E10:F12"/>
    <mergeCell ref="G9:H9"/>
    <mergeCell ref="G10:H12"/>
  </mergeCells>
  <dataValidations count="1">
    <dataValidation type="list" sqref="E5" xr:uid="{00000000-0002-0000-0000-000000000000}">
      <formula1>"1,2,3,4"</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3"/>
  <sheetViews>
    <sheetView workbookViewId="0">
      <selection sqref="A1:J1"/>
    </sheetView>
  </sheetViews>
  <sheetFormatPr defaultRowHeight="14.25"/>
  <cols>
    <col min="1" max="1" width="31" customWidth="1"/>
    <col min="2" max="3" width="14" customWidth="1"/>
    <col min="4" max="5" width="12" customWidth="1"/>
    <col min="6" max="6" width="18" customWidth="1"/>
    <col min="7" max="7" width="55" customWidth="1"/>
    <col min="8" max="8" width="5" customWidth="1"/>
    <col min="9" max="9" width="25" customWidth="1"/>
    <col min="10" max="10" width="48" customWidth="1"/>
    <col min="24" max="24" width="2" customWidth="1"/>
  </cols>
  <sheetData>
    <row r="1" spans="1:24" ht="21.75">
      <c r="A1" s="172" t="s">
        <v>40</v>
      </c>
      <c r="B1" s="172"/>
      <c r="C1" s="172"/>
      <c r="D1" s="172"/>
      <c r="E1" s="172"/>
      <c r="F1" s="172"/>
      <c r="G1" s="172"/>
      <c r="H1" s="172"/>
      <c r="I1" s="172"/>
      <c r="J1" s="172"/>
    </row>
    <row r="2" spans="1:24" s="140" customFormat="1" ht="27.75" customHeight="1">
      <c r="A2" s="173" t="s">
        <v>41</v>
      </c>
      <c r="B2" s="174"/>
      <c r="C2" s="174"/>
      <c r="D2" s="174"/>
      <c r="E2" s="174"/>
      <c r="F2" s="174"/>
      <c r="G2" s="174"/>
      <c r="H2" s="174"/>
      <c r="I2" s="174"/>
      <c r="J2" s="175"/>
    </row>
    <row r="3" spans="1:24" s="140" customFormat="1" ht="27.75" customHeight="1">
      <c r="A3" s="140" t="s">
        <v>42</v>
      </c>
    </row>
    <row r="4" spans="1:24" ht="15">
      <c r="A4" s="176" t="s">
        <v>43</v>
      </c>
      <c r="B4" s="177"/>
      <c r="C4" s="178"/>
      <c r="D4" s="176" t="s">
        <v>44</v>
      </c>
      <c r="E4" s="177"/>
      <c r="F4" s="178"/>
      <c r="G4" s="176" t="s">
        <v>45</v>
      </c>
      <c r="H4" s="178"/>
      <c r="I4" s="176" t="s">
        <v>46</v>
      </c>
      <c r="J4" s="178"/>
    </row>
    <row r="5" spans="1:24">
      <c r="A5" s="179"/>
      <c r="B5" s="180"/>
      <c r="C5" s="181"/>
      <c r="D5" s="185" t="str">
        <f>IF(A5="","",VLOOKUP(A5,'Programme Profiles'!$A$5:$W$40,2,FALSE))</f>
        <v/>
      </c>
      <c r="E5" s="186"/>
      <c r="F5" s="187"/>
      <c r="G5" s="191" t="str">
        <f>IF(A5="","",IF(COUNT(B15:B22)&lt;8,"",AVERAGE(IF(C15&gt;0,MIN(1,B15/C15),1),IF(C16&gt;0,MIN(1,B16/C16),1),IF(C17&gt;0,MIN(1,B17/C17),1),IF(C18&gt;0,MIN(1,B18/C18),1),IF(C19&gt;0,MIN(1,B19/C19),1),IF(C20&gt;0,MIN(1,B20/C20),1),IF(C21&gt;0,MIN(1,B21/C21),1),IF(C22&gt;0,MIN(1,B22/C22),1))))</f>
        <v/>
      </c>
      <c r="H5" s="192"/>
      <c r="I5" s="195" t="str">
        <f>IF(A5="","",IF(COUNT(B15:B22)&lt;8,"ASSESS FIRST",IF(COUNTIF(F15:F22,"FOUNDATION RISK")&gt;0,"STOP",IF(COUNTIF(F15:F22,"GAP")&gt;0,"FIX FIRST","GO"))))</f>
        <v/>
      </c>
      <c r="J5" s="196"/>
      <c r="X5" t="str">
        <f>'Programme Profiles'!A5</f>
        <v>Olympic Scholarships for Athletes — Los Angeles 2028</v>
      </c>
    </row>
    <row r="6" spans="1:24">
      <c r="A6" s="182"/>
      <c r="B6" s="183"/>
      <c r="C6" s="184"/>
      <c r="D6" s="188"/>
      <c r="E6" s="189"/>
      <c r="F6" s="190"/>
      <c r="G6" s="193"/>
      <c r="H6" s="194"/>
      <c r="I6" s="197"/>
      <c r="J6" s="198"/>
      <c r="X6" t="str">
        <f>'Programme Profiles'!A6</f>
        <v>Olympic Scholarships for Athletes — French Alps 2030</v>
      </c>
    </row>
    <row r="7" spans="1:24">
      <c r="X7" t="str">
        <f>'Programme Profiles'!A7</f>
        <v>Refugee Athlete Support</v>
      </c>
    </row>
    <row r="8" spans="1:24" ht="15.75">
      <c r="A8" s="199" t="s">
        <v>47</v>
      </c>
      <c r="B8" s="199"/>
      <c r="C8" s="199"/>
      <c r="D8" s="199"/>
      <c r="E8" s="199"/>
      <c r="F8" s="199"/>
      <c r="G8" s="199"/>
      <c r="H8" s="199"/>
      <c r="I8" s="199"/>
      <c r="J8" s="199"/>
      <c r="X8" t="str">
        <f>'Programme Profiles'!A8</f>
        <v>Technical Courses for Coaches and Athletes’ Entourage</v>
      </c>
    </row>
    <row r="9" spans="1:24">
      <c r="A9" s="185" t="str">
        <f>IF(A5="","Select a programme or objective above.",VLOOKUP(A5,'Programme Profiles'!$A$5:$W$40,3,FALSE))</f>
        <v>Select a programme or objective above.</v>
      </c>
      <c r="B9" s="186"/>
      <c r="C9" s="186"/>
      <c r="D9" s="186"/>
      <c r="E9" s="186"/>
      <c r="F9" s="186"/>
      <c r="G9" s="186"/>
      <c r="H9" s="186"/>
      <c r="I9" s="186"/>
      <c r="J9" s="187"/>
      <c r="X9" t="str">
        <f>'Programme Profiles'!A9</f>
        <v>Olympic Scholarships for Coaches</v>
      </c>
    </row>
    <row r="10" spans="1:24">
      <c r="A10" s="188"/>
      <c r="B10" s="189"/>
      <c r="C10" s="189"/>
      <c r="D10" s="189"/>
      <c r="E10" s="189"/>
      <c r="F10" s="189"/>
      <c r="G10" s="189"/>
      <c r="H10" s="189"/>
      <c r="I10" s="189"/>
      <c r="J10" s="190"/>
      <c r="X10" t="str">
        <f>'Programme Profiles'!A10</f>
        <v>Athletes’ Commission Support</v>
      </c>
    </row>
    <row r="11" spans="1:24">
      <c r="X11" t="str">
        <f>'Programme Profiles'!A11</f>
        <v>Athletes’ Career Transition</v>
      </c>
    </row>
    <row r="12" spans="1:24" ht="15.75">
      <c r="A12" s="199" t="s">
        <v>48</v>
      </c>
      <c r="B12" s="199"/>
      <c r="C12" s="199"/>
      <c r="D12" s="199"/>
      <c r="E12" s="199"/>
      <c r="F12" s="199"/>
      <c r="G12" s="199"/>
      <c r="I12" s="199" t="s">
        <v>49</v>
      </c>
      <c r="J12" s="199"/>
      <c r="X12" t="str">
        <f>'Programme Profiles'!A12</f>
        <v>Development of National Sports System</v>
      </c>
    </row>
    <row r="13" spans="1:24">
      <c r="X13" t="str">
        <f>'Programme Profiles'!A13</f>
        <v>Support Grant for Continental Athletes</v>
      </c>
    </row>
    <row r="14" spans="1:24" ht="15">
      <c r="A14" s="134" t="s">
        <v>50</v>
      </c>
      <c r="B14" s="135" t="s">
        <v>51</v>
      </c>
      <c r="C14" s="135" t="s">
        <v>52</v>
      </c>
      <c r="D14" s="135" t="s">
        <v>53</v>
      </c>
      <c r="E14" s="135" t="s">
        <v>54</v>
      </c>
      <c r="F14" s="135" t="s">
        <v>55</v>
      </c>
      <c r="G14" s="136" t="s">
        <v>56</v>
      </c>
      <c r="I14" s="115" t="s">
        <v>57</v>
      </c>
      <c r="J14" s="123" t="str">
        <f>IF(A5="","",COUNTIF(F15:F22,"GAP")+COUNTIF(F15:F22,"FOUNDATION RISK"))</f>
        <v/>
      </c>
      <c r="X14" t="str">
        <f>'Programme Profiles'!A14</f>
        <v>Team Support Grant</v>
      </c>
    </row>
    <row r="15" spans="1:24" ht="30" customHeight="1">
      <c r="A15" s="141" t="s">
        <v>58</v>
      </c>
      <c r="B15" s="137" t="str">
        <f>IF(Dashboard!B13="","",Dashboard!B13)</f>
        <v/>
      </c>
      <c r="C15" s="137" t="str">
        <f>IF($A$5="","",VLOOKUP($A$5,'Programme Profiles'!$A$5:$W$40,4,FALSE))</f>
        <v/>
      </c>
      <c r="D15" s="137" t="str">
        <f t="shared" ref="D15:D22" si="0">IF(OR(B15="",C15=""),"",MAX(0,C15-B15))</f>
        <v/>
      </c>
      <c r="E15" s="138" t="str">
        <f>IF($A$5="","",IF(VLOOKUP($A$5,'Programme Profiles'!$A$5:$W$40,16,FALSE)=1,"YES","NO"))</f>
        <v/>
      </c>
      <c r="F15" s="139" t="str">
        <f t="shared" ref="F15:F22" si="1">IF($A$5="","",IF(B15="","NOT ASSESSED",IF(AND(E15="YES",B15&lt;2),"FOUNDATION RISK",IF(B15&gt;=C15,"MEETS","GAP"))))</f>
        <v/>
      </c>
      <c r="G15" s="139" t="str">
        <f t="shared" ref="G15:G22" si="2">IF($A$5="","",IF(F15="MEETS","Current readiness meets the working requirement.",IF(F15="FOUNDATION RISK","Critical foundation below Level 2. Address this pillar before proceeding.",IF(F15="GAP","Raise "&amp;A15&amp;" by "&amp;TEXT(D15,"0.0")&amp;" to at least "&amp;TEXT(C15,"0.0")&amp;". Use the RAT Strategic Plan actions to close the most relevant gaps.","Complete the RAT pillar assessment first."))))</f>
        <v/>
      </c>
      <c r="I15" s="118" t="s">
        <v>59</v>
      </c>
      <c r="J15" s="124" t="str">
        <f>IF(A5="","",IF((IF(F15="FOUNDATION RISK",A15&amp;", ","")&amp;IF(F16="FOUNDATION RISK",A16&amp;", ","")&amp;IF(F17="FOUNDATION RISK",A17&amp;", ","")&amp;IF(F18="FOUNDATION RISK",A18&amp;", ","")&amp;IF(F19="FOUNDATION RISK",A19&amp;", ","")&amp;IF(F20="FOUNDATION RISK",A20&amp;", ","")&amp;IF(F21="FOUNDATION RISK",A21&amp;", ","")&amp;IF(F22="FOUNDATION RISK",A22&amp;", ",""))="","None",LEFT(IF(F15="FOUNDATION RISK",A15&amp;", ","")&amp;IF(F16="FOUNDATION RISK",A16&amp;", ","")&amp;IF(F17="FOUNDATION RISK",A17&amp;", ","")&amp;IF(F18="FOUNDATION RISK",A18&amp;", ","")&amp;IF(F19="FOUNDATION RISK",A19&amp;", ","")&amp;IF(F20="FOUNDATION RISK",A20&amp;", ","")&amp;IF(F21="FOUNDATION RISK",A21&amp;", ","")&amp;IF(F22="FOUNDATION RISK",A22&amp;", ",""),LEN(IF(F15="FOUNDATION RISK",A15&amp;", ","")&amp;IF(F16="FOUNDATION RISK",A16&amp;", ","")&amp;IF(F17="FOUNDATION RISK",A17&amp;", ","")&amp;IF(F18="FOUNDATION RISK",A18&amp;", ","")&amp;IF(F19="FOUNDATION RISK",A19&amp;", ","")&amp;IF(F20="FOUNDATION RISK",A20&amp;", ","")&amp;IF(F21="FOUNDATION RISK",A21&amp;", ","")&amp;IF(F22="FOUNDATION RISK",A22&amp;", ",""))-2)))</f>
        <v/>
      </c>
      <c r="X15" t="str">
        <f>'Programme Profiles'!A15</f>
        <v>Youth Athlete Development</v>
      </c>
    </row>
    <row r="16" spans="1:24" ht="30" customHeight="1">
      <c r="A16" s="142" t="s">
        <v>60</v>
      </c>
      <c r="B16" s="137" t="str">
        <f>IF(Dashboard!B14="","",Dashboard!B14)</f>
        <v/>
      </c>
      <c r="C16" s="137" t="str">
        <f>IF($A$5="","",VLOOKUP($A$5,'Programme Profiles'!$A$5:$W$40,5,FALSE))</f>
        <v/>
      </c>
      <c r="D16" s="137" t="str">
        <f t="shared" si="0"/>
        <v/>
      </c>
      <c r="E16" s="138" t="str">
        <f>IF($A$5="","",IF(VLOOKUP($A$5,'Programme Profiles'!$A$5:$W$40,17,FALSE)=1,"YES","NO"))</f>
        <v/>
      </c>
      <c r="F16" s="139" t="str">
        <f t="shared" si="1"/>
        <v/>
      </c>
      <c r="G16" s="139" t="str">
        <f t="shared" si="2"/>
        <v/>
      </c>
      <c r="I16" s="118" t="s">
        <v>61</v>
      </c>
      <c r="J16" s="124" t="str">
        <f>IF(A5="","",IF((IF(OR(F15="GAP",F15="FOUNDATION RISK"),A15&amp;", ","")&amp;IF(OR(F16="GAP",F16="FOUNDATION RISK"),A16&amp;", ","")&amp;IF(OR(F17="GAP",F17="FOUNDATION RISK"),A17&amp;", ","")&amp;IF(OR(F18="GAP",F18="FOUNDATION RISK"),A18&amp;", ","")&amp;IF(OR(F19="GAP",F19="FOUNDATION RISK"),A19&amp;", ","")&amp;IF(OR(F20="GAP",F20="FOUNDATION RISK"),A20&amp;", ","")&amp;IF(OR(F21="GAP",F21="FOUNDATION RISK"),A21&amp;", ","")&amp;IF(OR(F22="GAP",F22="FOUNDATION RISK"),A22&amp;", ",""))="","No pillar gaps",LEFT(IF(OR(F15="GAP",F15="FOUNDATION RISK"),A15&amp;", ","")&amp;IF(OR(F16="GAP",F16="FOUNDATION RISK"),A16&amp;", ","")&amp;IF(OR(F17="GAP",F17="FOUNDATION RISK"),A17&amp;", ","")&amp;IF(OR(F18="GAP",F18="FOUNDATION RISK"),A18&amp;", ","")&amp;IF(OR(F19="GAP",F19="FOUNDATION RISK"),A19&amp;", ","")&amp;IF(OR(F20="GAP",F20="FOUNDATION RISK"),A20&amp;", ","")&amp;IF(OR(F21="GAP",F21="FOUNDATION RISK"),A21&amp;", ","")&amp;IF(OR(F22="GAP",F22="FOUNDATION RISK"),A22&amp;", ",""),LEN(IF(OR(F15="GAP",F15="FOUNDATION RISK"),A15&amp;", ","")&amp;IF(OR(F16="GAP",F16="FOUNDATION RISK"),A16&amp;", ","")&amp;IF(OR(F17="GAP",F17="FOUNDATION RISK"),A17&amp;", ","")&amp;IF(OR(F18="GAP",F18="FOUNDATION RISK"),A18&amp;", ","")&amp;IF(OR(F19="GAP",F19="FOUNDATION RISK"),A19&amp;", ","")&amp;IF(OR(F20="GAP",F20="FOUNDATION RISK"),A20&amp;", ","")&amp;IF(OR(F21="GAP",F21="FOUNDATION RISK"),A21&amp;", ","")&amp;IF(OR(F22="GAP",F22="FOUNDATION RISK"),A22&amp;", ",""))-2)))</f>
        <v/>
      </c>
      <c r="X16" t="str">
        <f>'Programme Profiles'!A16</f>
        <v>NOC Administration Development</v>
      </c>
    </row>
    <row r="17" spans="1:24" ht="30" customHeight="1">
      <c r="A17" s="142" t="s">
        <v>62</v>
      </c>
      <c r="B17" s="137" t="str">
        <f>IF(Dashboard!B15="","",Dashboard!B15)</f>
        <v/>
      </c>
      <c r="C17" s="137" t="str">
        <f>IF($A$5="","",VLOOKUP($A$5,'Programme Profiles'!$A$5:$W$40,6,FALSE))</f>
        <v/>
      </c>
      <c r="D17" s="137" t="str">
        <f t="shared" si="0"/>
        <v/>
      </c>
      <c r="E17" s="138" t="str">
        <f>IF($A$5="","",IF(VLOOKUP($A$5,'Programme Profiles'!$A$5:$W$40,18,FALSE)=1,"YES","NO"))</f>
        <v/>
      </c>
      <c r="F17" s="139" t="str">
        <f t="shared" si="1"/>
        <v/>
      </c>
      <c r="G17" s="139" t="str">
        <f t="shared" si="2"/>
        <v/>
      </c>
      <c r="I17" s="118" t="s">
        <v>63</v>
      </c>
      <c r="J17" s="124" t="str">
        <f>IF(A5="","",VLOOKUP(A5,'Programme Profiles'!$A$5:$W$40,13,FALSE))</f>
        <v/>
      </c>
      <c r="X17" t="str">
        <f>'Programme Profiles'!A17</f>
        <v>National Courses for Sports Administrators</v>
      </c>
    </row>
    <row r="18" spans="1:24" ht="30" customHeight="1">
      <c r="A18" s="142" t="s">
        <v>64</v>
      </c>
      <c r="B18" s="137" t="str">
        <f>IF(Dashboard!B16="","",Dashboard!B16)</f>
        <v/>
      </c>
      <c r="C18" s="137" t="str">
        <f>IF($A$5="","",VLOOKUP($A$5,'Programme Profiles'!$A$5:$W$40,7,FALSE))</f>
        <v/>
      </c>
      <c r="D18" s="137" t="str">
        <f t="shared" si="0"/>
        <v/>
      </c>
      <c r="E18" s="138" t="str">
        <f>IF($A$5="","",IF(VLOOKUP($A$5,'Programme Profiles'!$A$5:$W$40,19,FALSE)=1,"YES","NO"))</f>
        <v/>
      </c>
      <c r="F18" s="139" t="str">
        <f t="shared" si="1"/>
        <v/>
      </c>
      <c r="G18" s="139" t="str">
        <f t="shared" si="2"/>
        <v/>
      </c>
      <c r="I18" s="120" t="s">
        <v>65</v>
      </c>
      <c r="J18" s="125" t="str">
        <f>IF(A5="","",VLOOKUP(A5,'Programme Profiles'!$A$5:$W$40,15,FALSE))</f>
        <v/>
      </c>
      <c r="X18" t="str">
        <f>'Programme Profiles'!A18</f>
        <v>International Executive Courses in Sport Management</v>
      </c>
    </row>
    <row r="19" spans="1:24" ht="30" customHeight="1">
      <c r="A19" s="142" t="s">
        <v>66</v>
      </c>
      <c r="B19" s="137" t="str">
        <f>IF(Dashboard!B17="","",Dashboard!B17)</f>
        <v/>
      </c>
      <c r="C19" s="137" t="str">
        <f>IF($A$5="","",VLOOKUP($A$5,'Programme Profiles'!$A$5:$W$40,8,FALSE))</f>
        <v/>
      </c>
      <c r="D19" s="137" t="str">
        <f t="shared" si="0"/>
        <v/>
      </c>
      <c r="E19" s="138" t="str">
        <f>IF($A$5="","",IF(VLOOKUP($A$5,'Programme Profiles'!$A$5:$W$40,20,FALSE)=1,"YES","NO"))</f>
        <v/>
      </c>
      <c r="F19" s="139" t="str">
        <f t="shared" si="1"/>
        <v/>
      </c>
      <c r="G19" s="139" t="str">
        <f t="shared" si="2"/>
        <v/>
      </c>
      <c r="X19" t="str">
        <f>'Programme Profiles'!A19</f>
        <v>NOC Exchanges</v>
      </c>
    </row>
    <row r="20" spans="1:24" ht="30" customHeight="1">
      <c r="A20" s="142" t="s">
        <v>67</v>
      </c>
      <c r="B20" s="137" t="str">
        <f>IF(Dashboard!B18="","",Dashboard!B18)</f>
        <v/>
      </c>
      <c r="C20" s="137" t="str">
        <f>IF($A$5="","",VLOOKUP($A$5,'Programme Profiles'!$A$5:$W$40,9,FALSE))</f>
        <v/>
      </c>
      <c r="D20" s="137" t="str">
        <f t="shared" si="0"/>
        <v/>
      </c>
      <c r="E20" s="138" t="str">
        <f>IF($A$5="","",IF(VLOOKUP($A$5,'Programme Profiles'!$A$5:$W$40,21,FALSE)=1,"YES","NO"))</f>
        <v/>
      </c>
      <c r="F20" s="139" t="str">
        <f t="shared" si="1"/>
        <v/>
      </c>
      <c r="G20" s="139" t="str">
        <f t="shared" si="2"/>
        <v/>
      </c>
      <c r="X20" t="str">
        <f>'Programme Profiles'!A20</f>
        <v>NOC Forums</v>
      </c>
    </row>
    <row r="21" spans="1:24" ht="30" customHeight="1">
      <c r="A21" s="142" t="s">
        <v>68</v>
      </c>
      <c r="B21" s="137" t="str">
        <f>IF(Dashboard!B19="","",Dashboard!B19)</f>
        <v/>
      </c>
      <c r="C21" s="137" t="str">
        <f>IF($A$5="","",VLOOKUP($A$5,'Programme Profiles'!$A$5:$W$40,10,FALSE))</f>
        <v/>
      </c>
      <c r="D21" s="137" t="str">
        <f t="shared" si="0"/>
        <v/>
      </c>
      <c r="E21" s="138" t="str">
        <f>IF($A$5="","",IF(VLOOKUP($A$5,'Programme Profiles'!$A$5:$W$40,22,FALSE)=1,"YES","NO"))</f>
        <v/>
      </c>
      <c r="F21" s="139" t="str">
        <f t="shared" si="1"/>
        <v/>
      </c>
      <c r="G21" s="139" t="str">
        <f t="shared" si="2"/>
        <v/>
      </c>
      <c r="X21" t="str">
        <f>'Programme Profiles'!A21</f>
        <v>Olympic Values Initiatives</v>
      </c>
    </row>
    <row r="22" spans="1:24" ht="30" customHeight="1">
      <c r="A22" s="143" t="s">
        <v>69</v>
      </c>
      <c r="B22" s="137" t="str">
        <f>IF(Dashboard!B20="","",Dashboard!B20)</f>
        <v/>
      </c>
      <c r="C22" s="137" t="str">
        <f>IF($A$5="","",VLOOKUP($A$5,'Programme Profiles'!$A$5:$W$40,11,FALSE))</f>
        <v/>
      </c>
      <c r="D22" s="137" t="str">
        <f t="shared" si="0"/>
        <v/>
      </c>
      <c r="E22" s="138" t="str">
        <f>IF($A$5="","",IF(VLOOKUP($A$5,'Programme Profiles'!$A$5:$W$40,23,FALSE)=1,"YES","NO"))</f>
        <v/>
      </c>
      <c r="F22" s="139" t="str">
        <f t="shared" si="1"/>
        <v/>
      </c>
      <c r="G22" s="139" t="str">
        <f t="shared" si="2"/>
        <v/>
      </c>
      <c r="X22" t="str">
        <f>'Programme Profiles'!A22</f>
        <v>Education &amp; Training Scholarships</v>
      </c>
    </row>
    <row r="23" spans="1:24" ht="15.75">
      <c r="A23" s="144"/>
      <c r="X23" t="str">
        <f>'Programme Profiles'!A23</f>
        <v>Olympic Day</v>
      </c>
    </row>
    <row r="24" spans="1:24">
      <c r="X24" t="str">
        <f>'Programme Profiles'!A24</f>
        <v>NOC Activities Programme</v>
      </c>
    </row>
    <row r="25" spans="1:24" ht="15.75">
      <c r="A25" s="199" t="s">
        <v>70</v>
      </c>
      <c r="B25" s="199"/>
      <c r="C25" s="199"/>
      <c r="D25" s="199"/>
      <c r="E25" s="199"/>
      <c r="F25" s="199"/>
      <c r="G25" s="199"/>
      <c r="H25" s="199"/>
      <c r="I25" s="199"/>
      <c r="J25" s="199"/>
      <c r="X25" t="str">
        <f>'Programme Profiles'!A25</f>
        <v>Support for Continental Athletes’ Commissions</v>
      </c>
    </row>
    <row r="26" spans="1:24">
      <c r="X26" t="str">
        <f>'Programme Profiles'!A26</f>
        <v>Continental Association Initiative / Targeted Support</v>
      </c>
    </row>
    <row r="27" spans="1:24" ht="44.1" customHeight="1">
      <c r="A27" s="126" t="s">
        <v>71</v>
      </c>
      <c r="B27" s="209" t="s">
        <v>72</v>
      </c>
      <c r="C27" s="210"/>
      <c r="D27" s="209"/>
      <c r="E27" s="209" t="s">
        <v>73</v>
      </c>
      <c r="F27" s="209"/>
      <c r="G27" s="209"/>
      <c r="H27" s="209"/>
      <c r="I27" s="209"/>
      <c r="J27" s="210"/>
      <c r="X27" t="str">
        <f>'Programme Profiles'!A27</f>
        <v>IOC Subsidy — NOC Participation in Los Angeles 2028</v>
      </c>
    </row>
    <row r="28" spans="1:24" ht="44.1" customHeight="1">
      <c r="A28" s="127" t="s">
        <v>74</v>
      </c>
      <c r="B28" s="209" t="s">
        <v>75</v>
      </c>
      <c r="C28" s="210"/>
      <c r="D28" s="209"/>
      <c r="E28" s="209" t="s">
        <v>76</v>
      </c>
      <c r="F28" s="209"/>
      <c r="G28" s="209"/>
      <c r="H28" s="209"/>
      <c r="I28" s="209"/>
      <c r="J28" s="210"/>
      <c r="X28" t="str">
        <f>'Programme Profiles'!A28</f>
        <v>IOC Subsidy — NOC Participation in Dakar 2026 YOG</v>
      </c>
    </row>
    <row r="29" spans="1:24" ht="44.1" customHeight="1">
      <c r="A29" s="128" t="s">
        <v>77</v>
      </c>
      <c r="B29" s="209" t="s">
        <v>78</v>
      </c>
      <c r="C29" s="210"/>
      <c r="D29" s="209"/>
      <c r="E29" s="209" t="s">
        <v>79</v>
      </c>
      <c r="F29" s="209"/>
      <c r="G29" s="209"/>
      <c r="H29" s="209"/>
      <c r="I29" s="209"/>
      <c r="J29" s="210"/>
      <c r="X29" t="str">
        <f>'Programme Profiles'!A29</f>
        <v>IOC Subsidy — NOC Participation in Winter YOG 2028</v>
      </c>
    </row>
    <row r="30" spans="1:24" ht="44.1" customHeight="1">
      <c r="A30" s="129" t="s">
        <v>80</v>
      </c>
      <c r="B30" s="209" t="s">
        <v>81</v>
      </c>
      <c r="C30" s="210"/>
      <c r="D30" s="209"/>
      <c r="E30" s="209" t="s">
        <v>82</v>
      </c>
      <c r="F30" s="209"/>
      <c r="G30" s="209"/>
      <c r="H30" s="209"/>
      <c r="I30" s="209"/>
      <c r="J30" s="210"/>
      <c r="X30" t="str">
        <f>'Programme Profiles'!A30</f>
        <v>Send Delegation to Olympic Games</v>
      </c>
    </row>
    <row r="31" spans="1:24">
      <c r="X31" t="str">
        <f>'Programme Profiles'!A31</f>
        <v>Send Delegation to Youth Olympic Games</v>
      </c>
    </row>
    <row r="32" spans="1:24">
      <c r="X32" t="str">
        <f>'Programme Profiles'!A32</f>
        <v>Send Delegation to Continental / Regional Multisport Games</v>
      </c>
    </row>
    <row r="33" spans="1:24" ht="15.75">
      <c r="A33" s="199" t="s">
        <v>83</v>
      </c>
      <c r="B33" s="199"/>
      <c r="C33" s="199"/>
      <c r="D33" s="199"/>
      <c r="E33" s="199"/>
      <c r="F33" s="199"/>
      <c r="G33" s="199"/>
      <c r="H33" s="199"/>
      <c r="I33" s="199"/>
      <c r="J33" s="199"/>
      <c r="X33" t="str">
        <f>'Programme Profiles'!A33</f>
        <v>Bid to Host Olympic Games / Youth Olympic Games</v>
      </c>
    </row>
    <row r="34" spans="1:24">
      <c r="X34" t="str">
        <f>'Programme Profiles'!A34</f>
        <v>Bid to Host Continental / Regional Multisport Games</v>
      </c>
    </row>
    <row r="35" spans="1:24">
      <c r="A35" s="200" t="s">
        <v>84</v>
      </c>
      <c r="B35" s="201"/>
      <c r="C35" s="201"/>
      <c r="D35" s="201"/>
      <c r="E35" s="201"/>
      <c r="F35" s="201"/>
      <c r="G35" s="201"/>
      <c r="H35" s="201"/>
      <c r="I35" s="201"/>
      <c r="J35" s="202"/>
      <c r="X35" t="str">
        <f>'Programme Profiles'!A35</f>
        <v>Host Continental / Regional Multisport Games</v>
      </c>
    </row>
    <row r="36" spans="1:24">
      <c r="A36" s="203"/>
      <c r="B36" s="204"/>
      <c r="C36" s="204"/>
      <c r="D36" s="204"/>
      <c r="E36" s="204"/>
      <c r="F36" s="204"/>
      <c r="G36" s="204"/>
      <c r="H36" s="204"/>
      <c r="I36" s="204"/>
      <c r="J36" s="205"/>
      <c r="X36" t="str">
        <f>'Programme Profiles'!A36</f>
        <v>Develop National High Performance Programme</v>
      </c>
    </row>
    <row r="37" spans="1:24">
      <c r="A37" s="203"/>
      <c r="B37" s="204"/>
      <c r="C37" s="204"/>
      <c r="D37" s="204"/>
      <c r="E37" s="204"/>
      <c r="F37" s="204"/>
      <c r="G37" s="204"/>
      <c r="H37" s="204"/>
      <c r="I37" s="204"/>
      <c r="J37" s="205"/>
      <c r="X37" t="str">
        <f>'Programme Profiles'!A37</f>
        <v>Develop / Strengthen National Federation System</v>
      </c>
    </row>
    <row r="38" spans="1:24">
      <c r="A38" s="206"/>
      <c r="B38" s="207"/>
      <c r="C38" s="207"/>
      <c r="D38" s="207"/>
      <c r="E38" s="207"/>
      <c r="F38" s="207"/>
      <c r="G38" s="207"/>
      <c r="H38" s="207"/>
      <c r="I38" s="207"/>
      <c r="J38" s="208"/>
      <c r="X38" t="str">
        <f>'Programme Profiles'!A38</f>
        <v>Establish / Expand National Olympic Academy or Olympic Education Programme</v>
      </c>
    </row>
    <row r="39" spans="1:24">
      <c r="X39" t="str">
        <f>'Programme Profiles'!A39</f>
        <v>Establish Major Commercial / Sponsorship Programme</v>
      </c>
    </row>
    <row r="40" spans="1:24" ht="15.75">
      <c r="A40" s="199" t="s">
        <v>85</v>
      </c>
      <c r="B40" s="199"/>
      <c r="C40" s="199"/>
      <c r="D40" s="199"/>
      <c r="E40" s="199"/>
      <c r="F40" s="199"/>
      <c r="G40" s="199"/>
      <c r="H40" s="199"/>
      <c r="I40" s="199"/>
      <c r="J40" s="199"/>
      <c r="X40" t="str">
        <f>'Programme Profiles'!A40</f>
        <v>Lead National Sport Policy Partnership with Government</v>
      </c>
    </row>
    <row r="42" spans="1:24">
      <c r="A42" s="185" t="str">
        <f>IF(A5="","",VLOOKUP(A5,'Programme Profiles'!$A$5:$W$40,14,FALSE))</f>
        <v/>
      </c>
      <c r="B42" s="186"/>
      <c r="C42" s="186"/>
      <c r="D42" s="186"/>
      <c r="E42" s="186"/>
      <c r="F42" s="186"/>
      <c r="G42" s="186"/>
      <c r="H42" s="186"/>
      <c r="I42" s="186"/>
      <c r="J42" s="187"/>
    </row>
    <row r="43" spans="1:24">
      <c r="A43" s="188"/>
      <c r="B43" s="189"/>
      <c r="C43" s="189"/>
      <c r="D43" s="189"/>
      <c r="E43" s="189"/>
      <c r="F43" s="189"/>
      <c r="G43" s="189"/>
      <c r="H43" s="189"/>
      <c r="I43" s="189"/>
      <c r="J43" s="190"/>
    </row>
  </sheetData>
  <mergeCells count="27">
    <mergeCell ref="A33:J33"/>
    <mergeCell ref="A35:J38"/>
    <mergeCell ref="A40:J40"/>
    <mergeCell ref="A42:J43"/>
    <mergeCell ref="B27:D27"/>
    <mergeCell ref="E27:J27"/>
    <mergeCell ref="B28:D28"/>
    <mergeCell ref="E28:J28"/>
    <mergeCell ref="B29:D29"/>
    <mergeCell ref="E29:J29"/>
    <mergeCell ref="B30:D30"/>
    <mergeCell ref="E30:J30"/>
    <mergeCell ref="A8:J8"/>
    <mergeCell ref="A9:J10"/>
    <mergeCell ref="A12:G12"/>
    <mergeCell ref="I12:J12"/>
    <mergeCell ref="A25:J25"/>
    <mergeCell ref="A1:J1"/>
    <mergeCell ref="A2:J2"/>
    <mergeCell ref="A4:C4"/>
    <mergeCell ref="A5:C6"/>
    <mergeCell ref="D4:F4"/>
    <mergeCell ref="D5:F6"/>
    <mergeCell ref="G4:H4"/>
    <mergeCell ref="G5:H6"/>
    <mergeCell ref="I4:J4"/>
    <mergeCell ref="I5:J6"/>
  </mergeCells>
  <conditionalFormatting sqref="F15:F22">
    <cfRule type="expression" dxfId="81" priority="1">
      <formula>F15="MEETS"</formula>
    </cfRule>
    <cfRule type="expression" dxfId="80" priority="2">
      <formula>F15="GAP"</formula>
    </cfRule>
    <cfRule type="expression" dxfId="79" priority="3">
      <formula>F15="FOUNDATION RISK"</formula>
    </cfRule>
    <cfRule type="expression" dxfId="78" priority="4">
      <formula>F15="NOT ASSESSED"</formula>
    </cfRule>
  </conditionalFormatting>
  <conditionalFormatting sqref="I5:J6">
    <cfRule type="expression" dxfId="77" priority="5">
      <formula>I5="GO"</formula>
    </cfRule>
    <cfRule type="expression" dxfId="76" priority="6">
      <formula>I5="FIX FIRST"</formula>
    </cfRule>
    <cfRule type="expression" dxfId="75" priority="7">
      <formula>I5="STOP"</formula>
    </cfRule>
    <cfRule type="expression" dxfId="74" priority="8">
      <formula>I5="ASSESS FIRST"</formula>
    </cfRule>
  </conditionalFormatting>
  <dataValidations count="1">
    <dataValidation type="list" sqref="A5" xr:uid="{00000000-0002-0000-0100-000000000000}">
      <formula1>$X$5:$X$40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5"/>
  <sheetViews>
    <sheetView workbookViewId="0">
      <selection sqref="A1:L1"/>
    </sheetView>
  </sheetViews>
  <sheetFormatPr defaultRowHeight="14.25"/>
  <cols>
    <col min="1" max="1" width="24" customWidth="1"/>
    <col min="2" max="2" width="14" customWidth="1"/>
    <col min="3" max="3" width="15.125" customWidth="1"/>
    <col min="4" max="4" width="10.375" customWidth="1"/>
    <col min="5" max="5" width="12.25" customWidth="1"/>
    <col min="6" max="6" width="13" customWidth="1"/>
    <col min="7" max="7" width="23.25" customWidth="1"/>
    <col min="8" max="8" width="2.75" customWidth="1"/>
    <col min="9" max="9" width="22" customWidth="1"/>
    <col min="10" max="10" width="17.125" customWidth="1"/>
    <col min="11" max="11" width="30" customWidth="1"/>
    <col min="12" max="12" width="34" customWidth="1"/>
  </cols>
  <sheetData>
    <row r="1" spans="1:12" s="28" customFormat="1" ht="21.75">
      <c r="A1" s="211" t="s">
        <v>86</v>
      </c>
      <c r="B1" s="211"/>
      <c r="C1" s="211"/>
      <c r="D1" s="211"/>
      <c r="E1" s="211"/>
      <c r="F1" s="211"/>
      <c r="G1" s="211"/>
      <c r="H1" s="211"/>
      <c r="I1" s="211"/>
      <c r="J1" s="211"/>
      <c r="K1" s="211"/>
      <c r="L1" s="211"/>
    </row>
    <row r="2" spans="1:12" s="28" customFormat="1">
      <c r="A2" s="212" t="s">
        <v>87</v>
      </c>
      <c r="B2" s="213"/>
      <c r="C2" s="213"/>
      <c r="D2" s="213"/>
      <c r="E2" s="213"/>
      <c r="F2" s="213"/>
      <c r="G2" s="213"/>
      <c r="H2" s="213"/>
      <c r="I2" s="213"/>
      <c r="J2" s="213"/>
      <c r="K2" s="213"/>
      <c r="L2" s="214"/>
    </row>
    <row r="3" spans="1:12" s="28" customFormat="1"/>
    <row r="4" spans="1:12" s="51" customFormat="1" ht="15.75">
      <c r="A4" s="215" t="s">
        <v>88</v>
      </c>
      <c r="B4" s="216"/>
      <c r="C4" s="217"/>
      <c r="D4" s="215" t="s">
        <v>89</v>
      </c>
      <c r="E4" s="216"/>
      <c r="F4" s="217"/>
      <c r="G4" s="215" t="s">
        <v>90</v>
      </c>
      <c r="H4" s="216"/>
      <c r="I4" s="217"/>
      <c r="J4" s="215" t="s">
        <v>91</v>
      </c>
      <c r="K4" s="216"/>
      <c r="L4" s="217"/>
    </row>
    <row r="5" spans="1:12" s="28" customFormat="1">
      <c r="A5" s="218" t="str">
        <f>IF(COUNT(B13:B20)=0,"",AVERAGE(B13:B20))</f>
        <v/>
      </c>
      <c r="B5" s="219"/>
      <c r="C5" s="220"/>
      <c r="D5" s="227" t="str">
        <f>IF(A5="","Not assessed",IF(A5&lt;1,"Very low readiness",IF(A5&lt;2,"Emerging / informal",IF(A5&lt;3,"Developing",IF(A5&lt;3.5,"Functional / established","Mature / leading")))))</f>
        <v>Not assessed</v>
      </c>
      <c r="E5" s="228"/>
      <c r="F5" s="229"/>
      <c r="G5" s="236">
        <f>SUM(E13:E20)/95</f>
        <v>0</v>
      </c>
      <c r="H5" s="237"/>
      <c r="I5" s="238"/>
      <c r="J5" s="227" t="str">
        <f>IF(COUNT(B13:B20)=0,"",INDEX(A13:A20,MATCH(MIN(B13:B20),B13:B20,0))&amp;" — "&amp;TEXT(MIN(B13:B20),"0.00"))</f>
        <v/>
      </c>
      <c r="K5" s="228"/>
      <c r="L5" s="229"/>
    </row>
    <row r="6" spans="1:12" s="28" customFormat="1">
      <c r="A6" s="221"/>
      <c r="B6" s="222"/>
      <c r="C6" s="223"/>
      <c r="D6" s="230"/>
      <c r="E6" s="231"/>
      <c r="F6" s="232"/>
      <c r="G6" s="239"/>
      <c r="H6" s="240"/>
      <c r="I6" s="241"/>
      <c r="J6" s="230"/>
      <c r="K6" s="231"/>
      <c r="L6" s="232"/>
    </row>
    <row r="7" spans="1:12" s="28" customFormat="1">
      <c r="A7" s="224"/>
      <c r="B7" s="225"/>
      <c r="C7" s="226"/>
      <c r="D7" s="233"/>
      <c r="E7" s="234"/>
      <c r="F7" s="235"/>
      <c r="G7" s="242"/>
      <c r="H7" s="243"/>
      <c r="I7" s="244"/>
      <c r="J7" s="233"/>
      <c r="K7" s="234"/>
      <c r="L7" s="235"/>
    </row>
    <row r="8" spans="1:12" s="28" customFormat="1"/>
    <row r="9" spans="1:12" s="28" customFormat="1">
      <c r="A9" s="28" t="s">
        <v>92</v>
      </c>
    </row>
    <row r="10" spans="1:12" s="28" customFormat="1" ht="15.75">
      <c r="A10" s="145" t="s">
        <v>93</v>
      </c>
      <c r="B10" s="145"/>
      <c r="C10" s="145"/>
      <c r="D10" s="145"/>
      <c r="E10" s="145"/>
      <c r="F10" s="145"/>
      <c r="G10" s="145"/>
      <c r="I10" s="145" t="s">
        <v>94</v>
      </c>
      <c r="J10" s="145"/>
      <c r="K10" s="145"/>
      <c r="L10" s="145"/>
    </row>
    <row r="11" spans="1:12" s="28" customFormat="1"/>
    <row r="12" spans="1:12" s="28" customFormat="1" ht="15">
      <c r="A12" s="55" t="s">
        <v>50</v>
      </c>
      <c r="B12" s="56" t="s">
        <v>95</v>
      </c>
      <c r="C12" s="56" t="s">
        <v>96</v>
      </c>
      <c r="D12" s="56" t="s">
        <v>97</v>
      </c>
      <c r="E12" s="56" t="s">
        <v>98</v>
      </c>
      <c r="F12" s="56" t="s">
        <v>99</v>
      </c>
      <c r="G12" s="57" t="s">
        <v>100</v>
      </c>
      <c r="I12" s="55" t="s">
        <v>101</v>
      </c>
      <c r="J12" s="56" t="s">
        <v>102</v>
      </c>
      <c r="K12" s="56" t="s">
        <v>103</v>
      </c>
      <c r="L12" s="57" t="s">
        <v>104</v>
      </c>
    </row>
    <row r="13" spans="1:12" s="28" customFormat="1" ht="44.25" customHeight="1">
      <c r="A13" s="82" t="s">
        <v>58</v>
      </c>
      <c r="B13" s="85" t="str">
        <f>IF(Governance!A5="","",Governance!A5)</f>
        <v/>
      </c>
      <c r="C13" s="86" t="str">
        <f t="shared" ref="C13:C20" si="0">IF(B13="","Not assessed",IF(B13&lt;1,"Very low readiness",IF(B13&lt;2,"Emerging / informal",IF(B13&lt;3,"Developing",IF(B13&lt;3.5,"Functional / established","Mature / leading")))))</f>
        <v>Not assessed</v>
      </c>
      <c r="D13" s="86">
        <v>16</v>
      </c>
      <c r="E13" s="86">
        <f>COUNT(Governance!E9:E24)</f>
        <v>0</v>
      </c>
      <c r="F13" s="86">
        <f>COUNTIFS(Governance!D9:D24,"&lt;&gt;",Governance!E9:E24,"&lt;"&amp;'Start Here'!$E$5)</f>
        <v>0</v>
      </c>
      <c r="G13" s="87" t="str">
        <f t="shared" ref="G13:G20" si="1">IF(B13="","",IF(B13&lt;1,"Immediate foundation building",IF(B13&lt;2,"Major development required",IF(B13&lt;3,"Targeted development",IF(B13&lt;3.5,"Generally ready","Strong capability")))))</f>
        <v/>
      </c>
      <c r="I13" s="92" t="s">
        <v>105</v>
      </c>
      <c r="J13" s="93" t="str">
        <f>IF(COUNT(B13:B20)=0,"",MIN(B13:B20))</f>
        <v/>
      </c>
      <c r="K13" s="94" t="str">
        <f>IF(J13="","",IF(J13&lt;1,"Critical foundation weakness",IF(J13&lt;2,"Major weakness",IF(J13&lt;3,"Developing","Adequate foundation"))))</f>
        <v/>
      </c>
      <c r="L13" s="95" t="s">
        <v>106</v>
      </c>
    </row>
    <row r="14" spans="1:12" s="28" customFormat="1" ht="44.25" customHeight="1">
      <c r="A14" s="83" t="s">
        <v>60</v>
      </c>
      <c r="B14" s="85" t="str">
        <f>IF(Management!A5="","",Management!A5)</f>
        <v/>
      </c>
      <c r="C14" s="88" t="str">
        <f t="shared" si="0"/>
        <v>Not assessed</v>
      </c>
      <c r="D14" s="88">
        <v>14</v>
      </c>
      <c r="E14" s="88">
        <f>COUNT(Management!E9:E22)</f>
        <v>0</v>
      </c>
      <c r="F14" s="88">
        <f>COUNTIFS(Management!D9:D22,"&lt;&gt;",Management!E9:E22,"&lt;"&amp;'Start Here'!$E$5)</f>
        <v>0</v>
      </c>
      <c r="G14" s="89" t="str">
        <f t="shared" si="1"/>
        <v/>
      </c>
      <c r="I14" s="96" t="s">
        <v>107</v>
      </c>
      <c r="J14" s="97" t="str">
        <f>IF(COUNT(B13:B20)=0,"",AVERAGE(B13:B20))</f>
        <v/>
      </c>
      <c r="K14" s="98" t="str">
        <f>IF(J14="","",IF(J14&lt;1,"Very low overall readiness",IF(J14&lt;2,"Emerging / informal",IF(J14&lt;3,"Developing","Generally functional"))))</f>
        <v/>
      </c>
      <c r="L14" s="99" t="s">
        <v>108</v>
      </c>
    </row>
    <row r="15" spans="1:12" s="28" customFormat="1" ht="44.25" customHeight="1">
      <c r="A15" s="83" t="s">
        <v>62</v>
      </c>
      <c r="B15" s="85" t="str">
        <f>IF('Human Resources'!A5="","",'Human Resources'!A5)</f>
        <v/>
      </c>
      <c r="C15" s="88" t="str">
        <f t="shared" si="0"/>
        <v>Not assessed</v>
      </c>
      <c r="D15" s="88">
        <v>12</v>
      </c>
      <c r="E15" s="88">
        <f>COUNT('Human Resources'!E9:E20)</f>
        <v>0</v>
      </c>
      <c r="F15" s="88">
        <f>COUNTIFS('Human Resources'!D9:D20,"&lt;&gt;",'Human Resources'!E9:E20,"&lt;"&amp;'Start Here'!$E$5)</f>
        <v>0</v>
      </c>
      <c r="G15" s="89" t="str">
        <f t="shared" si="1"/>
        <v/>
      </c>
      <c r="I15" s="96" t="s">
        <v>109</v>
      </c>
      <c r="J15" s="97" t="str">
        <f>IF(OR(J13="",J14=""),"",J14-J13)</f>
        <v/>
      </c>
      <c r="K15" s="98" t="str">
        <f>IF(J15="","",IF(J15&lt;0.5,"Well balanced",IF(J15&lt;1,"Moderately unbalanced","Highly unbalanced")))</f>
        <v/>
      </c>
      <c r="L15" s="99" t="s">
        <v>110</v>
      </c>
    </row>
    <row r="16" spans="1:12" s="28" customFormat="1" ht="44.25" customHeight="1">
      <c r="A16" s="83" t="s">
        <v>64</v>
      </c>
      <c r="B16" s="85" t="str">
        <f>IF(Finance!A5="","",Finance!A5)</f>
        <v/>
      </c>
      <c r="C16" s="88" t="str">
        <f t="shared" si="0"/>
        <v>Not assessed</v>
      </c>
      <c r="D16" s="88">
        <v>12</v>
      </c>
      <c r="E16" s="88">
        <f>COUNT(Finance!E9:E20)</f>
        <v>0</v>
      </c>
      <c r="F16" s="88">
        <f>COUNTIFS(Finance!D9:D20,"&lt;&gt;",Finance!E9:E20,"&lt;"&amp;'Start Here'!$E$5)</f>
        <v>0</v>
      </c>
      <c r="G16" s="89" t="str">
        <f t="shared" si="1"/>
        <v/>
      </c>
      <c r="I16" s="100" t="s">
        <v>111</v>
      </c>
      <c r="J16" s="90">
        <f>SUM(F13:F20)</f>
        <v>0</v>
      </c>
      <c r="K16" s="101" t="str">
        <f>IF(J16=0,"All assessed elements meet target",IF(J16&lt;=10,"Manageable target gaps","Many target gaps — phase improvement"))</f>
        <v>All assessed elements meet target</v>
      </c>
      <c r="L16" s="91" t="s">
        <v>112</v>
      </c>
    </row>
    <row r="17" spans="1:12" s="28" customFormat="1" ht="44.25" customHeight="1">
      <c r="A17" s="83" t="s">
        <v>66</v>
      </c>
      <c r="B17" s="85" t="str">
        <f>IF('Marketing &amp; Communications'!A5="","",'Marketing &amp; Communications'!A5)</f>
        <v/>
      </c>
      <c r="C17" s="88" t="str">
        <f t="shared" si="0"/>
        <v>Not assessed</v>
      </c>
      <c r="D17" s="88">
        <v>13</v>
      </c>
      <c r="E17" s="88">
        <f>COUNT('Marketing &amp; Communications'!E9:E21)</f>
        <v>0</v>
      </c>
      <c r="F17" s="88">
        <f>COUNTIFS('Marketing &amp; Communications'!D9:D21,"&lt;&gt;",'Marketing &amp; Communications'!E9:E21,"&lt;"&amp;'Start Here'!$E$5)</f>
        <v>0</v>
      </c>
      <c r="G17" s="89" t="str">
        <f t="shared" si="1"/>
        <v/>
      </c>
    </row>
    <row r="18" spans="1:12" s="28" customFormat="1" ht="44.25" customHeight="1">
      <c r="A18" s="83" t="s">
        <v>67</v>
      </c>
      <c r="B18" s="85" t="str">
        <f>IF('NOC Services'!A5="","",'NOC Services'!A5)</f>
        <v/>
      </c>
      <c r="C18" s="88" t="str">
        <f t="shared" si="0"/>
        <v>Not assessed</v>
      </c>
      <c r="D18" s="88">
        <v>11</v>
      </c>
      <c r="E18" s="88">
        <f>COUNT('NOC Services'!E9:E19)</f>
        <v>0</v>
      </c>
      <c r="F18" s="88">
        <f>COUNTIFS('NOC Services'!D9:D19,"&lt;&gt;",'NOC Services'!E9:E19,"&lt;"&amp;'Start Here'!$E$5)</f>
        <v>0</v>
      </c>
      <c r="G18" s="89" t="str">
        <f t="shared" si="1"/>
        <v/>
      </c>
    </row>
    <row r="19" spans="1:12" s="28" customFormat="1" ht="44.25" customHeight="1">
      <c r="A19" s="83" t="s">
        <v>68</v>
      </c>
      <c r="B19" s="85" t="str">
        <f>IF('External Relations'!A5="","",'External Relations'!A5)</f>
        <v/>
      </c>
      <c r="C19" s="88" t="str">
        <f t="shared" si="0"/>
        <v>Not assessed</v>
      </c>
      <c r="D19" s="88">
        <v>8</v>
      </c>
      <c r="E19" s="88">
        <f>COUNT('External Relations'!E9:E16)</f>
        <v>0</v>
      </c>
      <c r="F19" s="88">
        <f>COUNTIFS('External Relations'!D9:D16,"&lt;&gt;",'External Relations'!E9:E16,"&lt;"&amp;'Start Here'!$E$5)</f>
        <v>0</v>
      </c>
      <c r="G19" s="89" t="str">
        <f t="shared" si="1"/>
        <v/>
      </c>
      <c r="I19" s="145" t="s">
        <v>113</v>
      </c>
      <c r="J19" s="145"/>
      <c r="K19" s="145"/>
      <c r="L19" s="145"/>
    </row>
    <row r="20" spans="1:12" s="28" customFormat="1" ht="44.25" customHeight="1">
      <c r="A20" s="84" t="s">
        <v>69</v>
      </c>
      <c r="B20" s="85" t="str">
        <f>IF('Sporting Environment'!A5="","",'Sporting Environment'!A5)</f>
        <v/>
      </c>
      <c r="C20" s="90" t="str">
        <f t="shared" si="0"/>
        <v>Not assessed</v>
      </c>
      <c r="D20" s="90">
        <v>9</v>
      </c>
      <c r="E20" s="90">
        <f>COUNT('Sporting Environment'!E9:E17)</f>
        <v>0</v>
      </c>
      <c r="F20" s="90">
        <f>COUNTIFS('Sporting Environment'!D9:D17,"&lt;&gt;",'Sporting Environment'!E9:E17,"&lt;"&amp;'Start Here'!$E$5)</f>
        <v>0</v>
      </c>
      <c r="G20" s="91" t="str">
        <f t="shared" si="1"/>
        <v/>
      </c>
    </row>
    <row r="21" spans="1:12" ht="15.75">
      <c r="I21" s="67" t="s">
        <v>114</v>
      </c>
      <c r="J21" s="68" t="s">
        <v>115</v>
      </c>
      <c r="K21" s="68" t="s">
        <v>97</v>
      </c>
      <c r="L21" s="69" t="s">
        <v>116</v>
      </c>
    </row>
    <row r="22" spans="1:12" ht="15">
      <c r="I22" s="70">
        <v>0</v>
      </c>
      <c r="J22" s="71" t="s">
        <v>117</v>
      </c>
      <c r="K22" s="72">
        <f>COUNTIFS(Governance!D9:D24,"&lt;&gt;",Governance!E9:E24,0)+COUNTIFS(Management!D9:D22,"&lt;&gt;",Management!E9:E22,0)+COUNTIFS('Human Resources'!D9:D20,"&lt;&gt;",'Human Resources'!E9:E20,0)+COUNTIFS(Finance!D9:D20,"&lt;&gt;",Finance!E9:E20,0)+COUNTIFS('Marketing &amp; Communications'!D9:D21,"&lt;&gt;",'Marketing &amp; Communications'!E9:E21,0)+COUNTIFS('NOC Services'!D9:D19,"&lt;&gt;",'NOC Services'!E9:E19,0)+COUNTIFS('External Relations'!D9:D16,"&lt;&gt;",'External Relations'!E9:E16,0)+COUNTIFS('Sporting Environment'!D9:D17,"&lt;&gt;",'Sporting Environment'!E9:E17,0)</f>
        <v>0</v>
      </c>
      <c r="L22" s="73" t="str">
        <f>IF(SUM($K$22:$K$26)=0,"",K22/SUM($K$22:$K$26))</f>
        <v/>
      </c>
    </row>
    <row r="23" spans="1:12" ht="15">
      <c r="I23" s="74">
        <v>1</v>
      </c>
      <c r="J23" s="75" t="s">
        <v>27</v>
      </c>
      <c r="K23" s="76">
        <f>COUNTIFS(Governance!D9:D24,"&lt;&gt;",Governance!E9:E24,1)+COUNTIFS(Management!D9:D22,"&lt;&gt;",Management!E9:E22,1)+COUNTIFS('Human Resources'!D9:D20,"&lt;&gt;",'Human Resources'!E9:E20,1)+COUNTIFS(Finance!D9:D20,"&lt;&gt;",Finance!E9:E20,1)+COUNTIFS('Marketing &amp; Communications'!D9:D21,"&lt;&gt;",'Marketing &amp; Communications'!E9:E21,1)+COUNTIFS('NOC Services'!D9:D19,"&lt;&gt;",'NOC Services'!E9:E19,1)+COUNTIFS('External Relations'!D9:D16,"&lt;&gt;",'External Relations'!E9:E16,1)+COUNTIFS('Sporting Environment'!D9:D17,"&lt;&gt;",'Sporting Environment'!E9:E17,1)</f>
        <v>0</v>
      </c>
      <c r="L23" s="77" t="str">
        <f>IF(SUM($K$22:$K$26)=0,"",K23/SUM($K$22:$K$26))</f>
        <v/>
      </c>
    </row>
    <row r="24" spans="1:12" ht="30">
      <c r="I24" s="74">
        <v>2</v>
      </c>
      <c r="J24" s="75" t="s">
        <v>30</v>
      </c>
      <c r="K24" s="76">
        <f>COUNTIFS(Governance!D9:D24,"&lt;&gt;",Governance!E9:E24,2)+COUNTIFS(Management!D9:D22,"&lt;&gt;",Management!E9:E22,2)+COUNTIFS('Human Resources'!D9:D20,"&lt;&gt;",'Human Resources'!E9:E20,2)+COUNTIFS(Finance!D9:D20,"&lt;&gt;",Finance!E9:E20,2)+COUNTIFS('Marketing &amp; Communications'!D9:D21,"&lt;&gt;",'Marketing &amp; Communications'!E9:E21,2)+COUNTIFS('NOC Services'!D9:D19,"&lt;&gt;",'NOC Services'!E9:E19,2)+COUNTIFS('External Relations'!D9:D16,"&lt;&gt;",'External Relations'!E9:E16,2)+COUNTIFS('Sporting Environment'!D9:D17,"&lt;&gt;",'Sporting Environment'!E9:E17,2)</f>
        <v>0</v>
      </c>
      <c r="L24" s="77" t="str">
        <f>IF(SUM($K$22:$K$26)=0,"",K24/SUM($K$22:$K$26))</f>
        <v/>
      </c>
    </row>
    <row r="25" spans="1:12" ht="30">
      <c r="I25" s="74">
        <v>3</v>
      </c>
      <c r="J25" s="75" t="s">
        <v>33</v>
      </c>
      <c r="K25" s="76">
        <f>COUNTIFS(Governance!D9:D24,"&lt;&gt;",Governance!E9:E24,3)+COUNTIFS(Management!D9:D22,"&lt;&gt;",Management!E9:E22,3)+COUNTIFS('Human Resources'!D9:D20,"&lt;&gt;",'Human Resources'!E9:E20,3)+COUNTIFS(Finance!D9:D20,"&lt;&gt;",Finance!E9:E20,3)+COUNTIFS('Marketing &amp; Communications'!D9:D21,"&lt;&gt;",'Marketing &amp; Communications'!E9:E21,3)+COUNTIFS('NOC Services'!D9:D19,"&lt;&gt;",'NOC Services'!E9:E19,3)+COUNTIFS('External Relations'!D9:D16,"&lt;&gt;",'External Relations'!E9:E16,3)+COUNTIFS('Sporting Environment'!D9:D17,"&lt;&gt;",'Sporting Environment'!E9:E17,3)</f>
        <v>0</v>
      </c>
      <c r="L25" s="77" t="str">
        <f>IF(SUM($K$22:$K$26)=0,"",K25/SUM($K$22:$K$26))</f>
        <v/>
      </c>
    </row>
    <row r="26" spans="1:12" ht="15">
      <c r="I26" s="78">
        <v>4</v>
      </c>
      <c r="J26" s="79" t="s">
        <v>36</v>
      </c>
      <c r="K26" s="80">
        <f>COUNTIFS(Governance!D9:D24,"&lt;&gt;",Governance!E9:E24,4)+COUNTIFS(Management!D9:D22,"&lt;&gt;",Management!E9:E22,4)+COUNTIFS('Human Resources'!D9:D20,"&lt;&gt;",'Human Resources'!E9:E20,4)+COUNTIFS(Finance!D9:D20,"&lt;&gt;",Finance!E9:E20,4)+COUNTIFS('Marketing &amp; Communications'!D9:D21,"&lt;&gt;",'Marketing &amp; Communications'!E9:E21,4)+COUNTIFS('NOC Services'!D9:D19,"&lt;&gt;",'NOC Services'!E9:E19,4)+COUNTIFS('External Relations'!D9:D16,"&lt;&gt;",'External Relations'!E9:E16,4)+COUNTIFS('Sporting Environment'!D9:D17,"&lt;&gt;",'Sporting Environment'!E9:E17,4)</f>
        <v>0</v>
      </c>
      <c r="L26" s="81" t="str">
        <f>IF(SUM($K$22:$K$26)=0,"",K26/SUM($K$22:$K$26))</f>
        <v/>
      </c>
    </row>
    <row r="41" spans="1:12" ht="15.75">
      <c r="A41" s="199" t="s">
        <v>118</v>
      </c>
      <c r="B41" s="199"/>
      <c r="C41" s="199"/>
      <c r="D41" s="199"/>
      <c r="E41" s="199"/>
      <c r="F41" s="199"/>
      <c r="G41" s="199"/>
      <c r="H41" s="199"/>
      <c r="I41" s="199"/>
      <c r="J41" s="199"/>
      <c r="K41" s="199"/>
      <c r="L41" s="199"/>
    </row>
    <row r="43" spans="1:12">
      <c r="A43" s="245" t="s">
        <v>119</v>
      </c>
      <c r="B43" s="246"/>
      <c r="C43" s="246"/>
      <c r="D43" s="246"/>
      <c r="E43" s="246"/>
      <c r="F43" s="246"/>
      <c r="G43" s="246"/>
      <c r="H43" s="246"/>
      <c r="I43" s="246"/>
      <c r="J43" s="246"/>
      <c r="K43" s="246"/>
      <c r="L43" s="247"/>
    </row>
    <row r="44" spans="1:12">
      <c r="A44" s="248"/>
      <c r="B44" s="249"/>
      <c r="C44" s="249"/>
      <c r="D44" s="249"/>
      <c r="E44" s="249"/>
      <c r="F44" s="249"/>
      <c r="G44" s="249"/>
      <c r="H44" s="249"/>
      <c r="I44" s="249"/>
      <c r="J44" s="249"/>
      <c r="K44" s="249"/>
      <c r="L44" s="250"/>
    </row>
    <row r="45" spans="1:12">
      <c r="A45" s="251"/>
      <c r="B45" s="252"/>
      <c r="C45" s="252"/>
      <c r="D45" s="252"/>
      <c r="E45" s="252"/>
      <c r="F45" s="252"/>
      <c r="G45" s="252"/>
      <c r="H45" s="252"/>
      <c r="I45" s="252"/>
      <c r="J45" s="252"/>
      <c r="K45" s="252"/>
      <c r="L45" s="253"/>
    </row>
  </sheetData>
  <mergeCells count="15">
    <mergeCell ref="A41:L41"/>
    <mergeCell ref="A43:L45"/>
    <mergeCell ref="A10:G10"/>
    <mergeCell ref="I10:L10"/>
    <mergeCell ref="I19:L19"/>
    <mergeCell ref="A1:L1"/>
    <mergeCell ref="A2:L2"/>
    <mergeCell ref="A4:C4"/>
    <mergeCell ref="A5:C7"/>
    <mergeCell ref="D4:F4"/>
    <mergeCell ref="D5:F7"/>
    <mergeCell ref="G4:I4"/>
    <mergeCell ref="G5:I7"/>
    <mergeCell ref="J4:L4"/>
    <mergeCell ref="J5:L7"/>
  </mergeCells>
  <conditionalFormatting sqref="B13:B20">
    <cfRule type="dataBar" priority="1">
      <dataBar>
        <cfvo type="min"/>
        <cfvo type="max"/>
        <color rgb="FFA02B93"/>
      </dataBar>
    </cfRule>
    <cfRule type="dataBar" priority="4">
      <dataBar>
        <cfvo type="min"/>
        <cfvo type="max"/>
        <color rgb="FFA02B93"/>
      </dataBar>
    </cfRule>
    <cfRule type="dataBar" priority="5">
      <dataBar>
        <cfvo type="min"/>
        <cfvo type="max"/>
        <color rgb="FFA02B93"/>
      </dataBar>
    </cfRule>
    <cfRule type="dataBar" priority="6">
      <dataBar>
        <cfvo type="min"/>
        <cfvo type="max"/>
        <color rgb="FFA02B93"/>
      </dataBar>
      <extLst>
        <ext xmlns:x14="http://schemas.microsoft.com/office/spreadsheetml/2009/9/main" uri="{B025F937-C7B1-47D3-B67F-A62EFF666E3E}">
          <x14:id>{E5D2A047-4238-8741-E2B3-85669B88D1C8}</x14:id>
        </ext>
      </extLst>
    </cfRule>
  </conditionalFormatting>
  <conditionalFormatting sqref="F13:F20">
    <cfRule type="expression" dxfId="73" priority="2">
      <formula>F13&gt;=5</formula>
    </cfRule>
    <cfRule type="expression" dxfId="72" priority="3">
      <formula>AND(F13&gt;=1,F13&lt;5)</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E5D2A047-4238-8741-E2B3-85669B88D1C8}">
            <x14:dataBar>
              <x14:cfvo type="min"/>
              <x14:cfvo type="max"/>
              <x14:negativeFillColor auto="1"/>
              <x14:axisColor auto="1"/>
            </x14:dataBar>
          </x14:cfRule>
          <xm:sqref>B13:B20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6"/>
  <sheetViews>
    <sheetView topLeftCell="A9" workbookViewId="0">
      <selection activeCell="F21" sqref="F21"/>
    </sheetView>
  </sheetViews>
  <sheetFormatPr defaultRowHeight="14.25"/>
  <cols>
    <col min="1" max="1" width="11" customWidth="1"/>
    <col min="2" max="2" width="21.125" customWidth="1"/>
    <col min="3" max="3" width="32.125" customWidth="1"/>
    <col min="4" max="4" width="42" customWidth="1"/>
    <col min="5" max="5" width="9" style="23" customWidth="1"/>
    <col min="6" max="6" width="16.125" customWidth="1"/>
    <col min="7" max="7" width="47.875" customWidth="1"/>
    <col min="8" max="8" width="31.875" customWidth="1"/>
    <col min="9" max="9" width="26.875" customWidth="1"/>
    <col min="10" max="10" width="15" customWidth="1"/>
    <col min="24" max="28" width="2" customWidth="1"/>
  </cols>
  <sheetData>
    <row r="1" spans="1:28" s="28" customFormat="1" ht="21.75">
      <c r="A1" s="211" t="s">
        <v>120</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c r="E3" s="48"/>
    </row>
    <row r="4" spans="1:28" s="51" customFormat="1" ht="15.75">
      <c r="A4" s="215" t="s">
        <v>122</v>
      </c>
      <c r="B4" s="217"/>
      <c r="C4" s="215" t="s">
        <v>98</v>
      </c>
      <c r="D4" s="217"/>
      <c r="E4" s="215" t="s">
        <v>99</v>
      </c>
      <c r="F4" s="217"/>
      <c r="G4" s="215" t="s">
        <v>96</v>
      </c>
      <c r="H4" s="216"/>
      <c r="I4" s="216"/>
      <c r="J4" s="217"/>
    </row>
    <row r="5" spans="1:28" s="28" customFormat="1">
      <c r="A5" s="218" t="str">
        <f>IF(COUNT(E9:E24)=0,"",AVERAGE(E9:E24))</f>
        <v/>
      </c>
      <c r="B5" s="220"/>
      <c r="C5" s="236">
        <f>COUNT(E9:E24)/16</f>
        <v>0</v>
      </c>
      <c r="D5" s="238"/>
      <c r="E5" s="227">
        <f>COUNTIFS(D9:D24,"&lt;&gt;",E9:E24,"&lt;"&amp;'Start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c r="E7" s="48"/>
    </row>
    <row r="8" spans="1:28" s="28" customFormat="1" ht="15">
      <c r="A8" s="55" t="s">
        <v>123</v>
      </c>
      <c r="B8" s="56" t="s">
        <v>124</v>
      </c>
      <c r="C8" s="56" t="s">
        <v>125</v>
      </c>
      <c r="D8" s="56" t="s">
        <v>126</v>
      </c>
      <c r="E8" s="56" t="s">
        <v>127</v>
      </c>
      <c r="F8" s="56" t="s">
        <v>128</v>
      </c>
      <c r="G8" s="56" t="s">
        <v>129</v>
      </c>
      <c r="H8" s="56" t="s">
        <v>130</v>
      </c>
      <c r="I8" s="56" t="s">
        <v>131</v>
      </c>
      <c r="J8" s="57" t="s">
        <v>132</v>
      </c>
    </row>
    <row r="9" spans="1:28" s="28" customFormat="1" ht="126" customHeight="1">
      <c r="A9" s="45" t="s">
        <v>133</v>
      </c>
      <c r="B9" s="46" t="s">
        <v>134</v>
      </c>
      <c r="C9" s="47" t="s">
        <v>135</v>
      </c>
      <c r="D9" s="26"/>
      <c r="E9" s="110"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We have no Committee.</v>
      </c>
      <c r="Y9" t="str">
        <f>IFERROR(VLOOKUP($A9&amp;"|1",'Criteria Library'!$B$5:$F$479,5,FALSE),"")</f>
        <v>No rules and regulations have been formalised.</v>
      </c>
      <c r="Z9" t="str">
        <f>IFERROR(VLOOKUP($A9&amp;"|2",'Criteria Library'!$B$5:$F$479,5,FALSE),"")</f>
        <v>The NOC constitution is not fully compliant with the rules of the Olympic Movement.</v>
      </c>
      <c r="AA9" t="str">
        <f>IFERROR(VLOOKUP($A9&amp;"|3",'Criteria Library'!$B$5:$F$479,5,FALSE),"")</f>
        <v>The constitution is revised regularly and includes all the provisions necessary for the efficient functioning of the NOC.</v>
      </c>
      <c r="AB9" t="str">
        <f>IFERROR(VLOOKUP($A9&amp;"|4",'Criteria Library'!$B$5:$F$479,5,FALSE),"")</f>
        <v>The constitution is supported by documented procedures, that have been approved by the members, regulating all possible instances of implementation.</v>
      </c>
    </row>
    <row r="10" spans="1:28" s="28" customFormat="1" ht="126" customHeight="1">
      <c r="A10" s="45" t="s">
        <v>136</v>
      </c>
      <c r="B10" s="46" t="s">
        <v>137</v>
      </c>
      <c r="C10" s="47" t="s">
        <v>138</v>
      </c>
      <c r="D10" s="26"/>
      <c r="E10" s="110"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No planning occurs</v>
      </c>
      <c r="Y10" t="str">
        <f>IFERROR(VLOOKUP($A10&amp;"|1",'Criteria Library'!$B$5:$F$479,5,FALSE),"")</f>
        <v>We plan on an ad-hoc basis as issues arise</v>
      </c>
      <c r="Z10" t="str">
        <f>IFERROR(VLOOKUP($A10&amp;"|2",'Criteria Library'!$B$5:$F$479,5,FALSE),"")</f>
        <v>Our plan is primarily driven by the requirements of outside agencies – often funders</v>
      </c>
      <c r="AA10" t="str">
        <f>IFERROR(VLOOKUP($A10&amp;"|3",'Criteria Library'!$B$5:$F$479,5,FALSE),"")</f>
        <v>The strategic plan is an internally developed, quadrennial plan</v>
      </c>
      <c r="AB10" t="str">
        <f>IFERROR(VLOOKUP($A10&amp;"|4",'Criteria Library'!$B$5:$F$479,5,FALSE),"")</f>
        <v>The strategic plan is an internally developed, long term plan going beyond 4 years</v>
      </c>
    </row>
    <row r="11" spans="1:28" s="28" customFormat="1" ht="126" customHeight="1">
      <c r="A11" s="45" t="s">
        <v>139</v>
      </c>
      <c r="B11" s="46" t="s">
        <v>140</v>
      </c>
      <c r="C11" s="47" t="s">
        <v>141</v>
      </c>
      <c r="D11" s="26"/>
      <c r="E11" s="110"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None.</v>
      </c>
      <c r="Y11" t="str">
        <f>IFERROR(VLOOKUP($A11&amp;"|1",'Criteria Library'!$B$5:$F$479,5,FALSE),"")</f>
        <v>We make a subjective assessment of activities</v>
      </c>
      <c r="Z11" t="str">
        <f>IFERROR(VLOOKUP($A11&amp;"|2",'Criteria Library'!$B$5:$F$479,5,FALSE),"")</f>
        <v>Our M&amp;E activities meet the requirements of external funders and focus on a few areas.</v>
      </c>
      <c r="AA11" t="str">
        <f>IFERROR(VLOOKUP($A11&amp;"|3",'Criteria Library'!$B$5:$F$479,5,FALSE),"")</f>
        <v>There are Key Performance Indicators (KPIs) associated with the plan that evaluate strategic outcomes that we monitor on a regular basis.</v>
      </c>
      <c r="AB11" t="str">
        <f>IFERROR(VLOOKUP($A11&amp;"|4",'Criteria Library'!$B$5:$F$479,5,FALSE),"")</f>
        <v>The Key Performance Indicators (KPIs) associated with the plan are evaluated and reported to the members as a basis for any modifications or adjustments to our plan.</v>
      </c>
    </row>
    <row r="12" spans="1:28" s="28" customFormat="1" ht="126" customHeight="1">
      <c r="A12" s="45" t="s">
        <v>142</v>
      </c>
      <c r="B12" s="46" t="s">
        <v>143</v>
      </c>
      <c r="C12" s="47" t="s">
        <v>144</v>
      </c>
      <c r="D12" s="26"/>
      <c r="E12" s="110"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No formal G.A. held.</v>
      </c>
      <c r="Y12" t="str">
        <f>IFERROR(VLOOKUP($A12&amp;"|1",'Criteria Library'!$B$5:$F$479,5,FALSE),"")</f>
        <v>We hold a G.A. every year but not at the same time or with an established agenda.</v>
      </c>
      <c r="Z12" t="str">
        <f>IFERROR(VLOOKUP($A12&amp;"|2",'Criteria Library'!$B$5:$F$479,5,FALSE),"")</f>
        <v>The G.A. is held annually at the same time of year but the agenda is inconsistent and variable.</v>
      </c>
      <c r="AA12" t="str">
        <f>IFERROR(VLOOKUP($A12&amp;"|3",'Criteria Library'!$B$5:$F$479,5,FALSE),"")</f>
        <v>The G.A. is a formal annual meeting covering basic agenda items stipulated by the rules of the Olympic Movement.</v>
      </c>
      <c r="AB12" t="str">
        <f>IFERROR(VLOOKUP($A12&amp;"|4",'Criteria Library'!$B$5:$F$479,5,FALSE),"")</f>
        <v>The G.A. is an annual meeting that is run according to documented, formal procedures that correspond to our strategic objectives.</v>
      </c>
    </row>
    <row r="13" spans="1:28" s="28" customFormat="1" ht="126" customHeight="1">
      <c r="A13" s="45" t="s">
        <v>145</v>
      </c>
      <c r="B13" s="46" t="s">
        <v>146</v>
      </c>
      <c r="C13" s="47" t="s">
        <v>147</v>
      </c>
      <c r="D13" s="26"/>
      <c r="E13" s="110"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No support structures formed</v>
      </c>
      <c r="Y13" t="str">
        <f>IFERROR(VLOOKUP($A13&amp;"|1",'Criteria Library'!$B$5:$F$479,5,FALSE),"")</f>
        <v>The NOC sets up working groups as required.</v>
      </c>
      <c r="Z13" t="str">
        <f>IFERROR(VLOOKUP($A13&amp;"|2",'Criteria Library'!$B$5:$F$479,5,FALSE),"")</f>
        <v>The NOC has some standing commissions mandated by the Olympic Charter such as an athlete's commission made up of members that report to the Board.</v>
      </c>
      <c r="AA13" t="str">
        <f>IFERROR(VLOOKUP($A13&amp;"|3",'Criteria Library'!$B$5:$F$479,5,FALSE),"")</f>
        <v>The NOC has standing commissions responsible for aspects of the Organisation’s work made up of a mix of stakeholders who drive the NOC’s work in their area, such as a Coaches Commission.</v>
      </c>
      <c r="AB13" t="str">
        <f>IFERROR(VLOOKUP($A13&amp;"|4",'Criteria Library'!$B$5:$F$479,5,FALSE),"")</f>
        <v>The NOC has an integrated Board and Commission structure that delegates implementation responsibilities to an administrative structure, which reports to the Board.</v>
      </c>
    </row>
    <row r="14" spans="1:28" s="28" customFormat="1" ht="126" customHeight="1">
      <c r="A14" s="45" t="s">
        <v>148</v>
      </c>
      <c r="B14" s="46" t="s">
        <v>149</v>
      </c>
      <c r="C14" s="47" t="s">
        <v>150</v>
      </c>
      <c r="D14" s="26"/>
      <c r="E14" s="110"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There is no Board</v>
      </c>
      <c r="Y14" t="str">
        <f>IFERROR(VLOOKUP($A14&amp;"|1",'Criteria Library'!$B$5:$F$479,5,FALSE),"")</f>
        <v>The Board is composed of elected or interested members without specific roles.</v>
      </c>
      <c r="Z14" t="str">
        <f>IFERROR(VLOOKUP($A14&amp;"|2",'Criteria Library'!$B$5:$F$479,5,FALSE),"")</f>
        <v>All Board members are elected, some with specific roles, such as President, Secretary and Treasurer.</v>
      </c>
      <c r="AA14" t="str">
        <f>IFERROR(VLOOKUP($A14&amp;"|3",'Criteria Library'!$B$5:$F$479,5,FALSE),"")</f>
        <v>Board members have responsibility for a specific and clearly defined portfolio based on demonstrated competencies.</v>
      </c>
      <c r="AB14" t="str">
        <f>IFERROR(VLOOKUP($A14&amp;"|4",'Criteria Library'!$B$5:$F$479,5,FALSE),"")</f>
        <v>The Board contains elected members with clear portfolios and may either include non-voting appointees with specialist expertise.</v>
      </c>
    </row>
    <row r="15" spans="1:28" s="28" customFormat="1" ht="126" customHeight="1">
      <c r="A15" s="45" t="s">
        <v>151</v>
      </c>
      <c r="B15" s="46" t="s">
        <v>152</v>
      </c>
      <c r="C15" s="47" t="s">
        <v>153</v>
      </c>
      <c r="D15" s="26"/>
      <c r="E15" s="110"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No succession planning</v>
      </c>
      <c r="Y15" t="str">
        <f>IFERROR(VLOOKUP($A15&amp;"|1",'Criteria Library'!$B$5:$F$479,5,FALSE),"")</f>
        <v>We have no limits to the length or limited succession planning.</v>
      </c>
      <c r="Z15" t="str">
        <f>IFERROR(VLOOKUP($A15&amp;"|2",'Criteria Library'!$B$5:$F$479,5,FALSE),"")</f>
        <v>We have limits to the number of terms on the Board, which means that Board members must be replaced predictably.</v>
      </c>
      <c r="AA15" t="str">
        <f>IFERROR(VLOOKUP($A15&amp;"|3",'Criteria Library'!$B$5:$F$479,5,FALSE),"")</f>
        <v>We carry out succession planning for the Board so that appropriate new people can be identified trained and mentored.</v>
      </c>
      <c r="AB15" t="str">
        <f>IFERROR(VLOOKUP($A15&amp;"|4",'Criteria Library'!$B$5:$F$479,5,FALSE),"")</f>
        <v>We ensure that there is a regular turnover of Board members based on a documented succession policy, which ensures continuity in the NOC.</v>
      </c>
    </row>
    <row r="16" spans="1:28" s="28" customFormat="1" ht="126" customHeight="1">
      <c r="A16" s="45" t="s">
        <v>154</v>
      </c>
      <c r="B16" s="46" t="s">
        <v>155</v>
      </c>
      <c r="C16" s="47" t="s">
        <v>156</v>
      </c>
      <c r="D16" s="26"/>
      <c r="E16" s="110"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No consultation occurs.</v>
      </c>
      <c r="Y16" t="str">
        <f>IFERROR(VLOOKUP($A16&amp;"|1",'Criteria Library'!$B$5:$F$479,5,FALSE),"")</f>
        <v>We have occasional and informal discussions.</v>
      </c>
      <c r="Z16" t="str">
        <f>IFERROR(VLOOKUP($A16&amp;"|2",'Criteria Library'!$B$5:$F$479,5,FALSE),"")</f>
        <v>Consultation is carried out at the General Assembly G.A..</v>
      </c>
      <c r="AA16" t="str">
        <f>IFERROR(VLOOKUP($A16&amp;"|3",'Criteria Library'!$B$5:$F$479,5,FALSE),"")</f>
        <v>We hold extraordinary or special G.A.s on key issues, as needed.</v>
      </c>
      <c r="AB16" t="str">
        <f>IFERROR(VLOOKUP($A16&amp;"|4",'Criteria Library'!$B$5:$F$479,5,FALSE),"")</f>
        <v>The NOC has a regular consultation process driven by its Commissions to discuss all issues that affect the Organisation.</v>
      </c>
    </row>
    <row r="17" spans="1:28" s="28" customFormat="1" ht="126" customHeight="1">
      <c r="A17" s="45" t="s">
        <v>157</v>
      </c>
      <c r="B17" s="46" t="s">
        <v>158</v>
      </c>
      <c r="C17" s="47" t="s">
        <v>159</v>
      </c>
      <c r="D17" s="26"/>
      <c r="E17" s="110" t="str">
        <f>IF(D17="","",SUMIFS('Criteria Library'!$E$5:$E$479,'Criteria Library'!$A$5:$A$479,A17,'Criteria Library'!$F$5:$F$479,D17))</f>
        <v/>
      </c>
      <c r="F17" s="46" t="str">
        <f>IF(D17="","",IF(E17&gt;='Start Here'!$E$5,"Target achieved — Level "&amp;E17&amp;" meets or exceeds target Level "&amp;'Start Here'!$E$5&amp;".","Current Level "&amp;E17&amp;" → Target Level "&amp;'Start Here'!$E$5&amp;" ("&amp;('Start Here'!$E$5-E17)&amp;" level(s) to close)."))</f>
        <v/>
      </c>
      <c r="G17" s="47" t="str">
        <f>IF(D17="","",IF(E17&gt;='Start Here'!$E$5,"Target achieved. Sustain current practice and review periodically.",IF(AND(E17&lt;1,'Start Here'!$E$5&gt;=1),"LEVEL 1 — "&amp;VLOOKUP(A17&amp;"|1",'Criteria Library'!$B$5:$G$479,6,FALSE)&amp;CHAR(10)&amp;CHAR(10),"")&amp;IF(AND(E17&lt;2,'Start Here'!$E$5&gt;=2),"LEVEL 2 — "&amp;VLOOKUP(A17&amp;"|2",'Criteria Library'!$B$5:$G$479,6,FALSE)&amp;CHAR(10)&amp;CHAR(10),"")&amp;IF(AND(E17&lt;3,'Start Here'!$E$5&gt;=3),"LEVEL 3 — "&amp;VLOOKUP(A17&amp;"|3",'Criteria Library'!$B$5:$G$479,6,FALSE)&amp;CHAR(10)&amp;CHAR(10),"")&amp;IF(AND(E17&lt;4,'Start Here'!$E$5&gt;=4),"LEVEL 4 — "&amp;VLOOKUP(A17&amp;"|4",'Criteria Library'!$B$5:$G$479,6,FALSE),"")))</f>
        <v/>
      </c>
      <c r="H17" s="26"/>
      <c r="I17" s="26"/>
      <c r="J17" s="50"/>
      <c r="X17" t="str">
        <f>IFERROR(VLOOKUP($A17&amp;"|0",'Criteria Library'!$B$5:$F$479,5,FALSE),"")</f>
        <v>We do not.</v>
      </c>
      <c r="Y17" t="str">
        <f>IFERROR(VLOOKUP($A17&amp;"|1",'Criteria Library'!$B$5:$F$479,5,FALSE),"")</f>
        <v>We provide an explanation of the role when joining Board.</v>
      </c>
      <c r="Z17" t="str">
        <f>IFERROR(VLOOKUP($A17&amp;"|2",'Criteria Library'!$B$5:$F$479,5,FALSE),"")</f>
        <v>We carry out an induction into role and the Organisation.</v>
      </c>
      <c r="AA17" t="str">
        <f>IFERROR(VLOOKUP($A17&amp;"|3",'Criteria Library'!$B$5:$F$479,5,FALSE),"")</f>
        <v>We hold regular and specific training for the Board as needed.</v>
      </c>
      <c r="AB17" t="str">
        <f>IFERROR(VLOOKUP($A17&amp;"|4",'Criteria Library'!$B$5:$F$479,5,FALSE),"")</f>
        <v>All Board members receive induction and training as well as an annual appraisal of their performance.</v>
      </c>
    </row>
    <row r="18" spans="1:28" s="28" customFormat="1" ht="126" customHeight="1">
      <c r="A18" s="45" t="s">
        <v>160</v>
      </c>
      <c r="B18" s="46" t="s">
        <v>161</v>
      </c>
      <c r="C18" s="47" t="s">
        <v>162</v>
      </c>
      <c r="D18" s="26"/>
      <c r="E18" s="110" t="str">
        <f>IF(D18="","",SUMIFS('Criteria Library'!$E$5:$E$479,'Criteria Library'!$A$5:$A$479,A18,'Criteria Library'!$F$5:$F$479,D18))</f>
        <v/>
      </c>
      <c r="F18" s="46" t="str">
        <f>IF(D18="","",IF(E18&gt;='Start Here'!$E$5,"Target achieved — Level "&amp;E18&amp;" meets or exceeds target Level "&amp;'Start Here'!$E$5&amp;".","Current Level "&amp;E18&amp;" → Target Level "&amp;'Start Here'!$E$5&amp;" ("&amp;('Start Here'!$E$5-E18)&amp;" level(s) to close)."))</f>
        <v/>
      </c>
      <c r="G18" s="47" t="str">
        <f>IF(D18="","",IF(E18&gt;='Start Here'!$E$5,"Target achieved. Sustain current practice and review periodically.",IF(AND(E18&lt;1,'Start Here'!$E$5&gt;=1),"LEVEL 1 — "&amp;VLOOKUP(A18&amp;"|1",'Criteria Library'!$B$5:$G$479,6,FALSE)&amp;CHAR(10)&amp;CHAR(10),"")&amp;IF(AND(E18&lt;2,'Start Here'!$E$5&gt;=2),"LEVEL 2 — "&amp;VLOOKUP(A18&amp;"|2",'Criteria Library'!$B$5:$G$479,6,FALSE)&amp;CHAR(10)&amp;CHAR(10),"")&amp;IF(AND(E18&lt;3,'Start Here'!$E$5&gt;=3),"LEVEL 3 — "&amp;VLOOKUP(A18&amp;"|3",'Criteria Library'!$B$5:$G$479,6,FALSE)&amp;CHAR(10)&amp;CHAR(10),"")&amp;IF(AND(E18&lt;4,'Start Here'!$E$5&gt;=4),"LEVEL 4 — "&amp;VLOOKUP(A18&amp;"|4",'Criteria Library'!$B$5:$G$479,6,FALSE),"")))</f>
        <v/>
      </c>
      <c r="H18" s="26"/>
      <c r="I18" s="26"/>
      <c r="J18" s="50"/>
      <c r="X18" t="str">
        <f>IFERROR(VLOOKUP($A18&amp;"|0",'Criteria Library'!$B$5:$F$479,5,FALSE),"")</f>
        <v>There is no NOC management.</v>
      </c>
      <c r="Y18" t="str">
        <f>IFERROR(VLOOKUP($A18&amp;"|1",'Criteria Library'!$B$5:$F$479,5,FALSE),"")</f>
        <v>The Board is the management of the NOC.</v>
      </c>
      <c r="Z18" t="str">
        <f>IFERROR(VLOOKUP($A18&amp;"|2",'Criteria Library'!$B$5:$F$479,5,FALSE),"")</f>
        <v>We have an elected committee that takes charge of all of our operations.</v>
      </c>
      <c r="AA18" t="str">
        <f>IFERROR(VLOOKUP($A18&amp;"|3",'Criteria Library'!$B$5:$F$479,5,FALSE),"")</f>
        <v>There is a clear delineation of roles between the Board and management headed by a General Secretary, who is the link between the two.</v>
      </c>
      <c r="AB18" t="str">
        <f>IFERROR(VLOOKUP($A18&amp;"|4",'Criteria Library'!$B$5:$F$479,5,FALSE),"")</f>
        <v>The Board and management (led by a CEO/COO or GS with no voting rights on the Board) are separate but have a mutually supportive relationship.</v>
      </c>
    </row>
    <row r="19" spans="1:28" s="28" customFormat="1" ht="126" customHeight="1">
      <c r="A19" s="45" t="s">
        <v>163</v>
      </c>
      <c r="B19" s="46" t="s">
        <v>164</v>
      </c>
      <c r="C19" s="47" t="s">
        <v>165</v>
      </c>
      <c r="D19" s="26"/>
      <c r="E19" s="110" t="str">
        <f>IF(D19="","",SUMIFS('Criteria Library'!$E$5:$E$479,'Criteria Library'!$A$5:$A$479,A19,'Criteria Library'!$F$5:$F$479,D19))</f>
        <v/>
      </c>
      <c r="F19" s="46" t="str">
        <f>IF(D19="","",IF(E19&gt;='Start Here'!$E$5,"Target achieved — Level "&amp;E19&amp;" meets or exceeds target Level "&amp;'Start Here'!$E$5&amp;".","Current Level "&amp;E19&amp;" → Target Level "&amp;'Start Here'!$E$5&amp;" ("&amp;('Start Here'!$E$5-E19)&amp;" level(s) to close)."))</f>
        <v/>
      </c>
      <c r="G19" s="47" t="str">
        <f>IF(D19="","",IF(E19&gt;='Start Here'!$E$5,"Target achieved. Sustain current practice and review periodically.",IF(AND(E19&lt;1,'Start Here'!$E$5&gt;=1),"LEVEL 1 — "&amp;VLOOKUP(A19&amp;"|1",'Criteria Library'!$B$5:$G$479,6,FALSE)&amp;CHAR(10)&amp;CHAR(10),"")&amp;IF(AND(E19&lt;2,'Start Here'!$E$5&gt;=2),"LEVEL 2 — "&amp;VLOOKUP(A19&amp;"|2",'Criteria Library'!$B$5:$G$479,6,FALSE)&amp;CHAR(10)&amp;CHAR(10),"")&amp;IF(AND(E19&lt;3,'Start Here'!$E$5&gt;=3),"LEVEL 3 — "&amp;VLOOKUP(A19&amp;"|3",'Criteria Library'!$B$5:$G$479,6,FALSE)&amp;CHAR(10)&amp;CHAR(10),"")&amp;IF(AND(E19&lt;4,'Start Here'!$E$5&gt;=4),"LEVEL 4 — "&amp;VLOOKUP(A19&amp;"|4",'Criteria Library'!$B$5:$G$479,6,FALSE),"")))</f>
        <v/>
      </c>
      <c r="H19" s="26"/>
      <c r="I19" s="26"/>
      <c r="J19" s="50"/>
      <c r="X19" t="str">
        <f>IFERROR(VLOOKUP($A19&amp;"|0",'Criteria Library'!$B$5:$F$479,5,FALSE),"")</f>
        <v>We do not.</v>
      </c>
      <c r="Y19" t="str">
        <f>IFERROR(VLOOKUP($A19&amp;"|1",'Criteria Library'!$B$5:$F$479,5,FALSE),"")</f>
        <v>We react when problems arise.</v>
      </c>
      <c r="Z19" t="str">
        <f>IFERROR(VLOOKUP($A19&amp;"|2",'Criteria Library'!$B$5:$F$479,5,FALSE),"")</f>
        <v>We are aware of the need to conduct regular governance reviews.</v>
      </c>
      <c r="AA19" t="str">
        <f>IFERROR(VLOOKUP($A19&amp;"|3",'Criteria Library'!$B$5:$F$479,5,FALSE),"")</f>
        <v>We carry out a quadrennial review of the governance of the NOC.</v>
      </c>
      <c r="AB19" t="str">
        <f>IFERROR(VLOOKUP($A19&amp;"|4",'Criteria Library'!$B$5:$F$479,5,FALSE),"")</f>
        <v>Our governance review is on-going in line with the planning process through an Internal Audit or Governance Committee.</v>
      </c>
    </row>
    <row r="20" spans="1:28" s="28" customFormat="1" ht="126" customHeight="1">
      <c r="A20" s="45" t="s">
        <v>166</v>
      </c>
      <c r="B20" s="46" t="s">
        <v>167</v>
      </c>
      <c r="C20" s="47" t="s">
        <v>168</v>
      </c>
      <c r="D20" s="26"/>
      <c r="E20" s="110" t="str">
        <f>IF(D20="","",SUMIFS('Criteria Library'!$E$5:$E$479,'Criteria Library'!$A$5:$A$479,A20,'Criteria Library'!$F$5:$F$479,D20))</f>
        <v/>
      </c>
      <c r="F20" s="46" t="str">
        <f>IF(D20="","",IF(E20&gt;='Start Here'!$E$5,"Target achieved — Level "&amp;E20&amp;" meets or exceeds target Level "&amp;'Start Here'!$E$5&amp;".","Current Level "&amp;E20&amp;" → Target Level "&amp;'Start Here'!$E$5&amp;" ("&amp;('Start Here'!$E$5-E20)&amp;" level(s) to close)."))</f>
        <v/>
      </c>
      <c r="G20" s="47" t="str">
        <f>IF(D20="","",IF(E20&gt;='Start Here'!$E$5,"Target achieved. Sustain current practice and review periodically.",IF(AND(E20&lt;1,'Start Here'!$E$5&gt;=1),"LEVEL 1 — "&amp;VLOOKUP(A20&amp;"|1",'Criteria Library'!$B$5:$G$479,6,FALSE)&amp;CHAR(10)&amp;CHAR(10),"")&amp;IF(AND(E20&lt;2,'Start Here'!$E$5&gt;=2),"LEVEL 2 — "&amp;VLOOKUP(A20&amp;"|2",'Criteria Library'!$B$5:$G$479,6,FALSE)&amp;CHAR(10)&amp;CHAR(10),"")&amp;IF(AND(E20&lt;3,'Start Here'!$E$5&gt;=3),"LEVEL 3 — "&amp;VLOOKUP(A20&amp;"|3",'Criteria Library'!$B$5:$G$479,6,FALSE)&amp;CHAR(10)&amp;CHAR(10),"")&amp;IF(AND(E20&lt;4,'Start Here'!$E$5&gt;=4),"LEVEL 4 — "&amp;VLOOKUP(A20&amp;"|4",'Criteria Library'!$B$5:$G$479,6,FALSE),"")))</f>
        <v/>
      </c>
      <c r="H20" s="26"/>
      <c r="I20" s="26"/>
      <c r="J20" s="50"/>
      <c r="X20" t="str">
        <f>IFERROR(VLOOKUP($A20&amp;"|0",'Criteria Library'!$B$5:$F$479,5,FALSE),"")</f>
        <v>We don't consider this</v>
      </c>
      <c r="Y20" t="str">
        <f>IFERROR(VLOOKUP($A20&amp;"|1",'Criteria Library'!$B$5:$F$479,5,FALSE),"")</f>
        <v>The NOC has unwritten agreed standards.</v>
      </c>
      <c r="Z20" t="str">
        <f>IFERROR(VLOOKUP($A20&amp;"|2",'Criteria Library'!$B$5:$F$479,5,FALSE),"")</f>
        <v>We have a generic code of conduct for all roles that we have adopted from an external source such as government.</v>
      </c>
      <c r="AA20" t="str">
        <f>IFERROR(VLOOKUP($A20&amp;"|3",'Criteria Library'!$B$5:$F$479,5,FALSE),"")</f>
        <v>Codes of conduct for specific roles within the Organisation have been developed and approved by the members.</v>
      </c>
      <c r="AB20" t="str">
        <f>IFERROR(VLOOKUP($A20&amp;"|4",'Criteria Library'!$B$5:$F$479,5,FALSE),"")</f>
        <v>We have written codes of conduct specific to roles that Board members, staff and volunteers sign upon joining the Organisation to indicate commitment.</v>
      </c>
    </row>
    <row r="21" spans="1:28" s="28" customFormat="1" ht="126" customHeight="1">
      <c r="A21" s="45" t="s">
        <v>169</v>
      </c>
      <c r="B21" s="46" t="s">
        <v>170</v>
      </c>
      <c r="C21" s="47" t="s">
        <v>171</v>
      </c>
      <c r="D21" s="26"/>
      <c r="E21" s="110" t="str">
        <f>IF(D21="","",SUMIFS('Criteria Library'!$E$5:$E$479,'Criteria Library'!$A$5:$A$479,A21,'Criteria Library'!$F$5:$F$479,D21))</f>
        <v/>
      </c>
      <c r="F21" s="46" t="str">
        <f>IF(D21="","",IF(E21&gt;='Start Here'!$E$5,"Target achieved — Level "&amp;E21&amp;" meets or exceeds target Level "&amp;'Start Here'!$E$5&amp;".","Current Level "&amp;E21&amp;" → Target Level "&amp;'Start Here'!$E$5&amp;" ("&amp;('Start Here'!$E$5-E21)&amp;" level(s) to close)."))</f>
        <v/>
      </c>
      <c r="G21" s="47" t="str">
        <f>IF(D21="","",IF(E21&gt;='Start Here'!$E$5,"Target achieved. Sustain current practice and review periodically.",IF(AND(E21&lt;1,'Start Here'!$E$5&gt;=1),"LEVEL 1 — "&amp;VLOOKUP(A21&amp;"|1",'Criteria Library'!$B$5:$G$479,6,FALSE)&amp;CHAR(10)&amp;CHAR(10),"")&amp;IF(AND(E21&lt;2,'Start Here'!$E$5&gt;=2),"LEVEL 2 — "&amp;VLOOKUP(A21&amp;"|2",'Criteria Library'!$B$5:$G$479,6,FALSE)&amp;CHAR(10)&amp;CHAR(10),"")&amp;IF(AND(E21&lt;3,'Start Here'!$E$5&gt;=3),"LEVEL 3 — "&amp;VLOOKUP(A21&amp;"|3",'Criteria Library'!$B$5:$G$479,6,FALSE)&amp;CHAR(10)&amp;CHAR(10),"")&amp;IF(AND(E21&lt;4,'Start Here'!$E$5&gt;=4),"LEVEL 4 — "&amp;VLOOKUP(A21&amp;"|4",'Criteria Library'!$B$5:$G$479,6,FALSE),"")))</f>
        <v/>
      </c>
      <c r="H21" s="26"/>
      <c r="I21" s="26"/>
      <c r="J21" s="50"/>
      <c r="X21" t="str">
        <f>IFERROR(VLOOKUP($A21&amp;"|0",'Criteria Library'!$B$5:$F$479,5,FALSE),"")</f>
        <v>We don't consider this</v>
      </c>
      <c r="Y21" t="str">
        <f>IFERROR(VLOOKUP($A21&amp;"|1",'Criteria Library'!$B$5:$F$479,5,FALSE),"")</f>
        <v>We have no formal procedures, but we expect our members to put the NOC's interests first.</v>
      </c>
      <c r="Z21" t="str">
        <f>IFERROR(VLOOKUP($A21&amp;"|2",'Criteria Library'!$B$5:$F$479,5,FALSE),"")</f>
        <v>Board members and staff make informal declarations as issues arise.</v>
      </c>
      <c r="AA21" t="str">
        <f>IFERROR(VLOOKUP($A21&amp;"|3",'Criteria Library'!$B$5:$F$479,5,FALSE),"")</f>
        <v>Formal declarations made by the Board and by staff on a regular basis.</v>
      </c>
      <c r="AB21" t="str">
        <f>IFERROR(VLOOKUP($A21&amp;"|4",'Criteria Library'!$B$5:$F$479,5,FALSE),"")</f>
        <v>We have a written Conflict of Interest Policy that is embedded in all contracts, procedures and actions undertaken by the NOC and those acting upon its behalf.</v>
      </c>
    </row>
    <row r="22" spans="1:28" s="28" customFormat="1" ht="126" customHeight="1">
      <c r="A22" s="45" t="s">
        <v>172</v>
      </c>
      <c r="B22" s="46" t="s">
        <v>173</v>
      </c>
      <c r="C22" s="47" t="s">
        <v>174</v>
      </c>
      <c r="D22" s="26"/>
      <c r="E22" s="110" t="str">
        <f>IF(D22="","",SUMIFS('Criteria Library'!$E$5:$E$479,'Criteria Library'!$A$5:$A$479,A22,'Criteria Library'!$F$5:$F$479,D22))</f>
        <v/>
      </c>
      <c r="F22" s="46" t="str">
        <f>IF(D22="","",IF(E22&gt;='Start Here'!$E$5,"Target achieved — Level "&amp;E22&amp;" meets or exceeds target Level "&amp;'Start Here'!$E$5&amp;".","Current Level "&amp;E22&amp;" → Target Level "&amp;'Start Here'!$E$5&amp;" ("&amp;('Start Here'!$E$5-E22)&amp;" level(s) to close)."))</f>
        <v/>
      </c>
      <c r="G22" s="47" t="str">
        <f>IF(D22="","",IF(E22&gt;='Start Here'!$E$5,"Target achieved. Sustain current practice and review periodically.",IF(AND(E22&lt;1,'Start Here'!$E$5&gt;=1),"LEVEL 1 — "&amp;VLOOKUP(A22&amp;"|1",'Criteria Library'!$B$5:$G$479,6,FALSE)&amp;CHAR(10)&amp;CHAR(10),"")&amp;IF(AND(E22&lt;2,'Start Here'!$E$5&gt;=2),"LEVEL 2 — "&amp;VLOOKUP(A22&amp;"|2",'Criteria Library'!$B$5:$G$479,6,FALSE)&amp;CHAR(10)&amp;CHAR(10),"")&amp;IF(AND(E22&lt;3,'Start Here'!$E$5&gt;=3),"LEVEL 3 — "&amp;VLOOKUP(A22&amp;"|3",'Criteria Library'!$B$5:$G$479,6,FALSE)&amp;CHAR(10)&amp;CHAR(10),"")&amp;IF(AND(E22&lt;4,'Start Here'!$E$5&gt;=4),"LEVEL 4 — "&amp;VLOOKUP(A22&amp;"|4",'Criteria Library'!$B$5:$G$479,6,FALSE),"")))</f>
        <v/>
      </c>
      <c r="H22" s="26"/>
      <c r="I22" s="26"/>
      <c r="J22" s="50"/>
      <c r="X22" t="str">
        <f>IFERROR(VLOOKUP($A22&amp;"|0",'Criteria Library'!$B$5:$F$479,5,FALSE),"")</f>
        <v>There are no specific procedures.</v>
      </c>
      <c r="Y22" t="str">
        <f>IFERROR(VLOOKUP($A22&amp;"|1",'Criteria Library'!$B$5:$F$479,5,FALSE),"")</f>
        <v>The NOC holds generic insurance to cover possessions and travel.</v>
      </c>
      <c r="Z22" t="str">
        <f>IFERROR(VLOOKUP($A22&amp;"|2",'Criteria Library'!$B$5:$F$479,5,FALSE),"")</f>
        <v>We identify the risks that might face the NOC and its activities.</v>
      </c>
      <c r="AA22" t="str">
        <f>IFERROR(VLOOKUP($A22&amp;"|3",'Criteria Library'!$B$5:$F$479,5,FALSE),"")</f>
        <v>We identify the risks facing the NOC and for specific risks, we develop procedures for dealing with them.</v>
      </c>
      <c r="AB22" t="str">
        <f>IFERROR(VLOOKUP($A22&amp;"|4",'Criteria Library'!$B$5:$F$479,5,FALSE),"")</f>
        <v>We have a formal risk management plan covering all aspects of the Organisation and its activities that sets out procedures for identifying, preventing and mitigating risk.</v>
      </c>
    </row>
    <row r="23" spans="1:28" s="28" customFormat="1" ht="126" customHeight="1">
      <c r="A23" s="45" t="s">
        <v>175</v>
      </c>
      <c r="B23" s="46" t="s">
        <v>176</v>
      </c>
      <c r="C23" s="47" t="s">
        <v>177</v>
      </c>
      <c r="D23" s="26"/>
      <c r="E23" s="110" t="str">
        <f>IF(D23="","",SUMIFS('Criteria Library'!$E$5:$E$479,'Criteria Library'!$A$5:$A$479,A23,'Criteria Library'!$F$5:$F$479,D23))</f>
        <v/>
      </c>
      <c r="F23" s="46" t="str">
        <f>IF(D23="","",IF(E23&gt;='Start Here'!$E$5,"Target achieved — Level "&amp;E23&amp;" meets or exceeds target Level "&amp;'Start Here'!$E$5&amp;".","Current Level "&amp;E23&amp;" → Target Level "&amp;'Start Here'!$E$5&amp;" ("&amp;('Start Here'!$E$5-E23)&amp;" level(s) to close)."))</f>
        <v/>
      </c>
      <c r="G23" s="47" t="str">
        <f>IF(D23="","",IF(E23&gt;='Start Here'!$E$5,"Target achieved. Sustain current practice and review periodically.",IF(AND(E23&lt;1,'Start Here'!$E$5&gt;=1),"LEVEL 1 — "&amp;VLOOKUP(A23&amp;"|1",'Criteria Library'!$B$5:$G$479,6,FALSE)&amp;CHAR(10)&amp;CHAR(10),"")&amp;IF(AND(E23&lt;2,'Start Here'!$E$5&gt;=2),"LEVEL 2 — "&amp;VLOOKUP(A23&amp;"|2",'Criteria Library'!$B$5:$G$479,6,FALSE)&amp;CHAR(10)&amp;CHAR(10),"")&amp;IF(AND(E23&lt;3,'Start Here'!$E$5&gt;=3),"LEVEL 3 — "&amp;VLOOKUP(A23&amp;"|3",'Criteria Library'!$B$5:$G$479,6,FALSE)&amp;CHAR(10)&amp;CHAR(10),"")&amp;IF(AND(E23&lt;4,'Start Here'!$E$5&gt;=4),"LEVEL 4 — "&amp;VLOOKUP(A23&amp;"|4",'Criteria Library'!$B$5:$G$479,6,FALSE),"")))</f>
        <v/>
      </c>
      <c r="H23" s="26"/>
      <c r="I23" s="26"/>
      <c r="J23" s="50"/>
      <c r="X23" t="str">
        <f>IFERROR(VLOOKUP($A23&amp;"|0",'Criteria Library'!$B$5:$F$479,5,FALSE),"")</f>
        <v>There are no specific procedures.</v>
      </c>
      <c r="Y23" t="str">
        <f>IFERROR(VLOOKUP($A23&amp;"|1",'Criteria Library'!$B$5:$F$479,5,FALSE),"")</f>
        <v>We encourage all our members to stand for positions.</v>
      </c>
      <c r="Z23" t="str">
        <f>IFERROR(VLOOKUP($A23&amp;"|2",'Criteria Library'!$B$5:$F$479,5,FALSE),"")</f>
        <v>We actively seek women with the right skills to stand for positions.</v>
      </c>
      <c r="AA23" t="str">
        <f>IFERROR(VLOOKUP($A23&amp;"|3",'Criteria Library'!$B$5:$F$479,5,FALSE),"")</f>
        <v>We create portfolios that ensure all our members are properly represented and recruit a number of female Board members, if and when necessary, who have the necessary skills and experience.</v>
      </c>
      <c r="AB23" t="str">
        <f>IFERROR(VLOOKUP($A23&amp;"|4",'Criteria Library'!$B$5:$F$479,5,FALSE),"")</f>
        <v>Women are elected on merit like any Board member and this is generally reflected by a significant presence of women on our Board.</v>
      </c>
    </row>
    <row r="24" spans="1:28" s="28" customFormat="1" ht="126" customHeight="1">
      <c r="A24" s="45" t="s">
        <v>178</v>
      </c>
      <c r="B24" s="46" t="s">
        <v>179</v>
      </c>
      <c r="C24" s="47" t="s">
        <v>180</v>
      </c>
      <c r="D24" s="26"/>
      <c r="E24" s="110" t="str">
        <f>IF(D24="","",SUMIFS('Criteria Library'!$E$5:$E$479,'Criteria Library'!$A$5:$A$479,A24,'Criteria Library'!$F$5:$F$479,D24))</f>
        <v/>
      </c>
      <c r="F24" s="46" t="str">
        <f>IF(D24="","",IF(E24&gt;='Start Here'!$E$5,"Target achieved — Level "&amp;E24&amp;" meets or exceeds target Level "&amp;'Start Here'!$E$5&amp;".","Current Level "&amp;E24&amp;" → Target Level "&amp;'Start Here'!$E$5&amp;" ("&amp;('Start Here'!$E$5-E24)&amp;" level(s) to close)."))</f>
        <v/>
      </c>
      <c r="G24" s="47" t="str">
        <f>IF(D24="","",IF(E24&gt;='Start Here'!$E$5,"Target achieved. Sustain current practice and review periodically.",IF(AND(E24&lt;1,'Start Here'!$E$5&gt;=1),"LEVEL 1 — "&amp;VLOOKUP(A24&amp;"|1",'Criteria Library'!$B$5:$G$479,6,FALSE)&amp;CHAR(10)&amp;CHAR(10),"")&amp;IF(AND(E24&lt;2,'Start Here'!$E$5&gt;=2),"LEVEL 2 — "&amp;VLOOKUP(A24&amp;"|2",'Criteria Library'!$B$5:$G$479,6,FALSE)&amp;CHAR(10)&amp;CHAR(10),"")&amp;IF(AND(E24&lt;3,'Start Here'!$E$5&gt;=3),"LEVEL 3 — "&amp;VLOOKUP(A24&amp;"|3",'Criteria Library'!$B$5:$G$479,6,FALSE)&amp;CHAR(10)&amp;CHAR(10),"")&amp;IF(AND(E24&lt;4,'Start Here'!$E$5&gt;=4),"LEVEL 4 — "&amp;VLOOKUP(A24&amp;"|4",'Criteria Library'!$B$5:$G$479,6,FALSE),"")))</f>
        <v/>
      </c>
      <c r="H24" s="26"/>
      <c r="I24" s="26"/>
      <c r="J24" s="50"/>
      <c r="X24" t="str">
        <f>IFERROR(VLOOKUP($A24&amp;"|0",'Criteria Library'!$B$5:$F$479,5,FALSE),"")</f>
        <v>There are no specific procedures.</v>
      </c>
      <c r="Y24" t="str">
        <f>IFERROR(VLOOKUP($A24&amp;"|1",'Criteria Library'!$B$5:$F$479,5,FALSE),"")</f>
        <v>Interested volunteers take up roles as needed</v>
      </c>
      <c r="Z24" t="str">
        <f>IFERROR(VLOOKUP($A24&amp;"|2",'Criteria Library'!$B$5:$F$479,5,FALSE),"")</f>
        <v>We generally have only one candidate standing for each position on the Board who are elected by acclamation.</v>
      </c>
      <c r="AA24" t="str">
        <f>IFERROR(VLOOKUP($A24&amp;"|3",'Criteria Library'!$B$5:$F$479,5,FALSE),"")</f>
        <v>Formal election procedures are in place that encourage more candidates to run for positions.</v>
      </c>
      <c r="AB24" t="str">
        <f>IFERROR(VLOOKUP($A24&amp;"|4",'Criteria Library'!$B$5:$F$479,5,FALSE),"")</f>
        <v>In addition to elections from the membership we also co-opt to the Board non-voting specialists as required but for strictly limited terms.</v>
      </c>
    </row>
    <row r="25" spans="1:28" s="28" customFormat="1">
      <c r="E25" s="48"/>
    </row>
    <row r="26" spans="1:28" s="28" customFormat="1">
      <c r="E26" s="48"/>
    </row>
  </sheetData>
  <mergeCells count="10">
    <mergeCell ref="A1:J1"/>
    <mergeCell ref="A2:J2"/>
    <mergeCell ref="A4:B4"/>
    <mergeCell ref="A5:B6"/>
    <mergeCell ref="C4:D4"/>
    <mergeCell ref="C5:D6"/>
    <mergeCell ref="E4:F4"/>
    <mergeCell ref="E5:F6"/>
    <mergeCell ref="G4:J4"/>
    <mergeCell ref="G5:J6"/>
  </mergeCells>
  <conditionalFormatting sqref="E9:E24">
    <cfRule type="expression" dxfId="71" priority="1">
      <formula>AND($D9&lt;&gt;"",$E9=0)</formula>
    </cfRule>
    <cfRule type="expression" dxfId="70" priority="2">
      <formula>AND($D9&lt;&gt;"",$E9=1)</formula>
    </cfRule>
    <cfRule type="expression" dxfId="69" priority="3">
      <formula>AND($D9&lt;&gt;"",$E9=2)</formula>
    </cfRule>
    <cfRule type="expression" dxfId="68" priority="4">
      <formula>AND($D9&lt;&gt;"",$E9=3)</formula>
    </cfRule>
    <cfRule type="expression" dxfId="67" priority="5">
      <formula>AND($D9&lt;&gt;"",$E9=4)</formula>
    </cfRule>
  </conditionalFormatting>
  <dataValidations count="17">
    <dataValidation type="list" sqref="J9:J24" xr:uid="{00000000-0002-0000-0300-000000000000}">
      <formula1>"High,Medium,Low,Unverified"</formula1>
    </dataValidation>
    <dataValidation type="list" sqref="D9" xr:uid="{00000000-0002-0000-0300-000001000000}">
      <formula1>$X$9:$AB$9</formula1>
    </dataValidation>
    <dataValidation type="list" sqref="D10" xr:uid="{00000000-0002-0000-0300-000002000000}">
      <formula1>$X$10:$AB$10</formula1>
    </dataValidation>
    <dataValidation type="list" sqref="D11" xr:uid="{00000000-0002-0000-0300-000003000000}">
      <formula1>$X$11:$AB$11</formula1>
    </dataValidation>
    <dataValidation type="list" sqref="D12" xr:uid="{00000000-0002-0000-0300-000004000000}">
      <formula1>$X$12:$AB$12</formula1>
    </dataValidation>
    <dataValidation type="list" sqref="D13" xr:uid="{00000000-0002-0000-0300-000005000000}">
      <formula1>$X$13:$AB$13</formula1>
    </dataValidation>
    <dataValidation type="list" sqref="D14" xr:uid="{00000000-0002-0000-0300-000006000000}">
      <formula1>$X$14:$AB$14</formula1>
    </dataValidation>
    <dataValidation type="list" sqref="D15" xr:uid="{00000000-0002-0000-0300-000007000000}">
      <formula1>$X$15:$AB$15</formula1>
    </dataValidation>
    <dataValidation type="list" sqref="D16" xr:uid="{00000000-0002-0000-0300-000008000000}">
      <formula1>$X$16:$AB$16</formula1>
    </dataValidation>
    <dataValidation type="list" sqref="D17" xr:uid="{00000000-0002-0000-0300-000009000000}">
      <formula1>$X$17:$AB$17</formula1>
    </dataValidation>
    <dataValidation type="list" sqref="D18" xr:uid="{00000000-0002-0000-0300-00000A000000}">
      <formula1>$X$18:$AB$18</formula1>
    </dataValidation>
    <dataValidation type="list" sqref="D19" xr:uid="{00000000-0002-0000-0300-00000B000000}">
      <formula1>$X$19:$AB$19</formula1>
    </dataValidation>
    <dataValidation type="list" sqref="D20" xr:uid="{00000000-0002-0000-0300-00000C000000}">
      <formula1>$X$20:$AB$20</formula1>
    </dataValidation>
    <dataValidation type="list" sqref="D21" xr:uid="{00000000-0002-0000-0300-00000D000000}">
      <formula1>$X$21:$AB$21</formula1>
    </dataValidation>
    <dataValidation type="list" sqref="D22" xr:uid="{00000000-0002-0000-0300-00000E000000}">
      <formula1>$X$22:$AB$22</formula1>
    </dataValidation>
    <dataValidation type="list" sqref="D23" xr:uid="{00000000-0002-0000-0300-00000F000000}">
      <formula1>$X$23:$AB$23</formula1>
    </dataValidation>
    <dataValidation type="list" sqref="D24" xr:uid="{00000000-0002-0000-0300-000010000000}">
      <formula1>$X$24:$AB$24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3"/>
  <sheetViews>
    <sheetView workbookViewId="0">
      <selection sqref="A1:J1"/>
    </sheetView>
  </sheetViews>
  <sheetFormatPr defaultRowHeight="14.25"/>
  <cols>
    <col min="1" max="1" width="9.25" customWidth="1"/>
    <col min="2" max="2" width="22.125" customWidth="1"/>
    <col min="3" max="3" width="25.25" customWidth="1"/>
    <col min="4" max="4" width="42" customWidth="1"/>
    <col min="5" max="5" width="9" style="23" customWidth="1"/>
    <col min="6" max="6" width="18" customWidth="1"/>
    <col min="7" max="7" width="49.25" customWidth="1"/>
    <col min="8" max="8" width="29.5" customWidth="1"/>
    <col min="9" max="9" width="25.125" customWidth="1"/>
    <col min="10" max="10" width="12.625" customWidth="1"/>
    <col min="24" max="28" width="2" customWidth="1"/>
  </cols>
  <sheetData>
    <row r="1" spans="1:28" s="28" customFormat="1" ht="21.75">
      <c r="A1" s="211" t="s">
        <v>181</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c r="E3" s="48"/>
    </row>
    <row r="4" spans="1:28" s="51" customFormat="1" ht="15.75">
      <c r="A4" s="215" t="s">
        <v>122</v>
      </c>
      <c r="B4" s="217"/>
      <c r="C4" s="215" t="s">
        <v>98</v>
      </c>
      <c r="D4" s="217"/>
      <c r="E4" s="215" t="s">
        <v>99</v>
      </c>
      <c r="F4" s="217"/>
      <c r="G4" s="215" t="s">
        <v>96</v>
      </c>
      <c r="H4" s="216"/>
      <c r="I4" s="216"/>
      <c r="J4" s="217"/>
    </row>
    <row r="5" spans="1:28" s="28" customFormat="1">
      <c r="A5" s="218" t="str">
        <f>IF(COUNT(E9:E22)=0,"",AVERAGE(E9:E22))</f>
        <v/>
      </c>
      <c r="B5" s="220"/>
      <c r="C5" s="236">
        <f>COUNT(E9:E22)/14</f>
        <v>0</v>
      </c>
      <c r="D5" s="238"/>
      <c r="E5" s="227">
        <f>COUNTIFS(D9:D22,"&lt;&gt;",E9:E22,"&lt;"&amp;'Start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c r="E7" s="48"/>
    </row>
    <row r="8" spans="1:28" s="28" customFormat="1" ht="15">
      <c r="A8" s="55" t="s">
        <v>123</v>
      </c>
      <c r="B8" s="56" t="s">
        <v>124</v>
      </c>
      <c r="C8" s="56" t="s">
        <v>125</v>
      </c>
      <c r="D8" s="56" t="s">
        <v>126</v>
      </c>
      <c r="E8" s="56" t="s">
        <v>127</v>
      </c>
      <c r="F8" s="56" t="s">
        <v>128</v>
      </c>
      <c r="G8" s="56" t="s">
        <v>129</v>
      </c>
      <c r="H8" s="56" t="s">
        <v>130</v>
      </c>
      <c r="I8" s="56" t="s">
        <v>131</v>
      </c>
      <c r="J8" s="57" t="s">
        <v>132</v>
      </c>
    </row>
    <row r="9" spans="1:28" s="28" customFormat="1" ht="127.5" customHeight="1">
      <c r="A9" s="45" t="s">
        <v>182</v>
      </c>
      <c r="B9" s="46" t="s">
        <v>183</v>
      </c>
      <c r="C9" s="47" t="s">
        <v>184</v>
      </c>
      <c r="D9" s="26"/>
      <c r="E9" s="111"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There is no specific Structure.</v>
      </c>
      <c r="Y9" t="str">
        <f>IFERROR(VLOOKUP($A9&amp;"|1",'Criteria Library'!$B$5:$F$479,5,FALSE),"")</f>
        <v>One Board member manages the NOC.</v>
      </c>
      <c r="Z9" t="str">
        <f>IFERROR(VLOOKUP($A9&amp;"|2",'Criteria Library'!$B$5:$F$479,5,FALSE),"")</f>
        <v>An elected Board manages and governs the NOC with a few key active people.</v>
      </c>
      <c r="AA9" t="str">
        <f>IFERROR(VLOOKUP($A9&amp;"|3",'Criteria Library'!$B$5:$F$479,5,FALSE),"")</f>
        <v>The Board, manages the Organisation and takes 'whole Board' responsibility for key functions such as the annual reports, including financial statements.</v>
      </c>
      <c r="AB9" t="str">
        <f>IFERROR(VLOOKUP($A9&amp;"|4",'Criteria Library'!$B$5:$F$479,5,FALSE),"")</f>
        <v>The Board delegates some management responsibility to staff or other volunteers under the supervision of the General Secretary.</v>
      </c>
    </row>
    <row r="10" spans="1:28" s="28" customFormat="1" ht="127.5" customHeight="1">
      <c r="A10" s="45" t="s">
        <v>185</v>
      </c>
      <c r="B10" s="46" t="s">
        <v>186</v>
      </c>
      <c r="C10" s="47" t="s">
        <v>187</v>
      </c>
      <c r="D10" s="26"/>
      <c r="E10" s="111"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There are no operations to plan</v>
      </c>
      <c r="Y10" t="str">
        <f>IFERROR(VLOOKUP($A10&amp;"|1",'Criteria Library'!$B$5:$F$479,5,FALSE),"")</f>
        <v>We react to opportunities without documented procedures.</v>
      </c>
      <c r="Z10" t="str">
        <f>IFERROR(VLOOKUP($A10&amp;"|2",'Criteria Library'!$B$5:$F$479,5,FALSE),"")</f>
        <v>We have a simple operational plan, but it is not necessarily used.</v>
      </c>
      <c r="AA10" t="str">
        <f>IFERROR(VLOOKUP($A10&amp;"|3",'Criteria Library'!$B$5:$F$479,5,FALSE),"")</f>
        <v>The NOC has an annual operational plan, which is based on a long term strategic plan.</v>
      </c>
      <c r="AB10" t="str">
        <f>IFERROR(VLOOKUP($A10&amp;"|4",'Criteria Library'!$B$5:$F$479,5,FALSE),"")</f>
        <v>We have a comprehensive operational plan for all activities and procedures, which has been approved by the membership.</v>
      </c>
    </row>
    <row r="11" spans="1:28" s="28" customFormat="1" ht="127.5" customHeight="1">
      <c r="A11" s="45" t="s">
        <v>188</v>
      </c>
      <c r="B11" s="46" t="s">
        <v>189</v>
      </c>
      <c r="C11" s="47" t="s">
        <v>190</v>
      </c>
      <c r="D11" s="26"/>
      <c r="E11" s="111"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There is no manual</v>
      </c>
      <c r="Y11" t="str">
        <f>IFERROR(VLOOKUP($A11&amp;"|1",'Criteria Library'!$B$5:$F$479,5,FALSE),"")</f>
        <v>We have a few documented working procedures, but these are not documented.</v>
      </c>
      <c r="Z11" t="str">
        <f>IFERROR(VLOOKUP($A11&amp;"|2",'Criteria Library'!$B$5:$F$479,5,FALSE),"")</f>
        <v>We have documented some essential procedures, such as those relating to finances.</v>
      </c>
      <c r="AA11" t="str">
        <f>IFERROR(VLOOKUP($A11&amp;"|3",'Criteria Library'!$B$5:$F$479,5,FALSE),"")</f>
        <v>The NOC has an operations manual covering all administrative aspects of the organisation.</v>
      </c>
      <c r="AB11" t="str">
        <f>IFERROR(VLOOKUP($A11&amp;"|4",'Criteria Library'!$B$5:$F$479,5,FALSE),"")</f>
        <v>Each functional area of the NOC has an operations manual reviewed regularly.</v>
      </c>
    </row>
    <row r="12" spans="1:28" s="28" customFormat="1" ht="127.5" customHeight="1">
      <c r="A12" s="45" t="s">
        <v>191</v>
      </c>
      <c r="B12" s="46" t="s">
        <v>192</v>
      </c>
      <c r="C12" s="47" t="s">
        <v>193</v>
      </c>
      <c r="D12" s="26"/>
      <c r="E12" s="111"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No meetings are held</v>
      </c>
      <c r="Y12" t="str">
        <f>IFERROR(VLOOKUP($A12&amp;"|1",'Criteria Library'!$B$5:$F$479,5,FALSE),"")</f>
        <v>Programs are managed by willing volunteers.</v>
      </c>
      <c r="Z12" t="str">
        <f>IFERROR(VLOOKUP($A12&amp;"|2",'Criteria Library'!$B$5:$F$479,5,FALSE),"")</f>
        <v>We identify volunteers who have some training and understanding of the program that needs to be managed and support them with resources as needed.</v>
      </c>
      <c r="AA12" t="str">
        <f>IFERROR(VLOOKUP($A12&amp;"|3",'Criteria Library'!$B$5:$F$479,5,FALSE),"")</f>
        <v>Our programs are managed by competent and qualified staff who may receive some financial compensation for their work although the majority of their work remains voluntary.</v>
      </c>
      <c r="AB12" t="str">
        <f>IFERROR(VLOOKUP($A12&amp;"|4",'Criteria Library'!$B$5:$F$479,5,FALSE),"")</f>
        <v>All of our programs have a fully qualified staff member to oversee and manage the program. This would not normally be a member of the Board.</v>
      </c>
    </row>
    <row r="13" spans="1:28" s="28" customFormat="1" ht="127.5" customHeight="1">
      <c r="A13" s="45" t="s">
        <v>194</v>
      </c>
      <c r="B13" s="46" t="s">
        <v>195</v>
      </c>
      <c r="C13" s="47" t="s">
        <v>196</v>
      </c>
      <c r="D13" s="26"/>
      <c r="E13" s="111"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No stakeholders to manage</v>
      </c>
      <c r="Y13" t="str">
        <f>IFERROR(VLOOKUP($A13&amp;"|1",'Criteria Library'!$B$5:$F$479,5,FALSE),"")</f>
        <v>We do this informally, usually by word of mouth</v>
      </c>
      <c r="Z13" t="str">
        <f>IFERROR(VLOOKUP($A13&amp;"|2",'Criteria Library'!$B$5:$F$479,5,FALSE),"")</f>
        <v>Reports are produced on demand, as required by external funding agencies.</v>
      </c>
      <c r="AA13" t="str">
        <f>IFERROR(VLOOKUP($A13&amp;"|3",'Criteria Library'!$B$5:$F$479,5,FALSE),"")</f>
        <v>An annual report is presented to the G.A. for approval before circulation to stakeholders.</v>
      </c>
      <c r="AB13" t="str">
        <f>IFERROR(VLOOKUP($A13&amp;"|4",'Criteria Library'!$B$5:$F$479,5,FALSE),"")</f>
        <v>The annual report is the official document produced by the Organisation and this is supported by detailed project specific reports as needed.</v>
      </c>
    </row>
    <row r="14" spans="1:28" s="28" customFormat="1" ht="127.5" customHeight="1">
      <c r="A14" s="45" t="s">
        <v>197</v>
      </c>
      <c r="B14" s="46" t="s">
        <v>198</v>
      </c>
      <c r="C14" s="47" t="s">
        <v>199</v>
      </c>
      <c r="D14" s="26"/>
      <c r="E14" s="111"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No records to manage.</v>
      </c>
      <c r="Y14" t="str">
        <f>IFERROR(VLOOKUP($A14&amp;"|1",'Criteria Library'!$B$5:$F$479,5,FALSE),"")</f>
        <v>We take notes of meetings and brief records of activities. These are not necessarily filed.</v>
      </c>
      <c r="Z14" t="str">
        <f>IFERROR(VLOOKUP($A14&amp;"|2",'Criteria Library'!$B$5:$F$479,5,FALSE),"")</f>
        <v>The NOC has a simple filing system for important documentation.</v>
      </c>
      <c r="AA14" t="str">
        <f>IFERROR(VLOOKUP($A14&amp;"|3",'Criteria Library'!$B$5:$F$479,5,FALSE),"")</f>
        <v>The NOC stores and can retrieve records of meetings and activities.</v>
      </c>
      <c r="AB14" t="str">
        <f>IFERROR(VLOOKUP($A14&amp;"|4",'Criteria Library'!$B$5:$F$479,5,FALSE),"")</f>
        <v>The NOC has a formal archive system, which stores records for an extended period in line with a retention policy, with digital back-up.</v>
      </c>
    </row>
    <row r="15" spans="1:28" s="28" customFormat="1" ht="127.5" customHeight="1">
      <c r="A15" s="45" t="s">
        <v>200</v>
      </c>
      <c r="B15" s="46" t="s">
        <v>201</v>
      </c>
      <c r="C15" s="47" t="s">
        <v>202</v>
      </c>
      <c r="D15" s="26"/>
      <c r="E15" s="111"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There are no contracts in place.</v>
      </c>
      <c r="Y15" t="str">
        <f>IFERROR(VLOOKUP($A15&amp;"|1",'Criteria Library'!$B$5:$F$479,5,FALSE),"")</f>
        <v>Our contracts are based on ‘hand shake’ agreements.</v>
      </c>
      <c r="Z15" t="str">
        <f>IFERROR(VLOOKUP($A15&amp;"|2",'Criteria Library'!$B$5:$F$479,5,FALSE),"")</f>
        <v>The NOC establishes written agreements when necessary as dictated by external Organisations.</v>
      </c>
      <c r="AA15" t="str">
        <f>IFERROR(VLOOKUP($A15&amp;"|3",'Criteria Library'!$B$5:$F$479,5,FALSE),"")</f>
        <v>The NOC always obtains legally binding contracts.</v>
      </c>
      <c r="AB15" t="str">
        <f>IFERROR(VLOOKUP($A15&amp;"|4",'Criteria Library'!$B$5:$F$479,5,FALSE),"")</f>
        <v>The NOC has a contracting policy, setting out how to contract, who can tender and what the contracts must contain.</v>
      </c>
    </row>
    <row r="16" spans="1:28" s="28" customFormat="1" ht="127.5" customHeight="1">
      <c r="A16" s="45" t="s">
        <v>203</v>
      </c>
      <c r="B16" s="46" t="s">
        <v>204</v>
      </c>
      <c r="C16" s="47" t="s">
        <v>205</v>
      </c>
      <c r="D16" s="26"/>
      <c r="E16" s="111"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There is nothing to mismanage.</v>
      </c>
      <c r="Y16" t="str">
        <f>IFERROR(VLOOKUP($A16&amp;"|1",'Criteria Library'!$B$5:$F$479,5,FALSE),"")</f>
        <v>The NOC has no specific procedures.</v>
      </c>
      <c r="Z16" t="str">
        <f>IFERROR(VLOOKUP($A16&amp;"|2",'Criteria Library'!$B$5:$F$479,5,FALSE),"")</f>
        <v>The NOC has an ad-hoc discipline committee that investigates when an issue arises.</v>
      </c>
      <c r="AA16" t="str">
        <f>IFERROR(VLOOKUP($A16&amp;"|3",'Criteria Library'!$B$5:$F$479,5,FALSE),"")</f>
        <v>We have documented procedures that address prevention, detection and mitigation of mismanagement and fraud.</v>
      </c>
      <c r="AB16" t="str">
        <f>IFERROR(VLOOKUP($A16&amp;"|4",'Criteria Library'!$B$5:$F$479,5,FALSE),"")</f>
        <v>The NOC has a mismanagement and fraud policy that covers all aspects of work and encourages ‘whistle blowing’.</v>
      </c>
    </row>
    <row r="17" spans="1:28" s="28" customFormat="1" ht="127.5" customHeight="1">
      <c r="A17" s="45" t="s">
        <v>206</v>
      </c>
      <c r="B17" s="46" t="s">
        <v>207</v>
      </c>
      <c r="C17" s="47" t="s">
        <v>208</v>
      </c>
      <c r="D17" s="26"/>
      <c r="E17" s="111" t="str">
        <f>IF(D17="","",SUMIFS('Criteria Library'!$E$5:$E$479,'Criteria Library'!$A$5:$A$479,A17,'Criteria Library'!$F$5:$F$479,D17))</f>
        <v/>
      </c>
      <c r="F17" s="46" t="str">
        <f>IF(D17="","",IF(E17&gt;='Start Here'!$E$5,"Target achieved — Level "&amp;E17&amp;" meets or exceeds target Level "&amp;'Start Here'!$E$5&amp;".","Current Level "&amp;E17&amp;" → Target Level "&amp;'Start Here'!$E$5&amp;" ("&amp;('Start Here'!$E$5-E17)&amp;" level(s) to close)."))</f>
        <v/>
      </c>
      <c r="G17" s="47" t="str">
        <f>IF(D17="","",IF(E17&gt;='Start Here'!$E$5,"Target achieved. Sustain current practice and review periodically.",IF(AND(E17&lt;1,'Start Here'!$E$5&gt;=1),"LEVEL 1 — "&amp;VLOOKUP(A17&amp;"|1",'Criteria Library'!$B$5:$G$479,6,FALSE)&amp;CHAR(10)&amp;CHAR(10),"")&amp;IF(AND(E17&lt;2,'Start Here'!$E$5&gt;=2),"LEVEL 2 — "&amp;VLOOKUP(A17&amp;"|2",'Criteria Library'!$B$5:$G$479,6,FALSE)&amp;CHAR(10)&amp;CHAR(10),"")&amp;IF(AND(E17&lt;3,'Start Here'!$E$5&gt;=3),"LEVEL 3 — "&amp;VLOOKUP(A17&amp;"|3",'Criteria Library'!$B$5:$G$479,6,FALSE)&amp;CHAR(10)&amp;CHAR(10),"")&amp;IF(AND(E17&lt;4,'Start Here'!$E$5&gt;=4),"LEVEL 4 — "&amp;VLOOKUP(A17&amp;"|4",'Criteria Library'!$B$5:$G$479,6,FALSE),"")))</f>
        <v/>
      </c>
      <c r="H17" s="26"/>
      <c r="I17" s="26"/>
      <c r="J17" s="50"/>
      <c r="X17" t="str">
        <f>IFERROR(VLOOKUP($A17&amp;"|0",'Criteria Library'!$B$5:$F$479,5,FALSE),"")</f>
        <v>No-one</v>
      </c>
      <c r="Y17" t="str">
        <f>IFERROR(VLOOKUP($A17&amp;"|1",'Criteria Library'!$B$5:$F$479,5,FALSE),"")</f>
        <v>The Board handles all logistics.</v>
      </c>
      <c r="Z17" t="str">
        <f>IFERROR(VLOOKUP($A17&amp;"|2",'Criteria Library'!$B$5:$F$479,5,FALSE),"")</f>
        <v>This is the responsibility of a specialist volunteer or group of volunteers delegated by the Board.</v>
      </c>
      <c r="AA17" t="str">
        <f>IFERROR(VLOOKUP($A17&amp;"|3",'Criteria Library'!$B$5:$F$479,5,FALSE),"")</f>
        <v>The NOC has paid staff that assume the duties related to Games delegation around the Games time.</v>
      </c>
      <c r="AB17" t="str">
        <f>IFERROR(VLOOKUP($A17&amp;"|4",'Criteria Library'!$B$5:$F$479,5,FALSE),"")</f>
        <v>Managing a Games delegation is an integrated and professional function of the Organisation on an ongoing basis.</v>
      </c>
    </row>
    <row r="18" spans="1:28" s="28" customFormat="1" ht="127.5" customHeight="1">
      <c r="A18" s="45" t="s">
        <v>209</v>
      </c>
      <c r="B18" s="46" t="s">
        <v>210</v>
      </c>
      <c r="C18" s="47" t="s">
        <v>211</v>
      </c>
      <c r="D18" s="26"/>
      <c r="E18" s="111" t="str">
        <f>IF(D18="","",SUMIFS('Criteria Library'!$E$5:$E$479,'Criteria Library'!$A$5:$A$479,A18,'Criteria Library'!$F$5:$F$479,D18))</f>
        <v/>
      </c>
      <c r="F18" s="46" t="str">
        <f>IF(D18="","",IF(E18&gt;='Start Here'!$E$5,"Target achieved — Level "&amp;E18&amp;" meets or exceeds target Level "&amp;'Start Here'!$E$5&amp;".","Current Level "&amp;E18&amp;" → Target Level "&amp;'Start Here'!$E$5&amp;" ("&amp;('Start Here'!$E$5-E18)&amp;" level(s) to close)."))</f>
        <v/>
      </c>
      <c r="G18" s="47" t="str">
        <f>IF(D18="","",IF(E18&gt;='Start Here'!$E$5,"Target achieved. Sustain current practice and review periodically.",IF(AND(E18&lt;1,'Start Here'!$E$5&gt;=1),"LEVEL 1 — "&amp;VLOOKUP(A18&amp;"|1",'Criteria Library'!$B$5:$G$479,6,FALSE)&amp;CHAR(10)&amp;CHAR(10),"")&amp;IF(AND(E18&lt;2,'Start Here'!$E$5&gt;=2),"LEVEL 2 — "&amp;VLOOKUP(A18&amp;"|2",'Criteria Library'!$B$5:$G$479,6,FALSE)&amp;CHAR(10)&amp;CHAR(10),"")&amp;IF(AND(E18&lt;3,'Start Here'!$E$5&gt;=3),"LEVEL 3 — "&amp;VLOOKUP(A18&amp;"|3",'Criteria Library'!$B$5:$G$479,6,FALSE)&amp;CHAR(10)&amp;CHAR(10),"")&amp;IF(AND(E18&lt;4,'Start Here'!$E$5&gt;=4),"LEVEL 4 — "&amp;VLOOKUP(A18&amp;"|4",'Criteria Library'!$B$5:$G$479,6,FALSE),"")))</f>
        <v/>
      </c>
      <c r="H18" s="26"/>
      <c r="I18" s="26"/>
      <c r="J18" s="50"/>
      <c r="X18" t="str">
        <f>IFERROR(VLOOKUP($A18&amp;"|0",'Criteria Library'!$B$5:$F$479,5,FALSE),"")</f>
        <v>No decisions to execute</v>
      </c>
      <c r="Y18" t="str">
        <f>IFERROR(VLOOKUP($A18&amp;"|1",'Criteria Library'!$B$5:$F$479,5,FALSE),"")</f>
        <v>The NOC does not have (or lacks) the resources to consistently implement many Board decisions.</v>
      </c>
      <c r="Z18" t="str">
        <f>IFERROR(VLOOKUP($A18&amp;"|2",'Criteria Library'!$B$5:$F$479,5,FALSE),"")</f>
        <v>Decisions that are pushed through by individual Board members are acted upon.</v>
      </c>
      <c r="AA18" t="str">
        <f>IFERROR(VLOOKUP($A18&amp;"|3",'Criteria Library'!$B$5:$F$479,5,FALSE),"")</f>
        <v>Important decisions are acted upon either by specialist volunteers, paid staff or through a specific committee.</v>
      </c>
      <c r="AB18" t="str">
        <f>IFERROR(VLOOKUP($A18&amp;"|4",'Criteria Library'!$B$5:$F$479,5,FALSE),"")</f>
        <v>All decisions are systematically implemented, monitored and documented by management.</v>
      </c>
    </row>
    <row r="19" spans="1:28" s="28" customFormat="1" ht="127.5" customHeight="1">
      <c r="A19" s="45" t="s">
        <v>212</v>
      </c>
      <c r="B19" s="46" t="s">
        <v>213</v>
      </c>
      <c r="C19" s="47" t="s">
        <v>214</v>
      </c>
      <c r="D19" s="26"/>
      <c r="E19" s="111" t="str">
        <f>IF(D19="","",SUMIFS('Criteria Library'!$E$5:$E$479,'Criteria Library'!$A$5:$A$479,A19,'Criteria Library'!$F$5:$F$479,D19))</f>
        <v/>
      </c>
      <c r="F19" s="46" t="str">
        <f>IF(D19="","",IF(E19&gt;='Start Here'!$E$5,"Target achieved — Level "&amp;E19&amp;" meets or exceeds target Level "&amp;'Start Here'!$E$5&amp;".","Current Level "&amp;E19&amp;" → Target Level "&amp;'Start Here'!$E$5&amp;" ("&amp;('Start Here'!$E$5-E19)&amp;" level(s) to close)."))</f>
        <v/>
      </c>
      <c r="G19" s="47" t="str">
        <f>IF(D19="","",IF(E19&gt;='Start Here'!$E$5,"Target achieved. Sustain current practice and review periodically.",IF(AND(E19&lt;1,'Start Here'!$E$5&gt;=1),"LEVEL 1 — "&amp;VLOOKUP(A19&amp;"|1",'Criteria Library'!$B$5:$G$479,6,FALSE)&amp;CHAR(10)&amp;CHAR(10),"")&amp;IF(AND(E19&lt;2,'Start Here'!$E$5&gt;=2),"LEVEL 2 — "&amp;VLOOKUP(A19&amp;"|2",'Criteria Library'!$B$5:$G$479,6,FALSE)&amp;CHAR(10)&amp;CHAR(10),"")&amp;IF(AND(E19&lt;3,'Start Here'!$E$5&gt;=3),"LEVEL 3 — "&amp;VLOOKUP(A19&amp;"|3",'Criteria Library'!$B$5:$G$479,6,FALSE)&amp;CHAR(10)&amp;CHAR(10),"")&amp;IF(AND(E19&lt;4,'Start Here'!$E$5&gt;=4),"LEVEL 4 — "&amp;VLOOKUP(A19&amp;"|4",'Criteria Library'!$B$5:$G$479,6,FALSE),"")))</f>
        <v/>
      </c>
      <c r="H19" s="26"/>
      <c r="I19" s="26"/>
      <c r="J19" s="50"/>
      <c r="X19" t="str">
        <f>IFERROR(VLOOKUP($A19&amp;"|0",'Criteria Library'!$B$5:$F$479,5,FALSE),"")</f>
        <v>None</v>
      </c>
      <c r="Y19" t="str">
        <f>IFERROR(VLOOKUP($A19&amp;"|1",'Criteria Library'!$B$5:$F$479,5,FALSE),"")</f>
        <v>The NOC has the use of a Board member’s equipment.</v>
      </c>
      <c r="Z19" t="str">
        <f>IFERROR(VLOOKUP($A19&amp;"|2",'Criteria Library'!$B$5:$F$479,5,FALSE),"")</f>
        <v>The NOC has access to basic office equipment and rents, as needed, what is not available.</v>
      </c>
      <c r="AA19" t="str">
        <f>IFERROR(VLOOKUP($A19&amp;"|3",'Criteria Library'!$B$5:$F$479,5,FALSE),"")</f>
        <v>The NOC has a fully equipped office.</v>
      </c>
      <c r="AB19" t="str">
        <f>IFERROR(VLOOKUP($A19&amp;"|4",'Criteria Library'!$B$5:$F$479,5,FALSE),"")</f>
        <v>The office equipment is upgraded regularly based on the Organisation's needs.</v>
      </c>
    </row>
    <row r="20" spans="1:28" s="28" customFormat="1" ht="127.5" customHeight="1">
      <c r="A20" s="45" t="s">
        <v>215</v>
      </c>
      <c r="B20" s="46" t="s">
        <v>216</v>
      </c>
      <c r="C20" s="47" t="s">
        <v>217</v>
      </c>
      <c r="D20" s="26"/>
      <c r="E20" s="111" t="str">
        <f>IF(D20="","",SUMIFS('Criteria Library'!$E$5:$E$479,'Criteria Library'!$A$5:$A$479,A20,'Criteria Library'!$F$5:$F$479,D20))</f>
        <v/>
      </c>
      <c r="F20" s="46" t="str">
        <f>IF(D20="","",IF(E20&gt;='Start Here'!$E$5,"Target achieved — Level "&amp;E20&amp;" meets or exceeds target Level "&amp;'Start Here'!$E$5&amp;".","Current Level "&amp;E20&amp;" → Target Level "&amp;'Start Here'!$E$5&amp;" ("&amp;('Start Here'!$E$5-E20)&amp;" level(s) to close)."))</f>
        <v/>
      </c>
      <c r="G20" s="47" t="str">
        <f>IF(D20="","",IF(E20&gt;='Start Here'!$E$5,"Target achieved. Sustain current practice and review periodically.",IF(AND(E20&lt;1,'Start Here'!$E$5&gt;=1),"LEVEL 1 — "&amp;VLOOKUP(A20&amp;"|1",'Criteria Library'!$B$5:$G$479,6,FALSE)&amp;CHAR(10)&amp;CHAR(10),"")&amp;IF(AND(E20&lt;2,'Start Here'!$E$5&gt;=2),"LEVEL 2 — "&amp;VLOOKUP(A20&amp;"|2",'Criteria Library'!$B$5:$G$479,6,FALSE)&amp;CHAR(10)&amp;CHAR(10),"")&amp;IF(AND(E20&lt;3,'Start Here'!$E$5&gt;=3),"LEVEL 3 — "&amp;VLOOKUP(A20&amp;"|3",'Criteria Library'!$B$5:$G$479,6,FALSE)&amp;CHAR(10)&amp;CHAR(10),"")&amp;IF(AND(E20&lt;4,'Start Here'!$E$5&gt;=4),"LEVEL 4 — "&amp;VLOOKUP(A20&amp;"|4",'Criteria Library'!$B$5:$G$479,6,FALSE),"")))</f>
        <v/>
      </c>
      <c r="H20" s="26"/>
      <c r="I20" s="26"/>
      <c r="J20" s="50"/>
      <c r="X20" t="str">
        <f>IFERROR(VLOOKUP($A20&amp;"|0",'Criteria Library'!$B$5:$F$479,5,FALSE),"")</f>
        <v>There is no fixed place.</v>
      </c>
      <c r="Y20" t="str">
        <f>IFERROR(VLOOKUP($A20&amp;"|1",'Criteria Library'!$B$5:$F$479,5,FALSE),"")</f>
        <v>Headquarters are at a Board member’s premises</v>
      </c>
      <c r="Z20" t="str">
        <f>IFERROR(VLOOKUP($A20&amp;"|2",'Criteria Library'!$B$5:$F$479,5,FALSE),"")</f>
        <v>Headquarters are part of a shared office space.</v>
      </c>
      <c r="AA20" t="str">
        <f>IFERROR(VLOOKUP($A20&amp;"|3",'Criteria Library'!$B$5:$F$479,5,FALSE),"")</f>
        <v>Headquarters are in a rented building.</v>
      </c>
      <c r="AB20" t="str">
        <f>IFERROR(VLOOKUP($A20&amp;"|4",'Criteria Library'!$B$5:$F$479,5,FALSE),"")</f>
        <v>The NOC owns its own Headquarters.</v>
      </c>
    </row>
    <row r="21" spans="1:28" s="28" customFormat="1" ht="127.5" customHeight="1">
      <c r="A21" s="45" t="s">
        <v>218</v>
      </c>
      <c r="B21" s="46" t="s">
        <v>219</v>
      </c>
      <c r="C21" s="47" t="s">
        <v>220</v>
      </c>
      <c r="D21" s="26"/>
      <c r="E21" s="111" t="str">
        <f>IF(D21="","",SUMIFS('Criteria Library'!$E$5:$E$479,'Criteria Library'!$A$5:$A$479,A21,'Criteria Library'!$F$5:$F$479,D21))</f>
        <v/>
      </c>
      <c r="F21" s="46" t="str">
        <f>IF(D21="","",IF(E21&gt;='Start Here'!$E$5,"Target achieved — Level "&amp;E21&amp;" meets or exceeds target Level "&amp;'Start Here'!$E$5&amp;".","Current Level "&amp;E21&amp;" → Target Level "&amp;'Start Here'!$E$5&amp;" ("&amp;('Start Here'!$E$5-E21)&amp;" level(s) to close)."))</f>
        <v/>
      </c>
      <c r="G21" s="47" t="str">
        <f>IF(D21="","",IF(E21&gt;='Start Here'!$E$5,"Target achieved. Sustain current practice and review periodically.",IF(AND(E21&lt;1,'Start Here'!$E$5&gt;=1),"LEVEL 1 — "&amp;VLOOKUP(A21&amp;"|1",'Criteria Library'!$B$5:$G$479,6,FALSE)&amp;CHAR(10)&amp;CHAR(10),"")&amp;IF(AND(E21&lt;2,'Start Here'!$E$5&gt;=2),"LEVEL 2 — "&amp;VLOOKUP(A21&amp;"|2",'Criteria Library'!$B$5:$G$479,6,FALSE)&amp;CHAR(10)&amp;CHAR(10),"")&amp;IF(AND(E21&lt;3,'Start Here'!$E$5&gt;=3),"LEVEL 3 — "&amp;VLOOKUP(A21&amp;"|3",'Criteria Library'!$B$5:$G$479,6,FALSE)&amp;CHAR(10)&amp;CHAR(10),"")&amp;IF(AND(E21&lt;4,'Start Here'!$E$5&gt;=4),"LEVEL 4 — "&amp;VLOOKUP(A21&amp;"|4",'Criteria Library'!$B$5:$G$479,6,FALSE),"")))</f>
        <v/>
      </c>
      <c r="H21" s="26"/>
      <c r="I21" s="26"/>
      <c r="J21" s="50"/>
      <c r="X21" t="str">
        <f>IFERROR(VLOOKUP($A21&amp;"|0",'Criteria Library'!$B$5:$F$479,5,FALSE),"")</f>
        <v>None</v>
      </c>
      <c r="Y21" t="str">
        <f>IFERROR(VLOOKUP($A21&amp;"|1",'Criteria Library'!$B$5:$F$479,5,FALSE),"")</f>
        <v>We have access to board member's assets (office and equipment).</v>
      </c>
      <c r="Z21" t="str">
        <f>IFERROR(VLOOKUP($A21&amp;"|2",'Criteria Library'!$B$5:$F$479,5,FALSE),"")</f>
        <v>We have assets sufficient for carrying out our day to day functions.</v>
      </c>
      <c r="AA21" t="str">
        <f>IFERROR(VLOOKUP($A21&amp;"|3",'Criteria Library'!$B$5:$F$479,5,FALSE),"")</f>
        <v>The NOC has capital assets that may generate income</v>
      </c>
      <c r="AB21" t="str">
        <f>IFERROR(VLOOKUP($A21&amp;"|4",'Criteria Library'!$B$5:$F$479,5,FALSE),"")</f>
        <v>The NOC has significant capital assets that do generate income.</v>
      </c>
    </row>
    <row r="22" spans="1:28" s="28" customFormat="1" ht="127.5" customHeight="1">
      <c r="A22" s="45" t="s">
        <v>221</v>
      </c>
      <c r="B22" s="46" t="s">
        <v>222</v>
      </c>
      <c r="C22" s="47" t="s">
        <v>223</v>
      </c>
      <c r="D22" s="26"/>
      <c r="E22" s="111" t="str">
        <f>IF(D22="","",SUMIFS('Criteria Library'!$E$5:$E$479,'Criteria Library'!$A$5:$A$479,A22,'Criteria Library'!$F$5:$F$479,D22))</f>
        <v/>
      </c>
      <c r="F22" s="46" t="str">
        <f>IF(D22="","",IF(E22&gt;='Start Here'!$E$5,"Target achieved — Level "&amp;E22&amp;" meets or exceeds target Level "&amp;'Start Here'!$E$5&amp;".","Current Level "&amp;E22&amp;" → Target Level "&amp;'Start Here'!$E$5&amp;" ("&amp;('Start Here'!$E$5-E22)&amp;" level(s) to close)."))</f>
        <v/>
      </c>
      <c r="G22" s="47" t="str">
        <f>IF(D22="","",IF(E22&gt;='Start Here'!$E$5,"Target achieved. Sustain current practice and review periodically.",IF(AND(E22&lt;1,'Start Here'!$E$5&gt;=1),"LEVEL 1 — "&amp;VLOOKUP(A22&amp;"|1",'Criteria Library'!$B$5:$G$479,6,FALSE)&amp;CHAR(10)&amp;CHAR(10),"")&amp;IF(AND(E22&lt;2,'Start Here'!$E$5&gt;=2),"LEVEL 2 — "&amp;VLOOKUP(A22&amp;"|2",'Criteria Library'!$B$5:$G$479,6,FALSE)&amp;CHAR(10)&amp;CHAR(10),"")&amp;IF(AND(E22&lt;3,'Start Here'!$E$5&gt;=3),"LEVEL 3 — "&amp;VLOOKUP(A22&amp;"|3",'Criteria Library'!$B$5:$G$479,6,FALSE)&amp;CHAR(10)&amp;CHAR(10),"")&amp;IF(AND(E22&lt;4,'Start Here'!$E$5&gt;=4),"LEVEL 4 — "&amp;VLOOKUP(A22&amp;"|4",'Criteria Library'!$B$5:$G$479,6,FALSE),"")))</f>
        <v/>
      </c>
      <c r="H22" s="26"/>
      <c r="I22" s="26"/>
      <c r="J22" s="50"/>
      <c r="X22" t="str">
        <f>IFERROR(VLOOKUP($A22&amp;"|0",'Criteria Library'!$B$5:$F$479,5,FALSE),"")</f>
        <v>It is not</v>
      </c>
      <c r="Y22" t="str">
        <f>IFERROR(VLOOKUP($A22&amp;"|1",'Criteria Library'!$B$5:$F$479,5,FALSE),"")</f>
        <v>On an ad-hoc basis by willing Board members.</v>
      </c>
      <c r="Z22" t="str">
        <f>IFERROR(VLOOKUP($A22&amp;"|2",'Criteria Library'!$B$5:$F$479,5,FALSE),"")</f>
        <v>The Board self-evaluates its administration.</v>
      </c>
      <c r="AA22" t="str">
        <f>IFERROR(VLOOKUP($A22&amp;"|3",'Criteria Library'!$B$5:$F$479,5,FALSE),"")</f>
        <v>The Board receives reports from whoever is responsible for operational and financial matters and these are reported against the annual plan and budget.</v>
      </c>
      <c r="AB22" t="str">
        <f>IFERROR(VLOOKUP($A22&amp;"|4",'Criteria Library'!$B$5:$F$479,5,FALSE),"")</f>
        <v>The Board, through an internal auditor, or Audit Committee, that monitors the entire administrative process of the NOC.</v>
      </c>
    </row>
    <row r="23" spans="1:28" s="28" customFormat="1">
      <c r="E23" s="48"/>
    </row>
  </sheetData>
  <mergeCells count="10">
    <mergeCell ref="A1:J1"/>
    <mergeCell ref="A2:J2"/>
    <mergeCell ref="A4:B4"/>
    <mergeCell ref="A5:B6"/>
    <mergeCell ref="C4:D4"/>
    <mergeCell ref="C5:D6"/>
    <mergeCell ref="E4:F4"/>
    <mergeCell ref="E5:F6"/>
    <mergeCell ref="G4:J4"/>
    <mergeCell ref="G5:J6"/>
  </mergeCells>
  <conditionalFormatting sqref="E9:E22">
    <cfRule type="expression" dxfId="66" priority="1">
      <formula>AND($D9&lt;&gt;"",$E9=0)</formula>
    </cfRule>
    <cfRule type="expression" dxfId="65" priority="2">
      <formula>AND($D9&lt;&gt;"",$E9=1)</formula>
    </cfRule>
    <cfRule type="expression" dxfId="64" priority="3">
      <formula>AND($D9&lt;&gt;"",$E9=2)</formula>
    </cfRule>
    <cfRule type="expression" dxfId="63" priority="4">
      <formula>AND($D9&lt;&gt;"",$E9=3)</formula>
    </cfRule>
    <cfRule type="expression" dxfId="62" priority="5">
      <formula>AND($D9&lt;&gt;"",$E9=4)</formula>
    </cfRule>
  </conditionalFormatting>
  <dataValidations count="15">
    <dataValidation type="list" sqref="J9:J22" xr:uid="{00000000-0002-0000-0400-000000000000}">
      <formula1>"High,Medium,Low,Unverified"</formula1>
    </dataValidation>
    <dataValidation type="list" sqref="D9" xr:uid="{00000000-0002-0000-0400-000001000000}">
      <formula1>$X$9:$AB$9</formula1>
    </dataValidation>
    <dataValidation type="list" sqref="D10" xr:uid="{00000000-0002-0000-0400-000002000000}">
      <formula1>$X$10:$AB$10</formula1>
    </dataValidation>
    <dataValidation type="list" sqref="D11" xr:uid="{00000000-0002-0000-0400-000003000000}">
      <formula1>$X$11:$AB$11</formula1>
    </dataValidation>
    <dataValidation type="list" sqref="D12" xr:uid="{00000000-0002-0000-0400-000004000000}">
      <formula1>$X$12:$AB$12</formula1>
    </dataValidation>
    <dataValidation type="list" sqref="D13" xr:uid="{00000000-0002-0000-0400-000005000000}">
      <formula1>$X$13:$AB$13</formula1>
    </dataValidation>
    <dataValidation type="list" sqref="D14" xr:uid="{00000000-0002-0000-0400-000006000000}">
      <formula1>$X$14:$AB$14</formula1>
    </dataValidation>
    <dataValidation type="list" sqref="D15" xr:uid="{00000000-0002-0000-0400-000007000000}">
      <formula1>$X$15:$AB$15</formula1>
    </dataValidation>
    <dataValidation type="list" sqref="D16" xr:uid="{00000000-0002-0000-0400-000008000000}">
      <formula1>$X$16:$AB$16</formula1>
    </dataValidation>
    <dataValidation type="list" sqref="D17" xr:uid="{00000000-0002-0000-0400-000009000000}">
      <formula1>$X$17:$AB$17</formula1>
    </dataValidation>
    <dataValidation type="list" sqref="D18" xr:uid="{00000000-0002-0000-0400-00000A000000}">
      <formula1>$X$18:$AB$18</formula1>
    </dataValidation>
    <dataValidation type="list" sqref="D19" xr:uid="{00000000-0002-0000-0400-00000B000000}">
      <formula1>$X$19:$AB$19</formula1>
    </dataValidation>
    <dataValidation type="list" sqref="D20" xr:uid="{00000000-0002-0000-0400-00000C000000}">
      <formula1>$X$20:$AB$20</formula1>
    </dataValidation>
    <dataValidation type="list" sqref="D21" xr:uid="{00000000-0002-0000-0400-00000D000000}">
      <formula1>$X$21:$AB$21</formula1>
    </dataValidation>
    <dataValidation type="list" sqref="D22" xr:uid="{00000000-0002-0000-0400-00000E000000}">
      <formula1>$X$22:$AB$22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20"/>
  <sheetViews>
    <sheetView workbookViewId="0">
      <selection sqref="A1:J1"/>
    </sheetView>
  </sheetViews>
  <sheetFormatPr defaultRowHeight="14.25"/>
  <cols>
    <col min="1" max="1" width="7.375" customWidth="1"/>
    <col min="2" max="2" width="18.875" customWidth="1"/>
    <col min="3" max="3" width="27.625" customWidth="1"/>
    <col min="4" max="4" width="42" customWidth="1"/>
    <col min="5" max="5" width="9" style="23" customWidth="1"/>
    <col min="6" max="6" width="16.125" customWidth="1"/>
    <col min="7" max="7" width="58" customWidth="1"/>
    <col min="8" max="8" width="36" customWidth="1"/>
    <col min="9" max="9" width="30" customWidth="1"/>
    <col min="10" max="10" width="15" style="23" customWidth="1"/>
    <col min="24" max="28" width="2" customWidth="1"/>
  </cols>
  <sheetData>
    <row r="1" spans="1:28" s="28" customFormat="1" ht="21.75">
      <c r="A1" s="211" t="s">
        <v>224</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c r="E3" s="48"/>
      <c r="J3" s="48"/>
    </row>
    <row r="4" spans="1:28" s="51" customFormat="1" ht="15.75">
      <c r="A4" s="215" t="s">
        <v>122</v>
      </c>
      <c r="B4" s="217"/>
      <c r="C4" s="215" t="s">
        <v>98</v>
      </c>
      <c r="D4" s="217"/>
      <c r="E4" s="215" t="s">
        <v>99</v>
      </c>
      <c r="F4" s="217"/>
      <c r="G4" s="215" t="s">
        <v>96</v>
      </c>
      <c r="H4" s="216"/>
      <c r="I4" s="216"/>
      <c r="J4" s="217"/>
    </row>
    <row r="5" spans="1:28" s="28" customFormat="1">
      <c r="A5" s="218" t="str">
        <f>IF(COUNT(E9:E20)=0,"",AVERAGE(E9:E20))</f>
        <v/>
      </c>
      <c r="B5" s="220"/>
      <c r="C5" s="236">
        <f>COUNT(E9:E20)/12</f>
        <v>0</v>
      </c>
      <c r="D5" s="238"/>
      <c r="E5" s="227">
        <f>COUNTIFS(D9:D20,"&lt;&gt;",E9:E20,"&lt;"&amp;'Start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c r="E7" s="48"/>
      <c r="J7" s="48"/>
    </row>
    <row r="8" spans="1:28" s="28" customFormat="1" ht="15">
      <c r="A8" s="55" t="s">
        <v>123</v>
      </c>
      <c r="B8" s="56" t="s">
        <v>124</v>
      </c>
      <c r="C8" s="56" t="s">
        <v>125</v>
      </c>
      <c r="D8" s="56" t="s">
        <v>126</v>
      </c>
      <c r="E8" s="56" t="s">
        <v>127</v>
      </c>
      <c r="F8" s="56" t="s">
        <v>128</v>
      </c>
      <c r="G8" s="56" t="s">
        <v>129</v>
      </c>
      <c r="H8" s="56" t="s">
        <v>130</v>
      </c>
      <c r="I8" s="56" t="s">
        <v>131</v>
      </c>
      <c r="J8" s="57" t="s">
        <v>132</v>
      </c>
    </row>
    <row r="9" spans="1:28" s="28" customFormat="1" ht="125.25" customHeight="1">
      <c r="A9" s="45" t="s">
        <v>225</v>
      </c>
      <c r="B9" s="46" t="s">
        <v>226</v>
      </c>
      <c r="C9" s="47" t="s">
        <v>227</v>
      </c>
      <c r="D9" s="26"/>
      <c r="E9" s="110"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No staff of any kind</v>
      </c>
      <c r="Y9" t="str">
        <f>IFERROR(VLOOKUP($A9&amp;"|1",'Criteria Library'!$B$5:$F$479,5,FALSE),"")</f>
        <v>The NOC has limited staffing or part time people remunerated for some basic administrative work.</v>
      </c>
      <c r="Z9" t="str">
        <f>IFERROR(VLOOKUP($A9&amp;"|2",'Criteria Library'!$B$5:$F$479,5,FALSE),"")</f>
        <v>The NOC has at least 1 full time employee to manage the administration of the NOC.</v>
      </c>
      <c r="AA9" t="str">
        <f>IFERROR(VLOOKUP($A9&amp;"|3",'Criteria Library'!$B$5:$F$479,5,FALSE),"")</f>
        <v>The NOC has several paid staff, including a general manager / executive director or CEO.</v>
      </c>
      <c r="AB9" t="str">
        <f>IFERROR(VLOOKUP($A9&amp;"|4",'Criteria Library'!$B$5:$F$479,5,FALSE),"")</f>
        <v>The NOC has a full paid staff complement organised in departments.</v>
      </c>
    </row>
    <row r="10" spans="1:28" s="28" customFormat="1" ht="125.25" customHeight="1">
      <c r="A10" s="45" t="s">
        <v>228</v>
      </c>
      <c r="B10" s="46" t="s">
        <v>229</v>
      </c>
      <c r="C10" s="47" t="s">
        <v>230</v>
      </c>
      <c r="D10" s="26"/>
      <c r="E10" s="110"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We have no volunteers to manage.</v>
      </c>
      <c r="Y10" t="str">
        <f>IFERROR(VLOOKUP($A10&amp;"|1",'Criteria Library'!$B$5:$F$479,5,FALSE),"")</f>
        <v>Everyone looks after their own activities.</v>
      </c>
      <c r="Z10" t="str">
        <f>IFERROR(VLOOKUP($A10&amp;"|2",'Criteria Library'!$B$5:$F$479,5,FALSE),"")</f>
        <v>The Board manages the volunteers directly.</v>
      </c>
      <c r="AA10" t="str">
        <f>IFERROR(VLOOKUP($A10&amp;"|3",'Criteria Library'!$B$5:$F$479,5,FALSE),"")</f>
        <v>The NOC has a specialist volunteer or member of staff who manages volunteers.</v>
      </c>
      <c r="AB10" t="str">
        <f>IFERROR(VLOOKUP($A10&amp;"|4",'Criteria Library'!$B$5:$F$479,5,FALSE),"")</f>
        <v>The NOC has a paid Volunteer Manager.</v>
      </c>
    </row>
    <row r="11" spans="1:28" s="28" customFormat="1" ht="125.25" customHeight="1">
      <c r="A11" s="45" t="s">
        <v>231</v>
      </c>
      <c r="B11" s="46" t="s">
        <v>232</v>
      </c>
      <c r="C11" s="47" t="s">
        <v>233</v>
      </c>
      <c r="D11" s="26"/>
      <c r="E11" s="110"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None</v>
      </c>
      <c r="Y11" t="str">
        <f>IFERROR(VLOOKUP($A11&amp;"|1",'Criteria Library'!$B$5:$F$479,5,FALSE),"")</f>
        <v>Competencies are limited to existing volunteers and the elected members of the Board.</v>
      </c>
      <c r="Z11" t="str">
        <f>IFERROR(VLOOKUP($A11&amp;"|2",'Criteria Library'!$B$5:$F$479,5,FALSE),"")</f>
        <v>We draw upon significant external support in order to get all the competencies the NOC needs.</v>
      </c>
      <c r="AA11" t="str">
        <f>IFERROR(VLOOKUP($A11&amp;"|3",'Criteria Library'!$B$5:$F$479,5,FALSE),"")</f>
        <v>We make limited use of external support as most competencies are available from within the NOC.</v>
      </c>
      <c r="AB11" t="str">
        <f>IFERROR(VLOOKUP($A11&amp;"|4",'Criteria Library'!$B$5:$F$479,5,FALSE),"")</f>
        <v>All required competencies can be found within the NOC, although we continuously seek additional complementary competencies.</v>
      </c>
    </row>
    <row r="12" spans="1:28" s="28" customFormat="1" ht="125.25" customHeight="1">
      <c r="A12" s="45" t="s">
        <v>234</v>
      </c>
      <c r="B12" s="46" t="s">
        <v>235</v>
      </c>
      <c r="C12" s="47" t="s">
        <v>236</v>
      </c>
      <c r="D12" s="26"/>
      <c r="E12" s="110"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Never</v>
      </c>
      <c r="Y12" t="str">
        <f>IFERROR(VLOOKUP($A12&amp;"|1",'Criteria Library'!$B$5:$F$479,5,FALSE),"")</f>
        <v>We rarely consider the skills we may need.</v>
      </c>
      <c r="Z12" t="str">
        <f>IFERROR(VLOOKUP($A12&amp;"|2",'Criteria Library'!$B$5:$F$479,5,FALSE),"")</f>
        <v>We do an occasional ad hoc review of the NOC's skills needs.</v>
      </c>
      <c r="AA12" t="str">
        <f>IFERROR(VLOOKUP($A12&amp;"|3",'Criteria Library'!$B$5:$F$479,5,FALSE),"")</f>
        <v>We carry out a quadrennial audit of skills needed by the NOC.</v>
      </c>
      <c r="AB12" t="str">
        <f>IFERROR(VLOOKUP($A12&amp;"|4",'Criteria Library'!$B$5:$F$479,5,FALSE),"")</f>
        <v>We do an annual audit of skills needed and develop a job structure from these.</v>
      </c>
    </row>
    <row r="13" spans="1:28" s="28" customFormat="1" ht="125.25" customHeight="1">
      <c r="A13" s="45" t="s">
        <v>237</v>
      </c>
      <c r="B13" s="46" t="s">
        <v>238</v>
      </c>
      <c r="C13" s="47" t="s">
        <v>239</v>
      </c>
      <c r="D13" s="26"/>
      <c r="E13" s="110"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We do not</v>
      </c>
      <c r="Y13" t="str">
        <f>IFERROR(VLOOKUP($A13&amp;"|1",'Criteria Library'!$B$5:$F$479,5,FALSE),"")</f>
        <v>We recruit and select by word of mouth and through personal contact.</v>
      </c>
      <c r="Z13" t="str">
        <f>IFERROR(VLOOKUP($A13&amp;"|2",'Criteria Library'!$B$5:$F$479,5,FALSE),"")</f>
        <v>We have established job descriptions for our basic roles, but rely on volunteers to fill positions.</v>
      </c>
      <c r="AA13" t="str">
        <f>IFERROR(VLOOKUP($A13&amp;"|3",'Criteria Library'!$B$5:$F$479,5,FALSE),"")</f>
        <v>The NOC seeks to recruit beyond its immediate network of members and friends.</v>
      </c>
      <c r="AB13" t="str">
        <f>IFERROR(VLOOKUP($A13&amp;"|4",'Criteria Library'!$B$5:$F$479,5,FALSE),"")</f>
        <v>Best candidates for the positions are sought both, internally and external to the NOC.</v>
      </c>
    </row>
    <row r="14" spans="1:28" s="28" customFormat="1" ht="125.25" customHeight="1">
      <c r="A14" s="45" t="s">
        <v>240</v>
      </c>
      <c r="B14" s="46" t="s">
        <v>241</v>
      </c>
      <c r="C14" s="47" t="s">
        <v>242</v>
      </c>
      <c r="D14" s="26"/>
      <c r="E14" s="110"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We have no procedures.</v>
      </c>
      <c r="Y14" t="str">
        <f>IFERROR(VLOOKUP($A14&amp;"|1",'Criteria Library'!$B$5:$F$479,5,FALSE),"")</f>
        <v>Nothing is documented, recruitment is informal.</v>
      </c>
      <c r="Z14" t="str">
        <f>IFERROR(VLOOKUP($A14&amp;"|2",'Criteria Library'!$B$5:$F$479,5,FALSE),"")</f>
        <v>We have some generic guidelines for recruitment of volunteers and staff.</v>
      </c>
      <c r="AA14" t="str">
        <f>IFERROR(VLOOKUP($A14&amp;"|3",'Criteria Library'!$B$5:$F$479,5,FALSE),"")</f>
        <v>The NOC has agreed documented guidelines in place for the recruitment of volunteers and staff.</v>
      </c>
      <c r="AB14" t="str">
        <f>IFERROR(VLOOKUP($A14&amp;"|4",'Criteria Library'!$B$5:$F$479,5,FALSE),"")</f>
        <v>The NOC has a recruitment framework including a recruitment plan aligned to our strategic plan.</v>
      </c>
    </row>
    <row r="15" spans="1:28" s="28" customFormat="1" ht="125.25" customHeight="1">
      <c r="A15" s="45" t="s">
        <v>243</v>
      </c>
      <c r="B15" s="46" t="s">
        <v>244</v>
      </c>
      <c r="C15" s="47" t="s">
        <v>245</v>
      </c>
      <c r="D15" s="26"/>
      <c r="E15" s="110"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We do not have any.</v>
      </c>
      <c r="Y15" t="str">
        <f>IFERROR(VLOOKUP($A15&amp;"|1",'Criteria Library'!$B$5:$F$479,5,FALSE),"")</f>
        <v>Nothing written, we explain jobs verbally.</v>
      </c>
      <c r="Z15" t="str">
        <f>IFERROR(VLOOKUP($A15&amp;"|2",'Criteria Library'!$B$5:$F$479,5,FALSE),"")</f>
        <v>Job descriptions are a written description of key tasks for specific staff and Board members.</v>
      </c>
      <c r="AA15" t="str">
        <f>IFERROR(VLOOKUP($A15&amp;"|3",'Criteria Library'!$B$5:$F$479,5,FALSE),"")</f>
        <v>Job descriptions contain a description of key tasks and the basic qualifications and experience needed for all paid staff but not for Board members.</v>
      </c>
      <c r="AB15" t="str">
        <f>IFERROR(VLOOKUP($A15&amp;"|4",'Criteria Library'!$B$5:$F$479,5,FALSE),"")</f>
        <v>The NOC has full job descriptions and person specifications which include competencies required, responsibilities, reporting lines and tasks for all staff and Board members.</v>
      </c>
    </row>
    <row r="16" spans="1:28" s="28" customFormat="1" ht="125.25" customHeight="1">
      <c r="A16" s="45" t="s">
        <v>246</v>
      </c>
      <c r="B16" s="46" t="s">
        <v>247</v>
      </c>
      <c r="C16" s="47" t="s">
        <v>248</v>
      </c>
      <c r="D16" s="26"/>
      <c r="E16" s="110"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We do not have any.</v>
      </c>
      <c r="Y16" t="str">
        <f>IFERROR(VLOOKUP($A16&amp;"|1",'Criteria Library'!$B$5:$F$479,5,FALSE),"")</f>
        <v>No procedures – direct appointments made of people we know.</v>
      </c>
      <c r="Z16" t="str">
        <f>IFERROR(VLOOKUP($A16&amp;"|2",'Criteria Library'!$B$5:$F$479,5,FALSE),"")</f>
        <v>We carry out an informal interview of candidates.</v>
      </c>
      <c r="AA16" t="str">
        <f>IFERROR(VLOOKUP($A16&amp;"|3",'Criteria Library'!$B$5:$F$479,5,FALSE),"")</f>
        <v>We have detailed selection criteria and interview candidates based on these.</v>
      </c>
      <c r="AB16" t="str">
        <f>IFERROR(VLOOKUP($A16&amp;"|4",'Criteria Library'!$B$5:$F$479,5,FALSE),"")</f>
        <v>There is a comprehensive selection process that uses a number of mechanisms for making selection decisions.</v>
      </c>
    </row>
    <row r="17" spans="1:28" s="28" customFormat="1" ht="125.25" customHeight="1">
      <c r="A17" s="45" t="s">
        <v>249</v>
      </c>
      <c r="B17" s="46" t="s">
        <v>250</v>
      </c>
      <c r="C17" s="47" t="s">
        <v>251</v>
      </c>
      <c r="D17" s="26"/>
      <c r="E17" s="110" t="str">
        <f>IF(D17="","",SUMIFS('Criteria Library'!$E$5:$E$479,'Criteria Library'!$A$5:$A$479,A17,'Criteria Library'!$F$5:$F$479,D17))</f>
        <v/>
      </c>
      <c r="F17" s="46" t="str">
        <f>IF(D17="","",IF(E17&gt;='Start Here'!$E$5,"Target achieved — Level "&amp;E17&amp;" meets or exceeds target Level "&amp;'Start Here'!$E$5&amp;".","Current Level "&amp;E17&amp;" → Target Level "&amp;'Start Here'!$E$5&amp;" ("&amp;('Start Here'!$E$5-E17)&amp;" level(s) to close)."))</f>
        <v/>
      </c>
      <c r="G17" s="47" t="str">
        <f>IF(D17="","",IF(E17&gt;='Start Here'!$E$5,"Target achieved. Sustain current practice and review periodically.",IF(AND(E17&lt;1,'Start Here'!$E$5&gt;=1),"LEVEL 1 — "&amp;VLOOKUP(A17&amp;"|1",'Criteria Library'!$B$5:$G$479,6,FALSE)&amp;CHAR(10)&amp;CHAR(10),"")&amp;IF(AND(E17&lt;2,'Start Here'!$E$5&gt;=2),"LEVEL 2 — "&amp;VLOOKUP(A17&amp;"|2",'Criteria Library'!$B$5:$G$479,6,FALSE)&amp;CHAR(10)&amp;CHAR(10),"")&amp;IF(AND(E17&lt;3,'Start Here'!$E$5&gt;=3),"LEVEL 3 — "&amp;VLOOKUP(A17&amp;"|3",'Criteria Library'!$B$5:$G$479,6,FALSE)&amp;CHAR(10)&amp;CHAR(10),"")&amp;IF(AND(E17&lt;4,'Start Here'!$E$5&gt;=4),"LEVEL 4 — "&amp;VLOOKUP(A17&amp;"|4",'Criteria Library'!$B$5:$G$479,6,FALSE),"")))</f>
        <v/>
      </c>
      <c r="H17" s="26"/>
      <c r="I17" s="26"/>
      <c r="J17" s="50"/>
      <c r="X17" t="str">
        <f>IFERROR(VLOOKUP($A17&amp;"|0",'Criteria Library'!$B$5:$F$479,5,FALSE),"")</f>
        <v>None.</v>
      </c>
      <c r="Y17" t="str">
        <f>IFERROR(VLOOKUP($A17&amp;"|1",'Criteria Library'!$B$5:$F$479,5,FALSE),"")</f>
        <v>Nothing is documented, we manage informally.</v>
      </c>
      <c r="Z17" t="str">
        <f>IFERROR(VLOOKUP($A17&amp;"|2",'Criteria Library'!$B$5:$F$479,5,FALSE),"")</f>
        <v>We have simple guidelines covering some aspects of HR management, including staff contracts, but have yet to consider this seriously.</v>
      </c>
      <c r="AA17" t="str">
        <f>IFERROR(VLOOKUP($A17&amp;"|3",'Criteria Library'!$B$5:$F$479,5,FALSE),"")</f>
        <v>We have a HR policy that deals with the key issues of HR, such as recruitment and selection. All staff members have a contract.</v>
      </c>
      <c r="AB17" t="str">
        <f>IFERROR(VLOOKUP($A17&amp;"|4",'Criteria Library'!$B$5:$F$479,5,FALSE),"")</f>
        <v>The NOC has a HR framework that covers all aspects of HR management, such as recruitment, selection, appraisal, discipline procedures and rewards.</v>
      </c>
    </row>
    <row r="18" spans="1:28" s="28" customFormat="1" ht="125.25" customHeight="1">
      <c r="A18" s="45" t="s">
        <v>252</v>
      </c>
      <c r="B18" s="46" t="s">
        <v>253</v>
      </c>
      <c r="C18" s="47" t="s">
        <v>254</v>
      </c>
      <c r="D18" s="26"/>
      <c r="E18" s="110" t="str">
        <f>IF(D18="","",SUMIFS('Criteria Library'!$E$5:$E$479,'Criteria Library'!$A$5:$A$479,A18,'Criteria Library'!$F$5:$F$479,D18))</f>
        <v/>
      </c>
      <c r="F18" s="46" t="str">
        <f>IF(D18="","",IF(E18&gt;='Start Here'!$E$5,"Target achieved — Level "&amp;E18&amp;" meets or exceeds target Level "&amp;'Start Here'!$E$5&amp;".","Current Level "&amp;E18&amp;" → Target Level "&amp;'Start Here'!$E$5&amp;" ("&amp;('Start Here'!$E$5-E18)&amp;" level(s) to close)."))</f>
        <v/>
      </c>
      <c r="G18" s="47" t="str">
        <f>IF(D18="","",IF(E18&gt;='Start Here'!$E$5,"Target achieved. Sustain current practice and review periodically.",IF(AND(E18&lt;1,'Start Here'!$E$5&gt;=1),"LEVEL 1 — "&amp;VLOOKUP(A18&amp;"|1",'Criteria Library'!$B$5:$G$479,6,FALSE)&amp;CHAR(10)&amp;CHAR(10),"")&amp;IF(AND(E18&lt;2,'Start Here'!$E$5&gt;=2),"LEVEL 2 — "&amp;VLOOKUP(A18&amp;"|2",'Criteria Library'!$B$5:$G$479,6,FALSE)&amp;CHAR(10)&amp;CHAR(10),"")&amp;IF(AND(E18&lt;3,'Start Here'!$E$5&gt;=3),"LEVEL 3 — "&amp;VLOOKUP(A18&amp;"|3",'Criteria Library'!$B$5:$G$479,6,FALSE)&amp;CHAR(10)&amp;CHAR(10),"")&amp;IF(AND(E18&lt;4,'Start Here'!$E$5&gt;=4),"LEVEL 4 — "&amp;VLOOKUP(A18&amp;"|4",'Criteria Library'!$B$5:$G$479,6,FALSE),"")))</f>
        <v/>
      </c>
      <c r="H18" s="26"/>
      <c r="I18" s="26"/>
      <c r="J18" s="50"/>
      <c r="X18" t="str">
        <f>IFERROR(VLOOKUP($A18&amp;"|0",'Criteria Library'!$B$5:$F$479,5,FALSE),"")</f>
        <v>None</v>
      </c>
      <c r="Y18" t="str">
        <f>IFERROR(VLOOKUP($A18&amp;"|1",'Criteria Library'!$B$5:$F$479,5,FALSE),"")</f>
        <v>Individuals decide what development they need and arrange it.</v>
      </c>
      <c r="Z18" t="str">
        <f>IFERROR(VLOOKUP($A18&amp;"|2",'Criteria Library'!$B$5:$F$479,5,FALSE),"")</f>
        <v>The NOC takes up external opportunities for development when they arise. (e.g. Solidarity funded courses).</v>
      </c>
      <c r="AA18" t="str">
        <f>IFERROR(VLOOKUP($A18&amp;"|3",'Criteria Library'!$B$5:$F$479,5,FALSE),"")</f>
        <v>Staff/volunteers are offered development opportunities in order to fill gaps in the expertise that the NOC has access to.</v>
      </c>
      <c r="AB18" t="str">
        <f>IFERROR(VLOOKUP($A18&amp;"|4",'Criteria Library'!$B$5:$F$479,5,FALSE),"")</f>
        <v>Personnel development is based on mutual agreement of what is best for both the individual and the organisation.</v>
      </c>
    </row>
    <row r="19" spans="1:28" s="28" customFormat="1" ht="125.25" customHeight="1">
      <c r="A19" s="45" t="s">
        <v>255</v>
      </c>
      <c r="B19" s="46" t="s">
        <v>256</v>
      </c>
      <c r="C19" s="47" t="s">
        <v>257</v>
      </c>
      <c r="D19" s="26"/>
      <c r="E19" s="110" t="str">
        <f>IF(D19="","",SUMIFS('Criteria Library'!$E$5:$E$479,'Criteria Library'!$A$5:$A$479,A19,'Criteria Library'!$F$5:$F$479,D19))</f>
        <v/>
      </c>
      <c r="F19" s="46" t="str">
        <f>IF(D19="","",IF(E19&gt;='Start Here'!$E$5,"Target achieved — Level "&amp;E19&amp;" meets or exceeds target Level "&amp;'Start Here'!$E$5&amp;".","Current Level "&amp;E19&amp;" → Target Level "&amp;'Start Here'!$E$5&amp;" ("&amp;('Start Here'!$E$5-E19)&amp;" level(s) to close)."))</f>
        <v/>
      </c>
      <c r="G19" s="47" t="str">
        <f>IF(D19="","",IF(E19&gt;='Start Here'!$E$5,"Target achieved. Sustain current practice and review periodically.",IF(AND(E19&lt;1,'Start Here'!$E$5&gt;=1),"LEVEL 1 — "&amp;VLOOKUP(A19&amp;"|1",'Criteria Library'!$B$5:$G$479,6,FALSE)&amp;CHAR(10)&amp;CHAR(10),"")&amp;IF(AND(E19&lt;2,'Start Here'!$E$5&gt;=2),"LEVEL 2 — "&amp;VLOOKUP(A19&amp;"|2",'Criteria Library'!$B$5:$G$479,6,FALSE)&amp;CHAR(10)&amp;CHAR(10),"")&amp;IF(AND(E19&lt;3,'Start Here'!$E$5&gt;=3),"LEVEL 3 — "&amp;VLOOKUP(A19&amp;"|3",'Criteria Library'!$B$5:$G$479,6,FALSE)&amp;CHAR(10)&amp;CHAR(10),"")&amp;IF(AND(E19&lt;4,'Start Here'!$E$5&gt;=4),"LEVEL 4 — "&amp;VLOOKUP(A19&amp;"|4",'Criteria Library'!$B$5:$G$479,6,FALSE),"")))</f>
        <v/>
      </c>
      <c r="H19" s="26"/>
      <c r="I19" s="26"/>
      <c r="J19" s="50"/>
      <c r="X19" t="str">
        <f>IFERROR(VLOOKUP($A19&amp;"|0",'Criteria Library'!$B$5:$F$479,5,FALSE),"")</f>
        <v>Never</v>
      </c>
      <c r="Y19" t="str">
        <f>IFERROR(VLOOKUP($A19&amp;"|1",'Criteria Library'!$B$5:$F$479,5,FALSE),"")</f>
        <v>We informally recognise the efforts that people make</v>
      </c>
      <c r="Z19" t="str">
        <f>IFERROR(VLOOKUP($A19&amp;"|2",'Criteria Library'!$B$5:$F$479,5,FALSE),"")</f>
        <v>We pay expenses and make small awards of recognition for volunteers. Staff members receive a salary, however social benefits/insurances may not always be paid.</v>
      </c>
      <c r="AA19" t="str">
        <f>IFERROR(VLOOKUP($A19&amp;"|3",'Criteria Library'!$B$5:$F$479,5,FALSE),"")</f>
        <v>We recognise the efforts of volunteers and staff are paid for services, including social benefits/insurances and performance bonuses where relevant and appropriate.</v>
      </c>
      <c r="AB19" t="str">
        <f>IFERROR(VLOOKUP($A19&amp;"|4",'Criteria Library'!$B$5:$F$479,5,FALSE),"")</f>
        <v>We have incentives and benefits for staff and volunteers.  Fully developed payment policy regularly revised.</v>
      </c>
    </row>
    <row r="20" spans="1:28" s="28" customFormat="1" ht="125.25" customHeight="1">
      <c r="A20" s="45" t="s">
        <v>258</v>
      </c>
      <c r="B20" s="46" t="s">
        <v>259</v>
      </c>
      <c r="C20" s="47" t="s">
        <v>260</v>
      </c>
      <c r="D20" s="26"/>
      <c r="E20" s="110" t="str">
        <f>IF(D20="","",SUMIFS('Criteria Library'!$E$5:$E$479,'Criteria Library'!$A$5:$A$479,A20,'Criteria Library'!$F$5:$F$479,D20))</f>
        <v/>
      </c>
      <c r="F20" s="46" t="str">
        <f>IF(D20="","",IF(E20&gt;='Start Here'!$E$5,"Target achieved — Level "&amp;E20&amp;" meets or exceeds target Level "&amp;'Start Here'!$E$5&amp;".","Current Level "&amp;E20&amp;" → Target Level "&amp;'Start Here'!$E$5&amp;" ("&amp;('Start Here'!$E$5-E20)&amp;" level(s) to close)."))</f>
        <v/>
      </c>
      <c r="G20" s="47" t="str">
        <f>IF(D20="","",IF(E20&gt;='Start Here'!$E$5,"Target achieved. Sustain current practice and review periodically.",IF(AND(E20&lt;1,'Start Here'!$E$5&gt;=1),"LEVEL 1 — "&amp;VLOOKUP(A20&amp;"|1",'Criteria Library'!$B$5:$G$479,6,FALSE)&amp;CHAR(10)&amp;CHAR(10),"")&amp;IF(AND(E20&lt;2,'Start Here'!$E$5&gt;=2),"LEVEL 2 — "&amp;VLOOKUP(A20&amp;"|2",'Criteria Library'!$B$5:$G$479,6,FALSE)&amp;CHAR(10)&amp;CHAR(10),"")&amp;IF(AND(E20&lt;3,'Start Here'!$E$5&gt;=3),"LEVEL 3 — "&amp;VLOOKUP(A20&amp;"|3",'Criteria Library'!$B$5:$G$479,6,FALSE)&amp;CHAR(10)&amp;CHAR(10),"")&amp;IF(AND(E20&lt;4,'Start Here'!$E$5&gt;=4),"LEVEL 4 — "&amp;VLOOKUP(A20&amp;"|4",'Criteria Library'!$B$5:$G$479,6,FALSE),"")))</f>
        <v/>
      </c>
      <c r="H20" s="26"/>
      <c r="I20" s="26"/>
      <c r="J20" s="50"/>
      <c r="X20" t="str">
        <f>IFERROR(VLOOKUP($A20&amp;"|0",'Criteria Library'!$B$5:$F$479,5,FALSE),"")</f>
        <v>We have never considered it.</v>
      </c>
      <c r="Y20" t="str">
        <f>IFERROR(VLOOKUP($A20&amp;"|1",'Criteria Library'!$B$5:$F$479,5,FALSE),"")</f>
        <v>We are aware of the issues.</v>
      </c>
      <c r="Z20" t="str">
        <f>IFERROR(VLOOKUP($A20&amp;"|2",'Criteria Library'!$B$5:$F$479,5,FALSE),"")</f>
        <v>We have strategies for diversity and equality that are a response to external requirements.</v>
      </c>
      <c r="AA20" t="str">
        <f>IFERROR(VLOOKUP($A20&amp;"|3",'Criteria Library'!$B$5:$F$479,5,FALSE),"")</f>
        <v>We have proactive strategies to promote diversity and equality and select on merit as much as possible.</v>
      </c>
      <c r="AB20" t="str">
        <f>IFERROR(VLOOKUP($A20&amp;"|4",'Criteria Library'!$B$5:$F$479,5,FALSE),"")</f>
        <v>The NOC is an equal opportunity employer.</v>
      </c>
    </row>
  </sheetData>
  <mergeCells count="10">
    <mergeCell ref="A1:J1"/>
    <mergeCell ref="A2:J2"/>
    <mergeCell ref="A4:B4"/>
    <mergeCell ref="A5:B6"/>
    <mergeCell ref="C4:D4"/>
    <mergeCell ref="C5:D6"/>
    <mergeCell ref="E4:F4"/>
    <mergeCell ref="E5:F6"/>
    <mergeCell ref="G4:J4"/>
    <mergeCell ref="G5:J6"/>
  </mergeCells>
  <conditionalFormatting sqref="E9:E20">
    <cfRule type="expression" dxfId="61" priority="1">
      <formula>AND($D9&lt;&gt;"",$E9=0)</formula>
    </cfRule>
    <cfRule type="expression" dxfId="60" priority="2">
      <formula>AND($D9&lt;&gt;"",$E9=1)</formula>
    </cfRule>
    <cfRule type="expression" dxfId="59" priority="3">
      <formula>AND($D9&lt;&gt;"",$E9=2)</formula>
    </cfRule>
    <cfRule type="expression" dxfId="58" priority="4">
      <formula>AND($D9&lt;&gt;"",$E9=3)</formula>
    </cfRule>
    <cfRule type="expression" dxfId="57" priority="5">
      <formula>AND($D9&lt;&gt;"",$E9=4)</formula>
    </cfRule>
  </conditionalFormatting>
  <dataValidations count="13">
    <dataValidation type="list" sqref="J9:J20" xr:uid="{00000000-0002-0000-0500-000000000000}">
      <formula1>"High,Medium,Low,Unverified"</formula1>
    </dataValidation>
    <dataValidation type="list" sqref="D9" xr:uid="{00000000-0002-0000-0500-000001000000}">
      <formula1>$X$9:$AB$9</formula1>
    </dataValidation>
    <dataValidation type="list" sqref="D10" xr:uid="{00000000-0002-0000-0500-000002000000}">
      <formula1>$X$10:$AB$10</formula1>
    </dataValidation>
    <dataValidation type="list" sqref="D11" xr:uid="{00000000-0002-0000-0500-000003000000}">
      <formula1>$X$11:$AB$11</formula1>
    </dataValidation>
    <dataValidation type="list" sqref="D12" xr:uid="{00000000-0002-0000-0500-000004000000}">
      <formula1>$X$12:$AB$12</formula1>
    </dataValidation>
    <dataValidation type="list" sqref="D13" xr:uid="{00000000-0002-0000-0500-000005000000}">
      <formula1>$X$13:$AB$13</formula1>
    </dataValidation>
    <dataValidation type="list" sqref="D14" xr:uid="{00000000-0002-0000-0500-000006000000}">
      <formula1>$X$14:$AB$14</formula1>
    </dataValidation>
    <dataValidation type="list" sqref="D15" xr:uid="{00000000-0002-0000-0500-000007000000}">
      <formula1>$X$15:$AB$15</formula1>
    </dataValidation>
    <dataValidation type="list" sqref="D16" xr:uid="{00000000-0002-0000-0500-000008000000}">
      <formula1>$X$16:$AB$16</formula1>
    </dataValidation>
    <dataValidation type="list" sqref="D17" xr:uid="{00000000-0002-0000-0500-000009000000}">
      <formula1>$X$17:$AB$17</formula1>
    </dataValidation>
    <dataValidation type="list" sqref="D18" xr:uid="{00000000-0002-0000-0500-00000A000000}">
      <formula1>$X$18:$AB$18</formula1>
    </dataValidation>
    <dataValidation type="list" sqref="D19" xr:uid="{00000000-0002-0000-0500-00000B000000}">
      <formula1>$X$19:$AB$19</formula1>
    </dataValidation>
    <dataValidation type="list" sqref="D20" xr:uid="{00000000-0002-0000-0500-00000C000000}">
      <formula1>$X$20:$AB$20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20"/>
  <sheetViews>
    <sheetView workbookViewId="0">
      <selection sqref="A1:J1"/>
    </sheetView>
  </sheetViews>
  <sheetFormatPr defaultRowHeight="14.25"/>
  <cols>
    <col min="1" max="1" width="8.5" customWidth="1"/>
    <col min="2" max="2" width="14.625" customWidth="1"/>
    <col min="3" max="3" width="35.75" customWidth="1"/>
    <col min="4" max="4" width="42" customWidth="1"/>
    <col min="5" max="5" width="9" style="23" customWidth="1"/>
    <col min="6" max="6" width="17.5" customWidth="1"/>
    <col min="7" max="7" width="43.5" customWidth="1"/>
    <col min="8" max="8" width="30.875" customWidth="1"/>
    <col min="9" max="9" width="22.25" customWidth="1"/>
    <col min="10" max="10" width="11.25" style="23" customWidth="1"/>
    <col min="24" max="28" width="2" customWidth="1"/>
  </cols>
  <sheetData>
    <row r="1" spans="1:28" s="28" customFormat="1" ht="21.75">
      <c r="A1" s="211" t="s">
        <v>261</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c r="E3" s="48"/>
      <c r="J3" s="48"/>
    </row>
    <row r="4" spans="1:28" s="51" customFormat="1" ht="15.75">
      <c r="A4" s="215" t="s">
        <v>122</v>
      </c>
      <c r="B4" s="217"/>
      <c r="C4" s="215" t="s">
        <v>98</v>
      </c>
      <c r="D4" s="217"/>
      <c r="E4" s="215" t="s">
        <v>99</v>
      </c>
      <c r="F4" s="217"/>
      <c r="G4" s="215" t="s">
        <v>96</v>
      </c>
      <c r="H4" s="216"/>
      <c r="I4" s="216"/>
      <c r="J4" s="217"/>
    </row>
    <row r="5" spans="1:28" s="28" customFormat="1">
      <c r="A5" s="218" t="str">
        <f>IF(COUNT(E9:E20)=0,"",AVERAGE(E9:E20))</f>
        <v/>
      </c>
      <c r="B5" s="220"/>
      <c r="C5" s="236">
        <f>COUNT(E9:E20)/12</f>
        <v>0</v>
      </c>
      <c r="D5" s="238"/>
      <c r="E5" s="227">
        <f>COUNTIFS(D9:D20,"&lt;&gt;",E9:E20,"&lt;"&amp;'Start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c r="E7" s="48"/>
      <c r="J7" s="48"/>
    </row>
    <row r="8" spans="1:28" s="28" customFormat="1" ht="30">
      <c r="A8" s="55" t="s">
        <v>123</v>
      </c>
      <c r="B8" s="56" t="s">
        <v>124</v>
      </c>
      <c r="C8" s="56" t="s">
        <v>125</v>
      </c>
      <c r="D8" s="56" t="s">
        <v>126</v>
      </c>
      <c r="E8" s="56" t="s">
        <v>127</v>
      </c>
      <c r="F8" s="56" t="s">
        <v>128</v>
      </c>
      <c r="G8" s="56" t="s">
        <v>129</v>
      </c>
      <c r="H8" s="56" t="s">
        <v>130</v>
      </c>
      <c r="I8" s="56" t="s">
        <v>131</v>
      </c>
      <c r="J8" s="57" t="s">
        <v>132</v>
      </c>
    </row>
    <row r="9" spans="1:28" s="28" customFormat="1" ht="126.75" customHeight="1">
      <c r="A9" s="45" t="s">
        <v>262</v>
      </c>
      <c r="B9" s="46" t="s">
        <v>263</v>
      </c>
      <c r="C9" s="47" t="s">
        <v>264</v>
      </c>
      <c r="D9" s="26"/>
      <c r="E9" s="110"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No formal oversight.</v>
      </c>
      <c r="Y9" t="str">
        <f>IFERROR(VLOOKUP($A9&amp;"|1",'Criteria Library'!$B$5:$F$479,5,FALSE),"")</f>
        <v>The elected Board through the Treasurer.</v>
      </c>
      <c r="Z9" t="str">
        <f>IFERROR(VLOOKUP($A9&amp;"|2",'Criteria Library'!$B$5:$F$479,5,FALSE),"")</f>
        <v>A Finance Committee consisting of the Treasurer, Chair and one other Board member oversees finances on behalf of the Board.</v>
      </c>
      <c r="AA9" t="str">
        <f>IFERROR(VLOOKUP($A9&amp;"|3",'Criteria Library'!$B$5:$F$479,5,FALSE),"")</f>
        <v>A Board based Finance Committee established by Terms of Reference that includes at least one independent external member.</v>
      </c>
      <c r="AB9" t="str">
        <f>IFERROR(VLOOKUP($A9&amp;"|4",'Criteria Library'!$B$5:$F$479,5,FALSE),"")</f>
        <v>A Board appointed Finance and or Audit Committee has been established that oversees and reports to the Board.</v>
      </c>
    </row>
    <row r="10" spans="1:28" s="28" customFormat="1" ht="126.75" customHeight="1">
      <c r="A10" s="45" t="s">
        <v>265</v>
      </c>
      <c r="B10" s="46" t="s">
        <v>266</v>
      </c>
      <c r="C10" s="47" t="s">
        <v>267</v>
      </c>
      <c r="D10" s="26"/>
      <c r="E10" s="110"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No specific management responsibility.</v>
      </c>
      <c r="Y10" t="str">
        <f>IFERROR(VLOOKUP($A10&amp;"|1",'Criteria Library'!$B$5:$F$479,5,FALSE),"")</f>
        <v>Treasurer.</v>
      </c>
      <c r="Z10" t="str">
        <f>IFERROR(VLOOKUP($A10&amp;"|2",'Criteria Library'!$B$5:$F$479,5,FALSE),"")</f>
        <v>Treasurer supported by an external accountant.</v>
      </c>
      <c r="AA10" t="str">
        <f>IFERROR(VLOOKUP($A10&amp;"|3",'Criteria Library'!$B$5:$F$479,5,FALSE),"")</f>
        <v>Accounting Technician, Accountant or Finance Manager employed by the NOC, reporting to the S.G. and Finance Committee (F.C.).</v>
      </c>
      <c r="AB10" t="str">
        <f>IFERROR(VLOOKUP($A10&amp;"|4",'Criteria Library'!$B$5:$F$479,5,FALSE),"")</f>
        <v>The NOC has a finance department that develops, manages and reports all finances and financial forecasts for the NOC.</v>
      </c>
    </row>
    <row r="11" spans="1:28" s="28" customFormat="1" ht="126.75" customHeight="1">
      <c r="A11" s="45" t="s">
        <v>268</v>
      </c>
      <c r="B11" s="46" t="s">
        <v>269</v>
      </c>
      <c r="C11" s="47" t="s">
        <v>270</v>
      </c>
      <c r="D11" s="26"/>
      <c r="E11" s="110"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No procedures</v>
      </c>
      <c r="Y11" t="str">
        <f>IFERROR(VLOOKUP($A11&amp;"|1",'Criteria Library'!$B$5:$F$479,5,FALSE),"")</f>
        <v>The NOC has a few procedures and controls that are not documented but are well understood.</v>
      </c>
      <c r="Z11" t="str">
        <f>IFERROR(VLOOKUP($A11&amp;"|2",'Criteria Library'!$B$5:$F$479,5,FALSE),"")</f>
        <v>Some written guidelines established to cover our financial procedures. These follow established accounting practices.</v>
      </c>
      <c r="AA11" t="str">
        <f>IFERROR(VLOOKUP($A11&amp;"|3",'Criteria Library'!$B$5:$F$479,5,FALSE),"")</f>
        <v>The NOC has a financial policy and procedures manual that guides board, management and staff on how to operate their NOC's finances.</v>
      </c>
      <c r="AB11" t="str">
        <f>IFERROR(VLOOKUP($A11&amp;"|4",'Criteria Library'!$B$5:$F$479,5,FALSE),"")</f>
        <v>The NOC regularly reviews financial risks &amp; communicates financial policies and procedures, delegated authorities, segregation of duties, to all staff, management and Board.</v>
      </c>
    </row>
    <row r="12" spans="1:28" s="28" customFormat="1" ht="126.75" customHeight="1">
      <c r="A12" s="45" t="s">
        <v>271</v>
      </c>
      <c r="B12" s="46" t="s">
        <v>186</v>
      </c>
      <c r="C12" s="47" t="s">
        <v>272</v>
      </c>
      <c r="D12" s="26"/>
      <c r="E12" s="110"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No planning</v>
      </c>
      <c r="Y12" t="str">
        <f>IFERROR(VLOOKUP($A12&amp;"|1",'Criteria Library'!$B$5:$F$479,5,FALSE),"")</f>
        <v>We have no formal planning process; the NOC reacts to opportunities directed by the S.G. and Board.</v>
      </c>
      <c r="Z12" t="str">
        <f>IFERROR(VLOOKUP($A12&amp;"|2",'Criteria Library'!$B$5:$F$479,5,FALSE),"")</f>
        <v>We have planned annual activities approved formally by the S.G. and Board that go ahead if there is funding.</v>
      </c>
      <c r="AA12" t="str">
        <f>IFERROR(VLOOKUP($A12&amp;"|3",'Criteria Library'!$B$5:$F$479,5,FALSE),"")</f>
        <v>An annual Budget is formally presented to the AGM by the Board that is loosely aligned to the NOC Strategic Plan.</v>
      </c>
      <c r="AB12" t="str">
        <f>IFERROR(VLOOKUP($A12&amp;"|4",'Criteria Library'!$B$5:$F$479,5,FALSE),"")</f>
        <v>Quadrennial financial forecasting and detailed annual budgeting process and procedures that are completely aligned to the Annual Strategic Plan and the Quadrennial strategic objectives.</v>
      </c>
    </row>
    <row r="13" spans="1:28" s="28" customFormat="1" ht="126.75" customHeight="1">
      <c r="A13" s="45" t="s">
        <v>273</v>
      </c>
      <c r="B13" s="46" t="s">
        <v>274</v>
      </c>
      <c r="C13" s="47" t="s">
        <v>275</v>
      </c>
      <c r="D13" s="26"/>
      <c r="E13" s="110"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None</v>
      </c>
      <c r="Y13" t="str">
        <f>IFERROR(VLOOKUP($A13&amp;"|1",'Criteria Library'!$B$5:$F$479,5,FALSE),"")</f>
        <v>The Treasurer produces an Income Statement/Profit and Loss or Statement of Financial Performance when requested by the S.G. and Board.</v>
      </c>
      <c r="Z13" t="str">
        <f>IFERROR(VLOOKUP($A13&amp;"|2",'Criteria Library'!$B$5:$F$479,5,FALSE),"")</f>
        <v>The Treasurer and S.G. produce an Income Statement/Profit and Loss or Statement of Financial Performance and a Balance Sheet at least three times a year for the Board and annually for the membership.</v>
      </c>
      <c r="AA13" t="str">
        <f>IFERROR(VLOOKUP($A13&amp;"|3",'Criteria Library'!$B$5:$F$479,5,FALSE),"")</f>
        <v>The NOC produces full financial statements (balance sheet, profit and loss) which are reviewed by the Finance Committee and are presented and accepted by the Board regularly.</v>
      </c>
      <c r="AB13" t="str">
        <f>IFERROR(VLOOKUP($A13&amp;"|4",'Criteria Library'!$B$5:$F$479,5,FALSE),"")</f>
        <v>Monthly financial, budget and grant analysis, cash flow, financial forecast and statements reported to S.G. and Finance Committee &amp; Board. Annual audit is prepared and completed for each year end before the Financial year's end.</v>
      </c>
    </row>
    <row r="14" spans="1:28" s="28" customFormat="1" ht="126.75" customHeight="1">
      <c r="A14" s="45" t="s">
        <v>276</v>
      </c>
      <c r="B14" s="46" t="s">
        <v>277</v>
      </c>
      <c r="C14" s="47" t="s">
        <v>278</v>
      </c>
      <c r="D14" s="26"/>
      <c r="E14" s="110"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None</v>
      </c>
      <c r="Y14" t="str">
        <f>IFERROR(VLOOKUP($A14&amp;"|1",'Criteria Library'!$B$5:$F$479,5,FALSE),"")</f>
        <v>The cheque book is reconciled each time cheques are written. S.G. and the Board advise when funds should come in and be spent.</v>
      </c>
      <c r="Z14" t="str">
        <f>IFERROR(VLOOKUP($A14&amp;"|2",'Criteria Library'!$B$5:$F$479,5,FALSE),"")</f>
        <v>Bank inflows and outflows are recorded and reported in excel to the S.G. and Finance Committee.</v>
      </c>
      <c r="AA14" t="str">
        <f>IFERROR(VLOOKUP($A14&amp;"|3",'Criteria Library'!$B$5:$F$479,5,FALSE),"")</f>
        <v>Cash reconciliations, analysis and projections form part of monthly financial process and reporting.</v>
      </c>
      <c r="AB14" t="str">
        <f>IFERROR(VLOOKUP($A14&amp;"|4",'Criteria Library'!$B$5:$F$479,5,FALSE),"")</f>
        <v>Cash forecast prepared with annual budget, cash reconciled, managed, analysed and reported, all forming part of monthly reporting to S.G., Finance Committee &amp; Board.</v>
      </c>
    </row>
    <row r="15" spans="1:28" s="28" customFormat="1" ht="126.75" customHeight="1">
      <c r="A15" s="45" t="s">
        <v>279</v>
      </c>
      <c r="B15" s="46" t="s">
        <v>280</v>
      </c>
      <c r="C15" s="47" t="s">
        <v>281</v>
      </c>
      <c r="D15" s="26"/>
      <c r="E15" s="110"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None</v>
      </c>
      <c r="Y15" t="str">
        <f>IFERROR(VLOOKUP($A15&amp;"|1",'Criteria Library'!$B$5:$F$479,5,FALSE),"")</f>
        <v>We use excel and manually list cheques and deposits as they are paid and received.</v>
      </c>
      <c r="Z15" t="str">
        <f>IFERROR(VLOOKUP($A15&amp;"|2",'Criteria Library'!$B$5:$F$479,5,FALSE),"")</f>
        <v>We use excel and manually list cheques and deposits as they are paid and received.</v>
      </c>
      <c r="AA15" t="str">
        <f>IFERROR(VLOOKUP($A15&amp;"|3",'Criteria Library'!$B$5:$F$479,5,FALSE),"")</f>
        <v>The NOC uses accounting software for example: MYOB, Sage or QuickBooks.</v>
      </c>
      <c r="AB15" t="str">
        <f>IFERROR(VLOOKUP($A15&amp;"|4",'Criteria Library'!$B$5:$F$479,5,FALSE),"")</f>
        <v>The NOC has a customised financial system that meets its specific needs.</v>
      </c>
    </row>
    <row r="16" spans="1:28" s="28" customFormat="1" ht="126.75" customHeight="1">
      <c r="A16" s="45" t="s">
        <v>282</v>
      </c>
      <c r="B16" s="46" t="s">
        <v>283</v>
      </c>
      <c r="C16" s="47" t="s">
        <v>284</v>
      </c>
      <c r="D16" s="26"/>
      <c r="E16" s="110"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When requested</v>
      </c>
      <c r="Y16" t="str">
        <f>IFERROR(VLOOKUP($A16&amp;"|1",'Criteria Library'!$B$5:$F$479,5,FALSE),"")</f>
        <v>Reporting of grants actioned periodically and when time permits</v>
      </c>
      <c r="Z16" t="str">
        <f>IFERROR(VLOOKUP($A16&amp;"|2",'Criteria Library'!$B$5:$F$479,5,FALSE),"")</f>
        <v>Quarterly or when requested by S.G. and Board.</v>
      </c>
      <c r="AA16" t="str">
        <f>IFERROR(VLOOKUP($A16&amp;"|3",'Criteria Library'!$B$5:$F$479,5,FALSE),"")</f>
        <v>Grants reported bi-monthly or two months after the event.</v>
      </c>
      <c r="AB16" t="str">
        <f>IFERROR(VLOOKUP($A16&amp;"|4",'Criteria Library'!$B$5:$F$479,5,FALSE),"")</f>
        <v>Grant budget and actuals discussed and reported monthly to S.G. and Finance Committee.</v>
      </c>
    </row>
    <row r="17" spans="1:28" s="28" customFormat="1" ht="126.75" customHeight="1">
      <c r="A17" s="45" t="s">
        <v>285</v>
      </c>
      <c r="B17" s="46" t="s">
        <v>286</v>
      </c>
      <c r="C17" s="47" t="s">
        <v>287</v>
      </c>
      <c r="D17" s="26"/>
      <c r="E17" s="110" t="str">
        <f>IF(D17="","",SUMIFS('Criteria Library'!$E$5:$E$479,'Criteria Library'!$A$5:$A$479,A17,'Criteria Library'!$F$5:$F$479,D17))</f>
        <v/>
      </c>
      <c r="F17" s="46" t="str">
        <f>IF(D17="","",IF(E17&gt;='Start Here'!$E$5,"Target achieved — Level "&amp;E17&amp;" meets or exceeds target Level "&amp;'Start Here'!$E$5&amp;".","Current Level "&amp;E17&amp;" → Target Level "&amp;'Start Here'!$E$5&amp;" ("&amp;('Start Here'!$E$5-E17)&amp;" level(s) to close)."))</f>
        <v/>
      </c>
      <c r="G17" s="47" t="str">
        <f>IF(D17="","",IF(E17&gt;='Start Here'!$E$5,"Target achieved. Sustain current practice and review periodically.",IF(AND(E17&lt;1,'Start Here'!$E$5&gt;=1),"LEVEL 1 — "&amp;VLOOKUP(A17&amp;"|1",'Criteria Library'!$B$5:$G$479,6,FALSE)&amp;CHAR(10)&amp;CHAR(10),"")&amp;IF(AND(E17&lt;2,'Start Here'!$E$5&gt;=2),"LEVEL 2 — "&amp;VLOOKUP(A17&amp;"|2",'Criteria Library'!$B$5:$G$479,6,FALSE)&amp;CHAR(10)&amp;CHAR(10),"")&amp;IF(AND(E17&lt;3,'Start Here'!$E$5&gt;=3),"LEVEL 3 — "&amp;VLOOKUP(A17&amp;"|3",'Criteria Library'!$B$5:$G$479,6,FALSE)&amp;CHAR(10)&amp;CHAR(10),"")&amp;IF(AND(E17&lt;4,'Start Here'!$E$5&gt;=4),"LEVEL 4 — "&amp;VLOOKUP(A17&amp;"|4",'Criteria Library'!$B$5:$G$479,6,FALSE),"")))</f>
        <v/>
      </c>
      <c r="H17" s="26"/>
      <c r="I17" s="26"/>
      <c r="J17" s="50"/>
      <c r="X17" t="str">
        <f>IFERROR(VLOOKUP($A17&amp;"|0",'Criteria Library'!$B$5:$F$479,5,FALSE),"")</f>
        <v>We do not know</v>
      </c>
      <c r="Y17" t="str">
        <f>IFERROR(VLOOKUP($A17&amp;"|1",'Criteria Library'!$B$5:$F$479,5,FALSE),"")</f>
        <v>Up to USD175,000</v>
      </c>
      <c r="Z17" t="str">
        <f>IFERROR(VLOOKUP($A17&amp;"|2",'Criteria Library'!$B$5:$F$479,5,FALSE),"")</f>
        <v>Up to USD500,000</v>
      </c>
      <c r="AA17" t="str">
        <f>IFERROR(VLOOKUP($A17&amp;"|3",'Criteria Library'!$B$5:$F$479,5,FALSE),"")</f>
        <v>Up to USD2.0m</v>
      </c>
      <c r="AB17" t="str">
        <f>IFERROR(VLOOKUP($A17&amp;"|4",'Criteria Library'!$B$5:$F$479,5,FALSE),"")</f>
        <v>More than USD2.0m</v>
      </c>
    </row>
    <row r="18" spans="1:28" s="28" customFormat="1" ht="126.75" customHeight="1">
      <c r="A18" s="45" t="s">
        <v>288</v>
      </c>
      <c r="B18" s="46" t="s">
        <v>289</v>
      </c>
      <c r="C18" s="47" t="s">
        <v>290</v>
      </c>
      <c r="D18" s="26"/>
      <c r="E18" s="110" t="str">
        <f>IF(D18="","",SUMIFS('Criteria Library'!$E$5:$E$479,'Criteria Library'!$A$5:$A$479,A18,'Criteria Library'!$F$5:$F$479,D18))</f>
        <v/>
      </c>
      <c r="F18" s="46" t="str">
        <f>IF(D18="","",IF(E18&gt;='Start Here'!$E$5,"Target achieved — Level "&amp;E18&amp;" meets or exceeds target Level "&amp;'Start Here'!$E$5&amp;".","Current Level "&amp;E18&amp;" → Target Level "&amp;'Start Here'!$E$5&amp;" ("&amp;('Start Here'!$E$5-E18)&amp;" level(s) to close)."))</f>
        <v/>
      </c>
      <c r="G18" s="47" t="str">
        <f>IF(D18="","",IF(E18&gt;='Start Here'!$E$5,"Target achieved. Sustain current practice and review periodically.",IF(AND(E18&lt;1,'Start Here'!$E$5&gt;=1),"LEVEL 1 — "&amp;VLOOKUP(A18&amp;"|1",'Criteria Library'!$B$5:$G$479,6,FALSE)&amp;CHAR(10)&amp;CHAR(10),"")&amp;IF(AND(E18&lt;2,'Start Here'!$E$5&gt;=2),"LEVEL 2 — "&amp;VLOOKUP(A18&amp;"|2",'Criteria Library'!$B$5:$G$479,6,FALSE)&amp;CHAR(10)&amp;CHAR(10),"")&amp;IF(AND(E18&lt;3,'Start Here'!$E$5&gt;=3),"LEVEL 3 — "&amp;VLOOKUP(A18&amp;"|3",'Criteria Library'!$B$5:$G$479,6,FALSE)&amp;CHAR(10)&amp;CHAR(10),"")&amp;IF(AND(E18&lt;4,'Start Here'!$E$5&gt;=4),"LEVEL 4 — "&amp;VLOOKUP(A18&amp;"|4",'Criteria Library'!$B$5:$G$479,6,FALSE),"")))</f>
        <v/>
      </c>
      <c r="H18" s="26"/>
      <c r="I18" s="26"/>
      <c r="J18" s="50"/>
      <c r="X18" t="str">
        <f>IFERROR(VLOOKUP($A18&amp;"|0",'Criteria Library'!$B$5:$F$479,5,FALSE),"")</f>
        <v>None</v>
      </c>
      <c r="Y18" t="str">
        <f>IFERROR(VLOOKUP($A18&amp;"|1",'Criteria Library'!$B$5:$F$479,5,FALSE),"")</f>
        <v>More than 90% of our funding comes from OS/IOC.</v>
      </c>
      <c r="Z18" t="str">
        <f>IFERROR(VLOOKUP($A18&amp;"|2",'Criteria Library'!$B$5:$F$479,5,FALSE),"")</f>
        <v>Up to 90% of NOC funding comes from OS/IOC.</v>
      </c>
      <c r="AA18" t="str">
        <f>IFERROR(VLOOKUP($A18&amp;"|3",'Criteria Library'!$B$5:$F$479,5,FALSE),"")</f>
        <v>Up to 50% of NOC funding comes from OS/IOC.</v>
      </c>
      <c r="AB18" t="str">
        <f>IFERROR(VLOOKUP($A18&amp;"|4",'Criteria Library'!$B$5:$F$479,5,FALSE),"")</f>
        <v>Less than 25% of NOC funding comes from OS/IOC.</v>
      </c>
    </row>
    <row r="19" spans="1:28" s="28" customFormat="1" ht="126.75" customHeight="1">
      <c r="A19" s="45" t="s">
        <v>291</v>
      </c>
      <c r="B19" s="46" t="s">
        <v>292</v>
      </c>
      <c r="C19" s="47" t="s">
        <v>293</v>
      </c>
      <c r="D19" s="26"/>
      <c r="E19" s="110" t="str">
        <f>IF(D19="","",SUMIFS('Criteria Library'!$E$5:$E$479,'Criteria Library'!$A$5:$A$479,A19,'Criteria Library'!$F$5:$F$479,D19))</f>
        <v/>
      </c>
      <c r="F19" s="46" t="str">
        <f>IF(D19="","",IF(E19&gt;='Start Here'!$E$5,"Target achieved — Level "&amp;E19&amp;" meets or exceeds target Level "&amp;'Start Here'!$E$5&amp;".","Current Level "&amp;E19&amp;" → Target Level "&amp;'Start Here'!$E$5&amp;" ("&amp;('Start Here'!$E$5-E19)&amp;" level(s) to close)."))</f>
        <v/>
      </c>
      <c r="G19" s="47" t="str">
        <f>IF(D19="","",IF(E19&gt;='Start Here'!$E$5,"Target achieved. Sustain current practice and review periodically.",IF(AND(E19&lt;1,'Start Here'!$E$5&gt;=1),"LEVEL 1 — "&amp;VLOOKUP(A19&amp;"|1",'Criteria Library'!$B$5:$G$479,6,FALSE)&amp;CHAR(10)&amp;CHAR(10),"")&amp;IF(AND(E19&lt;2,'Start Here'!$E$5&gt;=2),"LEVEL 2 — "&amp;VLOOKUP(A19&amp;"|2",'Criteria Library'!$B$5:$G$479,6,FALSE)&amp;CHAR(10)&amp;CHAR(10),"")&amp;IF(AND(E19&lt;3,'Start Here'!$E$5&gt;=3),"LEVEL 3 — "&amp;VLOOKUP(A19&amp;"|3",'Criteria Library'!$B$5:$G$479,6,FALSE)&amp;CHAR(10)&amp;CHAR(10),"")&amp;IF(AND(E19&lt;4,'Start Here'!$E$5&gt;=4),"LEVEL 4 — "&amp;VLOOKUP(A19&amp;"|4",'Criteria Library'!$B$5:$G$479,6,FALSE),"")))</f>
        <v/>
      </c>
      <c r="H19" s="26"/>
      <c r="I19" s="26"/>
      <c r="J19" s="50"/>
      <c r="X19" t="str">
        <f>IFERROR(VLOOKUP($A19&amp;"|0",'Criteria Library'!$B$5:$F$479,5,FALSE),"")</f>
        <v>100% of all income</v>
      </c>
      <c r="Y19" t="str">
        <f>IFERROR(VLOOKUP($A19&amp;"|1",'Criteria Library'!$B$5:$F$479,5,FALSE),"")</f>
        <v>Between 75% and 100% of all income</v>
      </c>
      <c r="Z19" t="str">
        <f>IFERROR(VLOOKUP($A19&amp;"|2",'Criteria Library'!$B$5:$F$479,5,FALSE),"")</f>
        <v>Between 50% and 75% of all income</v>
      </c>
      <c r="AA19" t="str">
        <f>IFERROR(VLOOKUP($A19&amp;"|3",'Criteria Library'!$B$5:$F$479,5,FALSE),"")</f>
        <v>Between 20% and 50% of all income.</v>
      </c>
      <c r="AB19" t="str">
        <f>IFERROR(VLOOKUP($A19&amp;"|4",'Criteria Library'!$B$5:$F$479,5,FALSE),"")</f>
        <v>Less than 20% of all income</v>
      </c>
    </row>
    <row r="20" spans="1:28" s="28" customFormat="1" ht="126.75" customHeight="1">
      <c r="A20" s="45" t="s">
        <v>294</v>
      </c>
      <c r="B20" s="46" t="s">
        <v>295</v>
      </c>
      <c r="C20" s="47" t="s">
        <v>296</v>
      </c>
      <c r="D20" s="26"/>
      <c r="E20" s="110" t="str">
        <f>IF(D20="","",SUMIFS('Criteria Library'!$E$5:$E$479,'Criteria Library'!$A$5:$A$479,A20,'Criteria Library'!$F$5:$F$479,D20))</f>
        <v/>
      </c>
      <c r="F20" s="46" t="str">
        <f>IF(D20="","",IF(E20&gt;='Start Here'!$E$5,"Target achieved — Level "&amp;E20&amp;" meets or exceeds target Level "&amp;'Start Here'!$E$5&amp;".","Current Level "&amp;E20&amp;" → Target Level "&amp;'Start Here'!$E$5&amp;" ("&amp;('Start Here'!$E$5-E20)&amp;" level(s) to close)."))</f>
        <v/>
      </c>
      <c r="G20" s="47" t="str">
        <f>IF(D20="","",IF(E20&gt;='Start Here'!$E$5,"Target achieved. Sustain current practice and review periodically.",IF(AND(E20&lt;1,'Start Here'!$E$5&gt;=1),"LEVEL 1 — "&amp;VLOOKUP(A20&amp;"|1",'Criteria Library'!$B$5:$G$479,6,FALSE)&amp;CHAR(10)&amp;CHAR(10),"")&amp;IF(AND(E20&lt;2,'Start Here'!$E$5&gt;=2),"LEVEL 2 — "&amp;VLOOKUP(A20&amp;"|2",'Criteria Library'!$B$5:$G$479,6,FALSE)&amp;CHAR(10)&amp;CHAR(10),"")&amp;IF(AND(E20&lt;3,'Start Here'!$E$5&gt;=3),"LEVEL 3 — "&amp;VLOOKUP(A20&amp;"|3",'Criteria Library'!$B$5:$G$479,6,FALSE)&amp;CHAR(10)&amp;CHAR(10),"")&amp;IF(AND(E20&lt;4,'Start Here'!$E$5&gt;=4),"LEVEL 4 — "&amp;VLOOKUP(A20&amp;"|4",'Criteria Library'!$B$5:$G$479,6,FALSE),"")))</f>
        <v/>
      </c>
      <c r="H20" s="26"/>
      <c r="I20" s="26"/>
      <c r="J20" s="50"/>
      <c r="X20" t="str">
        <f>IFERROR(VLOOKUP($A20&amp;"|0",'Criteria Library'!$B$5:$F$479,5,FALSE),"")</f>
        <v>No money to manage.</v>
      </c>
      <c r="Y20" t="str">
        <f>IFERROR(VLOOKUP($A20&amp;"|1",'Criteria Library'!$B$5:$F$479,5,FALSE),"")</f>
        <v>We put all of our funds into a single bank account.</v>
      </c>
      <c r="Z20" t="str">
        <f>IFERROR(VLOOKUP($A20&amp;"|2",'Criteria Library'!$B$5:$F$479,5,FALSE),"")</f>
        <v>The NOC has multiple accounts to service each operational area.</v>
      </c>
      <c r="AA20" t="str">
        <f>IFERROR(VLOOKUP($A20&amp;"|3",'Criteria Library'!$B$5:$F$479,5,FALSE),"")</f>
        <v>The NOC manages its finances through cost centres that are controlled by different parts of the organisation.</v>
      </c>
      <c r="AB20" t="str">
        <f>IFERROR(VLOOKUP($A20&amp;"|4",'Criteria Library'!$B$5:$F$479,5,FALSE),"")</f>
        <v>The NOC has an investment portfolio to help maximise its revenue.</v>
      </c>
    </row>
  </sheetData>
  <mergeCells count="10">
    <mergeCell ref="A1:J1"/>
    <mergeCell ref="A2:J2"/>
    <mergeCell ref="A4:B4"/>
    <mergeCell ref="A5:B6"/>
    <mergeCell ref="C4:D4"/>
    <mergeCell ref="C5:D6"/>
    <mergeCell ref="E4:F4"/>
    <mergeCell ref="E5:F6"/>
    <mergeCell ref="G4:J4"/>
    <mergeCell ref="G5:J6"/>
  </mergeCells>
  <conditionalFormatting sqref="E9:E20">
    <cfRule type="expression" dxfId="56" priority="1">
      <formula>AND($D9&lt;&gt;"",$E9=0)</formula>
    </cfRule>
    <cfRule type="expression" dxfId="55" priority="2">
      <formula>AND($D9&lt;&gt;"",$E9=1)</formula>
    </cfRule>
    <cfRule type="expression" dxfId="54" priority="3">
      <formula>AND($D9&lt;&gt;"",$E9=2)</formula>
    </cfRule>
    <cfRule type="expression" dxfId="53" priority="4">
      <formula>AND($D9&lt;&gt;"",$E9=3)</formula>
    </cfRule>
    <cfRule type="expression" dxfId="52" priority="5">
      <formula>AND($D9&lt;&gt;"",$E9=4)</formula>
    </cfRule>
  </conditionalFormatting>
  <dataValidations count="13">
    <dataValidation type="list" sqref="J9:J20" xr:uid="{00000000-0002-0000-0600-000000000000}">
      <formula1>"High,Medium,Low,Unverified"</formula1>
    </dataValidation>
    <dataValidation type="list" sqref="D9" xr:uid="{00000000-0002-0000-0600-000001000000}">
      <formula1>$X$9:$AB$9</formula1>
    </dataValidation>
    <dataValidation type="list" sqref="D10" xr:uid="{00000000-0002-0000-0600-000002000000}">
      <formula1>$X$10:$AB$10</formula1>
    </dataValidation>
    <dataValidation type="list" sqref="D11" xr:uid="{00000000-0002-0000-0600-000003000000}">
      <formula1>$X$11:$AB$11</formula1>
    </dataValidation>
    <dataValidation type="list" sqref="D12" xr:uid="{00000000-0002-0000-0600-000004000000}">
      <formula1>$X$12:$AB$12</formula1>
    </dataValidation>
    <dataValidation type="list" sqref="D13" xr:uid="{00000000-0002-0000-0600-000005000000}">
      <formula1>$X$13:$AB$13</formula1>
    </dataValidation>
    <dataValidation type="list" sqref="D14" xr:uid="{00000000-0002-0000-0600-000006000000}">
      <formula1>$X$14:$AB$14</formula1>
    </dataValidation>
    <dataValidation type="list" sqref="D15" xr:uid="{00000000-0002-0000-0600-000007000000}">
      <formula1>$X$15:$AB$15</formula1>
    </dataValidation>
    <dataValidation type="list" sqref="D16" xr:uid="{00000000-0002-0000-0600-000008000000}">
      <formula1>$X$16:$AB$16</formula1>
    </dataValidation>
    <dataValidation type="list" sqref="D17" xr:uid="{00000000-0002-0000-0600-000009000000}">
      <formula1>$X$17:$AB$17</formula1>
    </dataValidation>
    <dataValidation type="list" sqref="D18" xr:uid="{00000000-0002-0000-0600-00000A000000}">
      <formula1>$X$18:$AB$18</formula1>
    </dataValidation>
    <dataValidation type="list" sqref="D19" xr:uid="{00000000-0002-0000-0600-00000B000000}">
      <formula1>$X$19:$AB$19</formula1>
    </dataValidation>
    <dataValidation type="list" sqref="D20" xr:uid="{00000000-0002-0000-0600-00000C000000}">
      <formula1>$X$20:$AB$20</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22"/>
  <sheetViews>
    <sheetView workbookViewId="0">
      <selection sqref="A1:J1"/>
    </sheetView>
  </sheetViews>
  <sheetFormatPr defaultRowHeight="14.25"/>
  <cols>
    <col min="1" max="1" width="9.5" customWidth="1"/>
    <col min="2" max="2" width="17.75" customWidth="1"/>
    <col min="3" max="3" width="28" customWidth="1"/>
    <col min="4" max="4" width="42" customWidth="1"/>
    <col min="5" max="5" width="9" style="23" customWidth="1"/>
    <col min="6" max="6" width="18.5" customWidth="1"/>
    <col min="7" max="7" width="47.25" customWidth="1"/>
    <col min="8" max="8" width="29.625" customWidth="1"/>
    <col min="9" max="9" width="25.125" customWidth="1"/>
    <col min="10" max="10" width="15" style="23" customWidth="1"/>
    <col min="24" max="28" width="2" customWidth="1"/>
  </cols>
  <sheetData>
    <row r="1" spans="1:28" s="28" customFormat="1" ht="21.75">
      <c r="A1" s="211" t="s">
        <v>297</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c r="E3" s="48"/>
      <c r="J3" s="48"/>
    </row>
    <row r="4" spans="1:28" s="51" customFormat="1" ht="15.75">
      <c r="A4" s="215" t="s">
        <v>122</v>
      </c>
      <c r="B4" s="217"/>
      <c r="C4" s="215" t="s">
        <v>98</v>
      </c>
      <c r="D4" s="217"/>
      <c r="E4" s="215" t="s">
        <v>99</v>
      </c>
      <c r="F4" s="217"/>
      <c r="G4" s="215" t="s">
        <v>96</v>
      </c>
      <c r="H4" s="216"/>
      <c r="I4" s="216"/>
      <c r="J4" s="217"/>
    </row>
    <row r="5" spans="1:28" s="28" customFormat="1">
      <c r="A5" s="218" t="str">
        <f>IF(COUNT(E9:E21)=0,"",AVERAGE(E9:E21))</f>
        <v/>
      </c>
      <c r="B5" s="220"/>
      <c r="C5" s="236">
        <f>COUNT(E9:E21)/13</f>
        <v>0</v>
      </c>
      <c r="D5" s="238"/>
      <c r="E5" s="227">
        <f>COUNTIFS(D9:D21,"&lt;&gt;",E9:E21,"&lt;"&amp;'Start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c r="E7" s="48"/>
      <c r="J7" s="48"/>
    </row>
    <row r="8" spans="1:28" s="51" customFormat="1" ht="31.5">
      <c r="A8" s="52" t="s">
        <v>123</v>
      </c>
      <c r="B8" s="44" t="s">
        <v>124</v>
      </c>
      <c r="C8" s="44" t="s">
        <v>125</v>
      </c>
      <c r="D8" s="44" t="s">
        <v>126</v>
      </c>
      <c r="E8" s="44" t="s">
        <v>127</v>
      </c>
      <c r="F8" s="44" t="s">
        <v>128</v>
      </c>
      <c r="G8" s="44" t="s">
        <v>129</v>
      </c>
      <c r="H8" s="44" t="s">
        <v>130</v>
      </c>
      <c r="I8" s="44" t="s">
        <v>131</v>
      </c>
      <c r="J8" s="53" t="s">
        <v>132</v>
      </c>
    </row>
    <row r="9" spans="1:28" s="28" customFormat="1" ht="125.25" customHeight="1">
      <c r="A9" s="45" t="s">
        <v>298</v>
      </c>
      <c r="B9" s="46" t="s">
        <v>299</v>
      </c>
      <c r="C9" s="47" t="s">
        <v>300</v>
      </c>
      <c r="D9" s="26"/>
      <c r="E9" s="110"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We don't</v>
      </c>
      <c r="Y9" t="str">
        <f>IFERROR(VLOOKUP($A9&amp;"|1",'Criteria Library'!$B$5:$F$479,5,FALSE),"")</f>
        <v>We communicate informally, verbally and/or by the occasional notice.</v>
      </c>
      <c r="Z9" t="str">
        <f>IFERROR(VLOOKUP($A9&amp;"|2",'Criteria Library'!$B$5:$F$479,5,FALSE),"")</f>
        <v>We communicate primarily by phone and an NOC notice board.</v>
      </c>
      <c r="AA9" t="str">
        <f>IFERROR(VLOOKUP($A9&amp;"|3",'Criteria Library'!$B$5:$F$479,5,FALSE),"")</f>
        <v>We primarily use email and web-based methods of communication.</v>
      </c>
      <c r="AB9" t="str">
        <f>IFERROR(VLOOKUP($A9&amp;"|4",'Criteria Library'!$B$5:$F$479,5,FALSE),"")</f>
        <v>We use a range of methods, but rely on interactive web-based communication reinforced by personal contact.</v>
      </c>
    </row>
    <row r="10" spans="1:28" s="28" customFormat="1" ht="125.25" customHeight="1">
      <c r="A10" s="45" t="s">
        <v>301</v>
      </c>
      <c r="B10" s="46" t="s">
        <v>186</v>
      </c>
      <c r="C10" s="47" t="s">
        <v>302</v>
      </c>
      <c r="D10" s="26"/>
      <c r="E10" s="110"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We have no plan</v>
      </c>
      <c r="Y10" t="str">
        <f>IFERROR(VLOOKUP($A10&amp;"|1",'Criteria Library'!$B$5:$F$479,5,FALSE),"")</f>
        <v>We plan to market our activities on an ad-hoc basis.</v>
      </c>
      <c r="Z10" t="str">
        <f>IFERROR(VLOOKUP($A10&amp;"|2",'Criteria Library'!$B$5:$F$479,5,FALSE),"")</f>
        <v>Our marketing plan is driven by outside agencies, usually potential sponsors or government.</v>
      </c>
      <c r="AA10" t="str">
        <f>IFERROR(VLOOKUP($A10&amp;"|3",'Criteria Library'!$B$5:$F$479,5,FALSE),"")</f>
        <v>The marketing plan is developed internally over the quadrennial period</v>
      </c>
      <c r="AB10" t="str">
        <f>IFERROR(VLOOKUP($A10&amp;"|4",'Criteria Library'!$B$5:$F$479,5,FALSE),"")</f>
        <v>The marketing plan is internally developed beyond a 4 year period.</v>
      </c>
    </row>
    <row r="11" spans="1:28" s="28" customFormat="1" ht="125.25" customHeight="1">
      <c r="A11" s="45" t="s">
        <v>303</v>
      </c>
      <c r="B11" s="46" t="s">
        <v>304</v>
      </c>
      <c r="C11" s="47" t="s">
        <v>305</v>
      </c>
      <c r="D11" s="26"/>
      <c r="E11" s="110"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We have no marketing</v>
      </c>
      <c r="Y11" t="str">
        <f>IFERROR(VLOOKUP($A11&amp;"|1",'Criteria Library'!$B$5:$F$479,5,FALSE),"")</f>
        <v>We plan to market our activities on an ad-hoc basis.</v>
      </c>
      <c r="Z11" t="str">
        <f>IFERROR(VLOOKUP($A11&amp;"|2",'Criteria Library'!$B$5:$F$479,5,FALSE),"")</f>
        <v>Our marketing plan is driven by outside agencies, usually potential sponsors or government.</v>
      </c>
      <c r="AA11" t="str">
        <f>IFERROR(VLOOKUP($A11&amp;"|3",'Criteria Library'!$B$5:$F$479,5,FALSE),"")</f>
        <v>The marketing plan is developed internally over the quadrennial period</v>
      </c>
      <c r="AB11" t="str">
        <f>IFERROR(VLOOKUP($A11&amp;"|4",'Criteria Library'!$B$5:$F$479,5,FALSE),"")</f>
        <v>The marketing plan is internally developed beyond a 4 year period</v>
      </c>
    </row>
    <row r="12" spans="1:28" s="28" customFormat="1" ht="125.25" customHeight="1">
      <c r="A12" s="45" t="s">
        <v>306</v>
      </c>
      <c r="B12" s="46" t="s">
        <v>307</v>
      </c>
      <c r="C12" s="47" t="s">
        <v>308</v>
      </c>
      <c r="D12" s="26"/>
      <c r="E12" s="110"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No emblem</v>
      </c>
      <c r="Y12" t="str">
        <f>IFERROR(VLOOKUP($A12&amp;"|1",'Criteria Library'!$B$5:$F$479,5,FALSE),"")</f>
        <v>The institutional emblem is being developed for commercial purpose.</v>
      </c>
      <c r="Z12" t="str">
        <f>IFERROR(VLOOKUP($A12&amp;"|2",'Criteria Library'!$B$5:$F$479,5,FALSE),"")</f>
        <v>We have institutional and commercial emblems.</v>
      </c>
      <c r="AA12" t="str">
        <f>IFERROR(VLOOKUP($A12&amp;"|3",'Criteria Library'!$B$5:$F$479,5,FALSE),"")</f>
        <v>The NOC has a rich portfolio of marks and designation which includes a number of features such as a NOC motto, house style and other trademarks.</v>
      </c>
      <c r="AB12" t="str">
        <f>IFERROR(VLOOKUP($A12&amp;"|4",'Criteria Library'!$B$5:$F$479,5,FALSE),"")</f>
        <v>The NOC has a well-established, legally protected brand with equity documented by market research.</v>
      </c>
    </row>
    <row r="13" spans="1:28" s="28" customFormat="1" ht="125.25" customHeight="1">
      <c r="A13" s="45" t="s">
        <v>309</v>
      </c>
      <c r="B13" s="46" t="s">
        <v>310</v>
      </c>
      <c r="C13" s="47" t="s">
        <v>311</v>
      </c>
      <c r="D13" s="26"/>
      <c r="E13" s="110"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We have no mark</v>
      </c>
      <c r="Y13" t="str">
        <f>IFERROR(VLOOKUP($A13&amp;"|1",'Criteria Library'!$B$5:$F$479,5,FALSE),"")</f>
        <v>The NOC has official stationery with the NOC mark.</v>
      </c>
      <c r="Z13" t="str">
        <f>IFERROR(VLOOKUP($A13&amp;"|2",'Criteria Library'!$B$5:$F$479,5,FALSE),"")</f>
        <v>We have official pins and merchandise with the NOC mark.</v>
      </c>
      <c r="AA13" t="str">
        <f>IFERROR(VLOOKUP($A13&amp;"|3",'Criteria Library'!$B$5:$F$479,5,FALSE),"")</f>
        <v>The NOC mark is present in all NOC-led activities, programmes and services.</v>
      </c>
      <c r="AB13" t="str">
        <f>IFERROR(VLOOKUP($A13&amp;"|4",'Criteria Library'!$B$5:$F$479,5,FALSE),"")</f>
        <v>We license the rights for the use of the NOC mark to sponsors.</v>
      </c>
    </row>
    <row r="14" spans="1:28" s="28" customFormat="1" ht="125.25" customHeight="1">
      <c r="A14" s="45" t="s">
        <v>312</v>
      </c>
      <c r="B14" s="46" t="s">
        <v>313</v>
      </c>
      <c r="C14" s="47" t="s">
        <v>314</v>
      </c>
      <c r="D14" s="26"/>
      <c r="E14" s="110"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We have never considered merchandising at all</v>
      </c>
      <c r="Y14" t="str">
        <f>IFERROR(VLOOKUP($A14&amp;"|1",'Criteria Library'!$B$5:$F$479,5,FALSE),"")</f>
        <v>We have discussed it but we don’t have a merchandising programme.</v>
      </c>
      <c r="Z14" t="str">
        <f>IFERROR(VLOOKUP($A14&amp;"|2",'Criteria Library'!$B$5:$F$479,5,FALSE),"")</f>
        <v>We sell merchandise associated with specific activities, such as event t-shirts or pins associated with a specific Games delegation.</v>
      </c>
      <c r="AA14" t="str">
        <f>IFERROR(VLOOKUP($A14&amp;"|3",'Criteria Library'!$B$5:$F$479,5,FALSE),"")</f>
        <v>We have a limited range of products using the NOC mark (e.g. pins, t-shirts, hats).</v>
      </c>
      <c r="AB14" t="str">
        <f>IFERROR(VLOOKUP($A14&amp;"|4",'Criteria Library'!$B$5:$F$479,5,FALSE),"")</f>
        <v>We have broad range of products using the NOC mark (e.g. replica uniforms, equipment and gifts).</v>
      </c>
    </row>
    <row r="15" spans="1:28" s="28" customFormat="1" ht="125.25" customHeight="1">
      <c r="A15" s="45" t="s">
        <v>315</v>
      </c>
      <c r="B15" s="46" t="s">
        <v>316</v>
      </c>
      <c r="C15" s="47" t="s">
        <v>317</v>
      </c>
      <c r="D15" s="26"/>
      <c r="E15" s="110"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We do no fundraising.</v>
      </c>
      <c r="Y15" t="str">
        <f>IFERROR(VLOOKUP($A15&amp;"|1",'Criteria Library'!$B$5:$F$479,5,FALSE),"")</f>
        <v>We do some generic fundraising activities when the opportunity arises.</v>
      </c>
      <c r="Z15" t="str">
        <f>IFERROR(VLOOKUP($A15&amp;"|2",'Criteria Library'!$B$5:$F$479,5,FALSE),"")</f>
        <v>We have some regular fundraising activities that we plan for, such as an annual dinner.</v>
      </c>
      <c r="AA15" t="str">
        <f>IFERROR(VLOOKUP($A15&amp;"|3",'Criteria Library'!$B$5:$F$479,5,FALSE),"")</f>
        <v>We have a formal fundraising programme that is made up of regular activities that target a range of funding sources.</v>
      </c>
      <c r="AB15" t="str">
        <f>IFERROR(VLOOKUP($A15&amp;"|4",'Criteria Library'!$B$5:$F$479,5,FALSE),"")</f>
        <v>We have a fundraising strategy that focuses across a range of funding opportunities and contributes significantly to NOC income.</v>
      </c>
    </row>
    <row r="16" spans="1:28" s="28" customFormat="1" ht="125.25" customHeight="1">
      <c r="A16" s="45" t="s">
        <v>318</v>
      </c>
      <c r="B16" s="46" t="s">
        <v>319</v>
      </c>
      <c r="C16" s="47" t="s">
        <v>320</v>
      </c>
      <c r="D16" s="26"/>
      <c r="E16" s="110"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We rely solely on TOP sponsorship.</v>
      </c>
      <c r="Y16" t="str">
        <f>IFERROR(VLOOKUP($A16&amp;"|1",'Criteria Library'!$B$5:$F$479,5,FALSE),"")</f>
        <v>Written and informal.</v>
      </c>
      <c r="Z16" t="str">
        <f>IFERROR(VLOOKUP($A16&amp;"|2",'Criteria Library'!$B$5:$F$479,5,FALSE),"")</f>
        <v>Alongside TOP sponsorship, the NOC also receives VIK from non-TOP sponsors.</v>
      </c>
      <c r="AA16" t="str">
        <f>IFERROR(VLOOKUP($A16&amp;"|3",'Criteria Library'!$B$5:$F$479,5,FALSE),"")</f>
        <v>We have sponsorship agreements with a range of sponsors for a variety of activities.</v>
      </c>
      <c r="AB16" t="str">
        <f>IFERROR(VLOOKUP($A16&amp;"|4",'Criteria Library'!$B$5:$F$479,5,FALSE),"")</f>
        <v>We have a well-structured sponsorship programme.</v>
      </c>
    </row>
    <row r="17" spans="1:28" s="28" customFormat="1" ht="125.25" customHeight="1">
      <c r="A17" s="45" t="s">
        <v>321</v>
      </c>
      <c r="B17" s="46" t="s">
        <v>322</v>
      </c>
      <c r="C17" s="47" t="s">
        <v>323</v>
      </c>
      <c r="D17" s="26"/>
      <c r="E17" s="110" t="str">
        <f>IF(D17="","",SUMIFS('Criteria Library'!$E$5:$E$479,'Criteria Library'!$A$5:$A$479,A17,'Criteria Library'!$F$5:$F$479,D17))</f>
        <v/>
      </c>
      <c r="F17" s="46" t="str">
        <f>IF(D17="","",IF(E17&gt;='Start Here'!$E$5,"Target achieved — Level "&amp;E17&amp;" meets or exceeds target Level "&amp;'Start Here'!$E$5&amp;".","Current Level "&amp;E17&amp;" → Target Level "&amp;'Start Here'!$E$5&amp;" ("&amp;('Start Here'!$E$5-E17)&amp;" level(s) to close)."))</f>
        <v/>
      </c>
      <c r="G17" s="47" t="str">
        <f>IF(D17="","",IF(E17&gt;='Start Here'!$E$5,"Target achieved. Sustain current practice and review periodically.",IF(AND(E17&lt;1,'Start Here'!$E$5&gt;=1),"LEVEL 1 — "&amp;VLOOKUP(A17&amp;"|1",'Criteria Library'!$B$5:$G$479,6,FALSE)&amp;CHAR(10)&amp;CHAR(10),"")&amp;IF(AND(E17&lt;2,'Start Here'!$E$5&gt;=2),"LEVEL 2 — "&amp;VLOOKUP(A17&amp;"|2",'Criteria Library'!$B$5:$G$479,6,FALSE)&amp;CHAR(10)&amp;CHAR(10),"")&amp;IF(AND(E17&lt;3,'Start Here'!$E$5&gt;=3),"LEVEL 3 — "&amp;VLOOKUP(A17&amp;"|3",'Criteria Library'!$B$5:$G$479,6,FALSE)&amp;CHAR(10)&amp;CHAR(10),"")&amp;IF(AND(E17&lt;4,'Start Here'!$E$5&gt;=4),"LEVEL 4 — "&amp;VLOOKUP(A17&amp;"|4",'Criteria Library'!$B$5:$G$479,6,FALSE),"")))</f>
        <v/>
      </c>
      <c r="H17" s="26"/>
      <c r="I17" s="26"/>
      <c r="J17" s="50"/>
      <c r="X17" t="str">
        <f>IFERROR(VLOOKUP($A17&amp;"|0",'Criteria Library'!$B$5:$F$479,5,FALSE),"")</f>
        <v>We have nothing to offer a sponsor.</v>
      </c>
      <c r="Y17" t="str">
        <f>IFERROR(VLOOKUP($A17&amp;"|1",'Criteria Library'!$B$5:$F$479,5,FALSE),"")</f>
        <v>We offer to present sponsors on our letter head, website and social media.</v>
      </c>
      <c r="Z17" t="str">
        <f>IFERROR(VLOOKUP($A17&amp;"|2",'Criteria Library'!$B$5:$F$479,5,FALSE),"")</f>
        <v>We offer to present sponsors during the events such as the Olympic Day and provide them with opportunities to associate with our teams.</v>
      </c>
      <c r="AA17" t="str">
        <f>IFERROR(VLOOKUP($A17&amp;"|3",'Criteria Library'!$B$5:$F$479,5,FALSE),"")</f>
        <v>We offer a range of opportunities to activate sponsorship during events (e.g. Sponsored contest)</v>
      </c>
      <c r="AB17" t="str">
        <f>IFERROR(VLOOKUP($A17&amp;"|4",'Criteria Library'!$B$5:$F$479,5,FALSE),"")</f>
        <v>With sponsors, we co-create initiatives maximising ROI (Return on Investment) (e.g. Sponsor live sites).</v>
      </c>
    </row>
    <row r="18" spans="1:28" s="28" customFormat="1" ht="125.25" customHeight="1">
      <c r="A18" s="45" t="s">
        <v>324</v>
      </c>
      <c r="B18" s="46" t="s">
        <v>325</v>
      </c>
      <c r="C18" s="47" t="s">
        <v>326</v>
      </c>
      <c r="D18" s="26"/>
      <c r="E18" s="110" t="str">
        <f>IF(D18="","",SUMIFS('Criteria Library'!$E$5:$E$479,'Criteria Library'!$A$5:$A$479,A18,'Criteria Library'!$F$5:$F$479,D18))</f>
        <v/>
      </c>
      <c r="F18" s="46" t="str">
        <f>IF(D18="","",IF(E18&gt;='Start Here'!$E$5,"Target achieved — Level "&amp;E18&amp;" meets or exceeds target Level "&amp;'Start Here'!$E$5&amp;".","Current Level "&amp;E18&amp;" → Target Level "&amp;'Start Here'!$E$5&amp;" ("&amp;('Start Here'!$E$5-E18)&amp;" level(s) to close)."))</f>
        <v/>
      </c>
      <c r="G18" s="47" t="str">
        <f>IF(D18="","",IF(E18&gt;='Start Here'!$E$5,"Target achieved. Sustain current practice and review periodically.",IF(AND(E18&lt;1,'Start Here'!$E$5&gt;=1),"LEVEL 1 — "&amp;VLOOKUP(A18&amp;"|1",'Criteria Library'!$B$5:$G$479,6,FALSE)&amp;CHAR(10)&amp;CHAR(10),"")&amp;IF(AND(E18&lt;2,'Start Here'!$E$5&gt;=2),"LEVEL 2 — "&amp;VLOOKUP(A18&amp;"|2",'Criteria Library'!$B$5:$G$479,6,FALSE)&amp;CHAR(10)&amp;CHAR(10),"")&amp;IF(AND(E18&lt;3,'Start Here'!$E$5&gt;=3),"LEVEL 3 — "&amp;VLOOKUP(A18&amp;"|3",'Criteria Library'!$B$5:$G$479,6,FALSE)&amp;CHAR(10)&amp;CHAR(10),"")&amp;IF(AND(E18&lt;4,'Start Here'!$E$5&gt;=4),"LEVEL 4 — "&amp;VLOOKUP(A18&amp;"|4",'Criteria Library'!$B$5:$G$479,6,FALSE),"")))</f>
        <v/>
      </c>
      <c r="H18" s="26"/>
      <c r="I18" s="26"/>
      <c r="J18" s="50"/>
      <c r="X18" t="str">
        <f>IFERROR(VLOOKUP($A18&amp;"|0",'Criteria Library'!$B$5:$F$479,5,FALSE),"")</f>
        <v>None.</v>
      </c>
      <c r="Y18" t="str">
        <f>IFERROR(VLOOKUP($A18&amp;"|1",'Criteria Library'!$B$5:$F$479,5,FALSE),"")</f>
        <v>1%-10% of total income.</v>
      </c>
      <c r="Z18" t="str">
        <f>IFERROR(VLOOKUP($A18&amp;"|2",'Criteria Library'!$B$5:$F$479,5,FALSE),"")</f>
        <v>Between 10 – 25% of total income.</v>
      </c>
      <c r="AA18" t="str">
        <f>IFERROR(VLOOKUP($A18&amp;"|3",'Criteria Library'!$B$5:$F$479,5,FALSE),"")</f>
        <v>Between 25 – 75% of total income.</v>
      </c>
      <c r="AB18" t="str">
        <f>IFERROR(VLOOKUP($A18&amp;"|4",'Criteria Library'!$B$5:$F$479,5,FALSE),"")</f>
        <v>More than 75% of total income.</v>
      </c>
    </row>
    <row r="19" spans="1:28" s="28" customFormat="1" ht="125.25" customHeight="1">
      <c r="A19" s="45" t="s">
        <v>327</v>
      </c>
      <c r="B19" s="46" t="s">
        <v>328</v>
      </c>
      <c r="C19" s="47" t="s">
        <v>329</v>
      </c>
      <c r="D19" s="26"/>
      <c r="E19" s="110" t="str">
        <f>IF(D19="","",SUMIFS('Criteria Library'!$E$5:$E$479,'Criteria Library'!$A$5:$A$479,A19,'Criteria Library'!$F$5:$F$479,D19))</f>
        <v/>
      </c>
      <c r="F19" s="46" t="str">
        <f>IF(D19="","",IF(E19&gt;='Start Here'!$E$5,"Target achieved — Level "&amp;E19&amp;" meets or exceeds target Level "&amp;'Start Here'!$E$5&amp;".","Current Level "&amp;E19&amp;" → Target Level "&amp;'Start Here'!$E$5&amp;" ("&amp;('Start Here'!$E$5-E19)&amp;" level(s) to close)."))</f>
        <v/>
      </c>
      <c r="G19" s="47" t="str">
        <f>IF(D19="","",IF(E19&gt;='Start Here'!$E$5,"Target achieved. Sustain current practice and review periodically.",IF(AND(E19&lt;1,'Start Here'!$E$5&gt;=1),"LEVEL 1 — "&amp;VLOOKUP(A19&amp;"|1",'Criteria Library'!$B$5:$G$479,6,FALSE)&amp;CHAR(10)&amp;CHAR(10),"")&amp;IF(AND(E19&lt;2,'Start Here'!$E$5&gt;=2),"LEVEL 2 — "&amp;VLOOKUP(A19&amp;"|2",'Criteria Library'!$B$5:$G$479,6,FALSE)&amp;CHAR(10)&amp;CHAR(10),"")&amp;IF(AND(E19&lt;3,'Start Here'!$E$5&gt;=3),"LEVEL 3 — "&amp;VLOOKUP(A19&amp;"|3",'Criteria Library'!$B$5:$G$479,6,FALSE)&amp;CHAR(10)&amp;CHAR(10),"")&amp;IF(AND(E19&lt;4,'Start Here'!$E$5&gt;=4),"LEVEL 4 — "&amp;VLOOKUP(A19&amp;"|4",'Criteria Library'!$B$5:$G$479,6,FALSE),"")))</f>
        <v/>
      </c>
      <c r="H19" s="26"/>
      <c r="I19" s="26"/>
      <c r="J19" s="50"/>
      <c r="X19" t="str">
        <f>IFERROR(VLOOKUP($A19&amp;"|0",'Criteria Library'!$B$5:$F$479,5,FALSE),"")</f>
        <v>None.</v>
      </c>
      <c r="Y19" t="str">
        <f>IFERROR(VLOOKUP($A19&amp;"|1",'Criteria Library'!$B$5:$F$479,5,FALSE),"")</f>
        <v>We respond to requests for information on an ad-hoc basis and react to critical circumstances and opportunities.</v>
      </c>
      <c r="Z19" t="str">
        <f>IFERROR(VLOOKUP($A19&amp;"|2",'Criteria Library'!$B$5:$F$479,5,FALSE),"")</f>
        <v>We occasionally communicate about key activities to some forms of media.</v>
      </c>
      <c r="AA19" t="str">
        <f>IFERROR(VLOOKUP($A19&amp;"|3",'Criteria Library'!$B$5:$F$479,5,FALSE),"")</f>
        <v>We proactively manage our communication with the public.</v>
      </c>
      <c r="AB19" t="str">
        <f>IFERROR(VLOOKUP($A19&amp;"|4",'Criteria Library'!$B$5:$F$479,5,FALSE),"")</f>
        <v>The  NOC has a public relations strategy and dedicated staff that targets a range of groups using diversified methods complemented by a well-developed media strategy.</v>
      </c>
    </row>
    <row r="20" spans="1:28" s="28" customFormat="1" ht="125.25" customHeight="1">
      <c r="A20" s="45" t="s">
        <v>330</v>
      </c>
      <c r="B20" s="46" t="s">
        <v>331</v>
      </c>
      <c r="C20" s="47" t="s">
        <v>332</v>
      </c>
      <c r="D20" s="26"/>
      <c r="E20" s="110" t="str">
        <f>IF(D20="","",SUMIFS('Criteria Library'!$E$5:$E$479,'Criteria Library'!$A$5:$A$479,A20,'Criteria Library'!$F$5:$F$479,D20))</f>
        <v/>
      </c>
      <c r="F20" s="46" t="str">
        <f>IF(D20="","",IF(E20&gt;='Start Here'!$E$5,"Target achieved — Level "&amp;E20&amp;" meets or exceeds target Level "&amp;'Start Here'!$E$5&amp;".","Current Level "&amp;E20&amp;" → Target Level "&amp;'Start Here'!$E$5&amp;" ("&amp;('Start Here'!$E$5-E20)&amp;" level(s) to close)."))</f>
        <v/>
      </c>
      <c r="G20" s="47" t="str">
        <f>IF(D20="","",IF(E20&gt;='Start Here'!$E$5,"Target achieved. Sustain current practice and review periodically.",IF(AND(E20&lt;1,'Start Here'!$E$5&gt;=1),"LEVEL 1 — "&amp;VLOOKUP(A20&amp;"|1",'Criteria Library'!$B$5:$G$479,6,FALSE)&amp;CHAR(10)&amp;CHAR(10),"")&amp;IF(AND(E20&lt;2,'Start Here'!$E$5&gt;=2),"LEVEL 2 — "&amp;VLOOKUP(A20&amp;"|2",'Criteria Library'!$B$5:$G$479,6,FALSE)&amp;CHAR(10)&amp;CHAR(10),"")&amp;IF(AND(E20&lt;3,'Start Here'!$E$5&gt;=3),"LEVEL 3 — "&amp;VLOOKUP(A20&amp;"|3",'Criteria Library'!$B$5:$G$479,6,FALSE)&amp;CHAR(10)&amp;CHAR(10),"")&amp;IF(AND(E20&lt;4,'Start Here'!$E$5&gt;=4),"LEVEL 4 — "&amp;VLOOKUP(A20&amp;"|4",'Criteria Library'!$B$5:$G$479,6,FALSE),"")))</f>
        <v/>
      </c>
      <c r="H20" s="26"/>
      <c r="I20" s="26"/>
      <c r="J20" s="50"/>
      <c r="X20" t="str">
        <f>IFERROR(VLOOKUP($A20&amp;"|0",'Criteria Library'!$B$5:$F$479,5,FALSE),"")</f>
        <v>None.</v>
      </c>
      <c r="Y20" t="str">
        <f>IFERROR(VLOOKUP($A20&amp;"|1",'Criteria Library'!$B$5:$F$479,5,FALSE),"")</f>
        <v>The NOC has a simple website and/or Facebook page that is not updated.</v>
      </c>
      <c r="Z20" t="str">
        <f>IFERROR(VLOOKUP($A20&amp;"|2",'Criteria Library'!$B$5:$F$479,5,FALSE),"")</f>
        <v>The NOC has a simple website and/or Facebook page that is regularly updated.</v>
      </c>
      <c r="AA20" t="str">
        <f>IFERROR(VLOOKUP($A20&amp;"|3",'Criteria Library'!$B$5:$F$479,5,FALSE),"")</f>
        <v>The NOC has an interactive web platform and regular presence on a full range of social media platforms.</v>
      </c>
      <c r="AB20" t="str">
        <f>IFERROR(VLOOKUP($A20&amp;"|4",'Criteria Library'!$B$5:$F$479,5,FALSE),"")</f>
        <v>The NOC has a full digital and social media strategy including direct fan relationship building managed by dedicated staff.</v>
      </c>
    </row>
    <row r="21" spans="1:28" s="28" customFormat="1" ht="125.25" customHeight="1">
      <c r="A21" s="45" t="s">
        <v>333</v>
      </c>
      <c r="B21" s="46" t="s">
        <v>334</v>
      </c>
      <c r="C21" s="47" t="s">
        <v>335</v>
      </c>
      <c r="D21" s="26"/>
      <c r="E21" s="110" t="str">
        <f>IF(D21="","",SUMIFS('Criteria Library'!$E$5:$E$479,'Criteria Library'!$A$5:$A$479,A21,'Criteria Library'!$F$5:$F$479,D21))</f>
        <v/>
      </c>
      <c r="F21" s="46" t="str">
        <f>IF(D21="","",IF(E21&gt;='Start Here'!$E$5,"Target achieved — Level "&amp;E21&amp;" meets or exceeds target Level "&amp;'Start Here'!$E$5&amp;".","Current Level "&amp;E21&amp;" → Target Level "&amp;'Start Here'!$E$5&amp;" ("&amp;('Start Here'!$E$5-E21)&amp;" level(s) to close)."))</f>
        <v/>
      </c>
      <c r="G21" s="47" t="str">
        <f>IF(D21="","",IF(E21&gt;='Start Here'!$E$5,"Target achieved. Sustain current practice and review periodically.",IF(AND(E21&lt;1,'Start Here'!$E$5&gt;=1),"LEVEL 1 — "&amp;VLOOKUP(A21&amp;"|1",'Criteria Library'!$B$5:$G$479,6,FALSE)&amp;CHAR(10)&amp;CHAR(10),"")&amp;IF(AND(E21&lt;2,'Start Here'!$E$5&gt;=2),"LEVEL 2 — "&amp;VLOOKUP(A21&amp;"|2",'Criteria Library'!$B$5:$G$479,6,FALSE)&amp;CHAR(10)&amp;CHAR(10),"")&amp;IF(AND(E21&lt;3,'Start Here'!$E$5&gt;=3),"LEVEL 3 — "&amp;VLOOKUP(A21&amp;"|3",'Criteria Library'!$B$5:$G$479,6,FALSE)&amp;CHAR(10)&amp;CHAR(10),"")&amp;IF(AND(E21&lt;4,'Start Here'!$E$5&gt;=4),"LEVEL 4 — "&amp;VLOOKUP(A21&amp;"|4",'Criteria Library'!$B$5:$G$479,6,FALSE),"")))</f>
        <v/>
      </c>
      <c r="H21" s="26"/>
      <c r="I21" s="26"/>
      <c r="J21" s="50"/>
      <c r="X21" t="str">
        <f>IFERROR(VLOOKUP($A21&amp;"|0",'Criteria Library'!$B$5:$F$479,5,FALSE),"")</f>
        <v>We don't</v>
      </c>
      <c r="Y21" t="str">
        <f>IFERROR(VLOOKUP($A21&amp;"|1",'Criteria Library'!$B$5:$F$479,5,FALSE),"")</f>
        <v>NOC members set up groups for specific activities.</v>
      </c>
      <c r="Z21" t="str">
        <f>IFERROR(VLOOKUP($A21&amp;"|2",'Criteria Library'!$B$5:$F$479,5,FALSE),"")</f>
        <v>The NOC has a single social media page/profile.</v>
      </c>
      <c r="AA21" t="str">
        <f>IFERROR(VLOOKUP($A21&amp;"|3",'Criteria Library'!$B$5:$F$479,5,FALSE),"")</f>
        <v>The NOC has a multiple social media page/profiles interconnected with regular newsfeeds.</v>
      </c>
      <c r="AB21" t="str">
        <f>IFERROR(VLOOKUP($A21&amp;"|4",'Criteria Library'!$B$5:$F$479,5,FALSE),"")</f>
        <v>The NOC has a full digital and social media strategy including direct fan relationship building managed by dedicated staff.</v>
      </c>
    </row>
    <row r="22" spans="1:28" s="28" customFormat="1">
      <c r="E22" s="48"/>
      <c r="J22" s="48"/>
    </row>
  </sheetData>
  <mergeCells count="10">
    <mergeCell ref="A1:J1"/>
    <mergeCell ref="A2:J2"/>
    <mergeCell ref="A4:B4"/>
    <mergeCell ref="A5:B6"/>
    <mergeCell ref="C4:D4"/>
    <mergeCell ref="C5:D6"/>
    <mergeCell ref="E4:F4"/>
    <mergeCell ref="E5:F6"/>
    <mergeCell ref="G4:J4"/>
    <mergeCell ref="G5:J6"/>
  </mergeCells>
  <conditionalFormatting sqref="E9:E21">
    <cfRule type="expression" dxfId="51" priority="1">
      <formula>AND($D9&lt;&gt;"",$E9=0)</formula>
    </cfRule>
    <cfRule type="expression" dxfId="50" priority="2">
      <formula>AND($D9&lt;&gt;"",$E9=1)</formula>
    </cfRule>
    <cfRule type="expression" dxfId="49" priority="3">
      <formula>AND($D9&lt;&gt;"",$E9=2)</formula>
    </cfRule>
    <cfRule type="expression" dxfId="48" priority="4">
      <formula>AND($D9&lt;&gt;"",$E9=3)</formula>
    </cfRule>
    <cfRule type="expression" dxfId="47" priority="5">
      <formula>AND($D9&lt;&gt;"",$E9=4)</formula>
    </cfRule>
  </conditionalFormatting>
  <dataValidations count="14">
    <dataValidation type="list" sqref="J9:J21" xr:uid="{00000000-0002-0000-0700-000000000000}">
      <formula1>"High,Medium,Low,Unverified"</formula1>
    </dataValidation>
    <dataValidation type="list" sqref="D9" xr:uid="{00000000-0002-0000-0700-000001000000}">
      <formula1>$X$9:$AB$9</formula1>
    </dataValidation>
    <dataValidation type="list" sqref="D10" xr:uid="{00000000-0002-0000-0700-000002000000}">
      <formula1>$X$10:$AB$10</formula1>
    </dataValidation>
    <dataValidation type="list" sqref="D11" xr:uid="{00000000-0002-0000-0700-000003000000}">
      <formula1>$X$11:$AB$11</formula1>
    </dataValidation>
    <dataValidation type="list" sqref="D12" xr:uid="{00000000-0002-0000-0700-000004000000}">
      <formula1>$X$12:$AB$12</formula1>
    </dataValidation>
    <dataValidation type="list" sqref="D13" xr:uid="{00000000-0002-0000-0700-000005000000}">
      <formula1>$X$13:$AB$13</formula1>
    </dataValidation>
    <dataValidation type="list" sqref="D14" xr:uid="{00000000-0002-0000-0700-000006000000}">
      <formula1>$X$14:$AB$14</formula1>
    </dataValidation>
    <dataValidation type="list" sqref="D15" xr:uid="{00000000-0002-0000-0700-000007000000}">
      <formula1>$X$15:$AB$15</formula1>
    </dataValidation>
    <dataValidation type="list" sqref="D16" xr:uid="{00000000-0002-0000-0700-000008000000}">
      <formula1>$X$16:$AB$16</formula1>
    </dataValidation>
    <dataValidation type="list" sqref="D17" xr:uid="{00000000-0002-0000-0700-000009000000}">
      <formula1>$X$17:$AB$17</formula1>
    </dataValidation>
    <dataValidation type="list" sqref="D18" xr:uid="{00000000-0002-0000-0700-00000A000000}">
      <formula1>$X$18:$AB$18</formula1>
    </dataValidation>
    <dataValidation type="list" sqref="D19" xr:uid="{00000000-0002-0000-0700-00000B000000}">
      <formula1>$X$19:$AB$19</formula1>
    </dataValidation>
    <dataValidation type="list" sqref="D20" xr:uid="{00000000-0002-0000-0700-00000C000000}">
      <formula1>$X$20:$AB$20</formula1>
    </dataValidation>
    <dataValidation type="list" sqref="D21" xr:uid="{00000000-0002-0000-0700-00000D000000}">
      <formula1>$X$21:$AB$21</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9"/>
  <sheetViews>
    <sheetView workbookViewId="0">
      <selection sqref="A1:J1"/>
    </sheetView>
  </sheetViews>
  <sheetFormatPr defaultRowHeight="14.25"/>
  <cols>
    <col min="1" max="1" width="8.125" customWidth="1"/>
    <col min="2" max="2" width="13.75" customWidth="1"/>
    <col min="3" max="3" width="31.125" customWidth="1"/>
    <col min="4" max="4" width="42" customWidth="1"/>
    <col min="5" max="5" width="7.5" customWidth="1"/>
    <col min="6" max="6" width="15.375" customWidth="1"/>
    <col min="7" max="7" width="46" customWidth="1"/>
    <col min="8" max="8" width="28.875" customWidth="1"/>
    <col min="9" max="9" width="27.875" customWidth="1"/>
    <col min="10" max="10" width="15" customWidth="1"/>
    <col min="24" max="28" width="2" customWidth="1"/>
  </cols>
  <sheetData>
    <row r="1" spans="1:28" s="28" customFormat="1" ht="21.75">
      <c r="A1" s="211" t="s">
        <v>336</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row r="4" spans="1:28" s="51" customFormat="1" ht="15.75">
      <c r="A4" s="215" t="s">
        <v>122</v>
      </c>
      <c r="B4" s="217"/>
      <c r="C4" s="215" t="s">
        <v>98</v>
      </c>
      <c r="D4" s="217"/>
      <c r="E4" s="215" t="s">
        <v>99</v>
      </c>
      <c r="F4" s="217"/>
      <c r="G4" s="215" t="s">
        <v>96</v>
      </c>
      <c r="H4" s="216"/>
      <c r="I4" s="216"/>
      <c r="J4" s="217"/>
    </row>
    <row r="5" spans="1:28" s="28" customFormat="1">
      <c r="A5" s="218" t="str">
        <f>IF(COUNT(E9:E19)=0,"",AVERAGE(E9:E19))</f>
        <v/>
      </c>
      <c r="B5" s="220"/>
      <c r="C5" s="236">
        <f>COUNT(E9:E19)/11</f>
        <v>0</v>
      </c>
      <c r="D5" s="238"/>
      <c r="E5" s="227">
        <f>COUNTIFS(D9:D19,"&lt;&gt;",E9:E19,"&lt;"&amp;'Start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row r="8" spans="1:28" s="51" customFormat="1" ht="15.75">
      <c r="A8" s="52" t="s">
        <v>123</v>
      </c>
      <c r="B8" s="44" t="s">
        <v>124</v>
      </c>
      <c r="C8" s="44" t="s">
        <v>125</v>
      </c>
      <c r="D8" s="44" t="s">
        <v>126</v>
      </c>
      <c r="E8" s="44" t="s">
        <v>127</v>
      </c>
      <c r="F8" s="44" t="s">
        <v>128</v>
      </c>
      <c r="G8" s="44" t="s">
        <v>129</v>
      </c>
      <c r="H8" s="44" t="s">
        <v>130</v>
      </c>
      <c r="I8" s="44" t="s">
        <v>131</v>
      </c>
      <c r="J8" s="54" t="s">
        <v>132</v>
      </c>
    </row>
    <row r="9" spans="1:28" s="28" customFormat="1" ht="126" customHeight="1">
      <c r="A9" s="45" t="s">
        <v>337</v>
      </c>
      <c r="B9" s="46" t="s">
        <v>338</v>
      </c>
      <c r="C9" s="47" t="s">
        <v>339</v>
      </c>
      <c r="D9" s="26"/>
      <c r="E9" s="110"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We have never attended a Games</v>
      </c>
      <c r="Y9" t="str">
        <f>IFERROR(VLOOKUP($A9&amp;"|1",'Criteria Library'!$B$5:$F$479,5,FALSE),"")</f>
        <v>It is primarily made up of the Board members and people known to them to take up funded places.</v>
      </c>
      <c r="Z9" t="str">
        <f>IFERROR(VLOOKUP($A9&amp;"|2",'Criteria Library'!$B$5:$F$479,5,FALSE),"")</f>
        <v>The mission includes coaches and minimal administration support.</v>
      </c>
      <c r="AA9" t="str">
        <f>IFERROR(VLOOKUP($A9&amp;"|3",'Criteria Library'!$B$5:$F$479,5,FALSE),"")</f>
        <v>The mission includes coaches technical/medical support shared by sports and administrative support for the whole delegation.</v>
      </c>
      <c r="AB9" t="str">
        <f>IFERROR(VLOOKUP($A9&amp;"|4",'Criteria Library'!$B$5:$F$479,5,FALSE),"")</f>
        <v>The mission includes specialized personnel for each sport and full administrative support.</v>
      </c>
    </row>
    <row r="10" spans="1:28" s="28" customFormat="1" ht="126" customHeight="1">
      <c r="A10" s="45" t="s">
        <v>340</v>
      </c>
      <c r="B10" s="46" t="s">
        <v>341</v>
      </c>
      <c r="C10" s="47" t="s">
        <v>342</v>
      </c>
      <c r="D10" s="26"/>
      <c r="E10" s="110"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We have never attended a Games</v>
      </c>
      <c r="Y10" t="str">
        <f>IFERROR(VLOOKUP($A10&amp;"|1",'Criteria Library'!$B$5:$F$479,5,FALSE),"")</f>
        <v>The mission is selected from people known to NOC, usually Board members and friends.</v>
      </c>
      <c r="Z10" t="str">
        <f>IFERROR(VLOOKUP($A10&amp;"|2",'Criteria Library'!$B$5:$F$479,5,FALSE),"")</f>
        <v>We have several criteria that are used for choosing the Games Mission.</v>
      </c>
      <c r="AA10" t="str">
        <f>IFERROR(VLOOKUP($A10&amp;"|3",'Criteria Library'!$B$5:$F$479,5,FALSE),"")</f>
        <v>The NOC has developed Games Mission selection guidelines.</v>
      </c>
      <c r="AB10" t="str">
        <f>IFERROR(VLOOKUP($A10&amp;"|4",'Criteria Library'!$B$5:$F$479,5,FALSE),"")</f>
        <v>The NOC has a documented policy which sets out composition, selection and activities of the Games Mission.</v>
      </c>
    </row>
    <row r="11" spans="1:28" s="28" customFormat="1" ht="126" customHeight="1">
      <c r="A11" s="45" t="s">
        <v>343</v>
      </c>
      <c r="B11" s="46" t="s">
        <v>344</v>
      </c>
      <c r="C11" s="47" t="s">
        <v>345</v>
      </c>
      <c r="D11" s="26"/>
      <c r="E11" s="110"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We have never attended a Games</v>
      </c>
      <c r="Y11" t="str">
        <f>IFERROR(VLOOKUP($A11&amp;"|1",'Criteria Library'!$B$5:$F$479,5,FALSE),"")</f>
        <v>The team is determined by other agencies (e.g. NF, government).</v>
      </c>
      <c r="Z11" t="str">
        <f>IFERROR(VLOOKUP($A11&amp;"|2",'Criteria Library'!$B$5:$F$479,5,FALSE),"")</f>
        <v>The NOC has a selection justification committee that operates without a specific selection policy.</v>
      </c>
      <c r="AA11" t="str">
        <f>IFERROR(VLOOKUP($A11&amp;"|3",'Criteria Library'!$B$5:$F$479,5,FALSE),"")</f>
        <v>The NOC has a selection justification committee that is guided by a specific selection policy.</v>
      </c>
      <c r="AB11" t="str">
        <f>IFERROR(VLOOKUP($A11&amp;"|4",'Criteria Library'!$B$5:$F$479,5,FALSE),"")</f>
        <v>The NOC has documented selection criteria, which have been agreed with each member NF and are enforced by an independent committee.</v>
      </c>
    </row>
    <row r="12" spans="1:28" s="28" customFormat="1" ht="126" customHeight="1">
      <c r="A12" s="45" t="s">
        <v>346</v>
      </c>
      <c r="B12" s="46" t="s">
        <v>347</v>
      </c>
      <c r="C12" s="47" t="s">
        <v>348</v>
      </c>
      <c r="D12" s="26"/>
      <c r="E12" s="110"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Never considered.</v>
      </c>
      <c r="Y12" t="str">
        <f>IFERROR(VLOOKUP($A12&amp;"|1",'Criteria Library'!$B$5:$F$479,5,FALSE),"")</f>
        <v>No tangible support, but we are aware of the issues.</v>
      </c>
      <c r="Z12" t="str">
        <f>IFERROR(VLOOKUP($A12&amp;"|2",'Criteria Library'!$B$5:$F$479,5,FALSE),"")</f>
        <v>The NOC provides support when opportunities arise.</v>
      </c>
      <c r="AA12" t="str">
        <f>IFERROR(VLOOKUP($A12&amp;"|3",'Criteria Library'!$B$5:$F$479,5,FALSE),"")</f>
        <v>The NOC assists with post athletic support as the athlete’s career ends.</v>
      </c>
      <c r="AB12" t="str">
        <f>IFERROR(VLOOKUP($A12&amp;"|4",'Criteria Library'!$B$5:$F$479,5,FALSE),"")</f>
        <v>The NOC offers comprehensive support and counselling available throughout a designated athlete’s career programme.</v>
      </c>
    </row>
    <row r="13" spans="1:28" s="28" customFormat="1" ht="126" customHeight="1">
      <c r="A13" s="45" t="s">
        <v>349</v>
      </c>
      <c r="B13" s="46" t="s">
        <v>350</v>
      </c>
      <c r="C13" s="47" t="s">
        <v>351</v>
      </c>
      <c r="D13" s="26"/>
      <c r="E13" s="110"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Education has never been considered.</v>
      </c>
      <c r="Y13" t="str">
        <f>IFERROR(VLOOKUP($A13&amp;"|1",'Criteria Library'!$B$5:$F$479,5,FALSE),"")</f>
        <v>The NOC doesn’t provide any formal coach and official education</v>
      </c>
      <c r="Z13" t="str">
        <f>IFERROR(VLOOKUP($A13&amp;"|2",'Criteria Library'!$B$5:$F$479,5,FALSE),"")</f>
        <v>The NOC provides education activities on an ad-hoc basis by utilising OS programmes.</v>
      </c>
      <c r="AA13" t="str">
        <f>IFERROR(VLOOKUP($A13&amp;"|3",'Criteria Library'!$B$5:$F$479,5,FALSE),"")</f>
        <v>The NOC works with and encourages NFs to provide sport specific coach and official education in line with its strategic plan.</v>
      </c>
      <c r="AB13" t="str">
        <f>IFERROR(VLOOKUP($A13&amp;"|4",'Criteria Library'!$B$5:$F$479,5,FALSE),"")</f>
        <v>The activities that are provided by the NOC are part of an integrated national education framework for coaches and officials.</v>
      </c>
    </row>
    <row r="14" spans="1:28" s="28" customFormat="1" ht="126" customHeight="1">
      <c r="A14" s="45" t="s">
        <v>352</v>
      </c>
      <c r="B14" s="46" t="s">
        <v>353</v>
      </c>
      <c r="C14" s="47" t="s">
        <v>354</v>
      </c>
      <c r="D14" s="26"/>
      <c r="E14" s="110"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We do not support member NFs.</v>
      </c>
      <c r="Y14" t="str">
        <f>IFERROR(VLOOKUP($A14&amp;"|1",'Criteria Library'!$B$5:$F$479,5,FALSE),"")</f>
        <v>We support the member NFs via OS programmes and funding.</v>
      </c>
      <c r="Z14" t="str">
        <f>IFERROR(VLOOKUP($A14&amp;"|2",'Criteria Library'!$B$5:$F$479,5,FALSE),"")</f>
        <v>The NOC works in partnership with NFs to develop their capacity.</v>
      </c>
      <c r="AA14" t="str">
        <f>IFERROR(VLOOKUP($A14&amp;"|3",'Criteria Library'!$B$5:$F$479,5,FALSE),"")</f>
        <v>The NOC works in partnership with other agencies to develop the capacity of NFs.</v>
      </c>
      <c r="AB14" t="str">
        <f>IFERROR(VLOOKUP($A14&amp;"|4",'Criteria Library'!$B$5:$F$479,5,FALSE),"")</f>
        <v>Our NFs are self-sustaining and provide substantial support to the NOC.</v>
      </c>
    </row>
    <row r="15" spans="1:28" s="28" customFormat="1" ht="126" customHeight="1">
      <c r="A15" s="45" t="s">
        <v>355</v>
      </c>
      <c r="B15" s="46" t="s">
        <v>356</v>
      </c>
      <c r="C15" s="47" t="s">
        <v>357</v>
      </c>
      <c r="D15" s="26"/>
      <c r="E15" s="110"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None</v>
      </c>
      <c r="Y15" t="str">
        <f>IFERROR(VLOOKUP($A15&amp;"|1",'Criteria Library'!$B$5:$F$479,5,FALSE),"")</f>
        <v>We are not in a position to provide advice and support</v>
      </c>
      <c r="Z15" t="str">
        <f>IFERROR(VLOOKUP($A15&amp;"|2",'Criteria Library'!$B$5:$F$479,5,FALSE),"")</f>
        <v>Advice and support is limited to areas in which Board members and staff have expertise.</v>
      </c>
      <c r="AA15" t="str">
        <f>IFERROR(VLOOKUP($A15&amp;"|3",'Criteria Library'!$B$5:$F$479,5,FALSE),"")</f>
        <v>We provide advice and support across a wide range of areas according to our strategic plan.</v>
      </c>
      <c r="AB15" t="str">
        <f>IFERROR(VLOOKUP($A15&amp;"|4",'Criteria Library'!$B$5:$F$479,5,FALSE),"")</f>
        <v>If required, advice and support can be provided across any aspect of business activity.</v>
      </c>
    </row>
    <row r="16" spans="1:28" s="28" customFormat="1" ht="126" customHeight="1">
      <c r="A16" s="45" t="s">
        <v>358</v>
      </c>
      <c r="B16" s="46" t="s">
        <v>359</v>
      </c>
      <c r="C16" s="47" t="s">
        <v>360</v>
      </c>
      <c r="D16" s="26"/>
      <c r="E16" s="110"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We have never thought about it</v>
      </c>
      <c r="Y16" t="str">
        <f>IFERROR(VLOOKUP($A16&amp;"|1",'Criteria Library'!$B$5:$F$479,5,FALSE),"")</f>
        <v>No, it doesn’t.</v>
      </c>
      <c r="Z16" t="str">
        <f>IFERROR(VLOOKUP($A16&amp;"|2",'Criteria Library'!$B$5:$F$479,5,FALSE),"")</f>
        <v>Yes, mini regional events.</v>
      </c>
      <c r="AA16" t="str">
        <f>IFERROR(VLOOKUP($A16&amp;"|3",'Criteria Library'!$B$5:$F$479,5,FALSE),"")</f>
        <v>We bid for and/or host major regional events.</v>
      </c>
      <c r="AB16" t="str">
        <f>IFERROR(VLOOKUP($A16&amp;"|4",'Criteria Library'!$B$5:$F$479,5,FALSE),"")</f>
        <v>We bid for and host major international events.</v>
      </c>
    </row>
    <row r="17" spans="1:28" s="28" customFormat="1" ht="126" customHeight="1">
      <c r="A17" s="45" t="s">
        <v>361</v>
      </c>
      <c r="B17" s="46" t="s">
        <v>362</v>
      </c>
      <c r="C17" s="47" t="s">
        <v>363</v>
      </c>
      <c r="D17" s="26"/>
      <c r="E17" s="110" t="str">
        <f>IF(D17="","",SUMIFS('Criteria Library'!$E$5:$E$479,'Criteria Library'!$A$5:$A$479,A17,'Criteria Library'!$F$5:$F$479,D17))</f>
        <v/>
      </c>
      <c r="F17" s="46" t="str">
        <f>IF(D17="","",IF(E17&gt;='Start Here'!$E$5,"Target achieved — Level "&amp;E17&amp;" meets or exceeds target Level "&amp;'Start Here'!$E$5&amp;".","Current Level "&amp;E17&amp;" → Target Level "&amp;'Start Here'!$E$5&amp;" ("&amp;('Start Here'!$E$5-E17)&amp;" level(s) to close)."))</f>
        <v/>
      </c>
      <c r="G17" s="47" t="str">
        <f>IF(D17="","",IF(E17&gt;='Start Here'!$E$5,"Target achieved. Sustain current practice and review periodically.",IF(AND(E17&lt;1,'Start Here'!$E$5&gt;=1),"LEVEL 1 — "&amp;VLOOKUP(A17&amp;"|1",'Criteria Library'!$B$5:$G$479,6,FALSE)&amp;CHAR(10)&amp;CHAR(10),"")&amp;IF(AND(E17&lt;2,'Start Here'!$E$5&gt;=2),"LEVEL 2 — "&amp;VLOOKUP(A17&amp;"|2",'Criteria Library'!$B$5:$G$479,6,FALSE)&amp;CHAR(10)&amp;CHAR(10),"")&amp;IF(AND(E17&lt;3,'Start Here'!$E$5&gt;=3),"LEVEL 3 — "&amp;VLOOKUP(A17&amp;"|3",'Criteria Library'!$B$5:$G$479,6,FALSE)&amp;CHAR(10)&amp;CHAR(10),"")&amp;IF(AND(E17&lt;4,'Start Here'!$E$5&gt;=4),"LEVEL 4 — "&amp;VLOOKUP(A17&amp;"|4",'Criteria Library'!$B$5:$G$479,6,FALSE),"")))</f>
        <v/>
      </c>
      <c r="H17" s="26"/>
      <c r="I17" s="26"/>
      <c r="J17" s="50"/>
      <c r="X17" t="str">
        <f>IFERROR(VLOOKUP($A17&amp;"|0",'Criteria Library'!$B$5:$F$479,5,FALSE),"")</f>
        <v>We have never attended a multisport Games.</v>
      </c>
      <c r="Y17" t="str">
        <f>IFERROR(VLOOKUP($A17&amp;"|1",'Criteria Library'!$B$5:$F$479,5,FALSE),"")</f>
        <v>The NOC organises travel for the delegation.</v>
      </c>
      <c r="Z17" t="str">
        <f>IFERROR(VLOOKUP($A17&amp;"|2",'Criteria Library'!$B$5:$F$479,5,FALSE),"")</f>
        <v>The NOC provides additional support in the form of uniforms and equipment and some funding.</v>
      </c>
      <c r="AA17" t="str">
        <f>IFERROR(VLOOKUP($A17&amp;"|3",'Criteria Library'!$B$5:$F$479,5,FALSE),"")</f>
        <v>The NOC provides comprehensive support for delegations, including team management and funding.</v>
      </c>
      <c r="AB17" t="str">
        <f>IFERROR(VLOOKUP($A17&amp;"|4",'Criteria Library'!$B$5:$F$479,5,FALSE),"")</f>
        <v>The NOC provides complete support for Games delegations including funding, all team staff and logistical support.</v>
      </c>
    </row>
    <row r="18" spans="1:28" s="28" customFormat="1" ht="126" customHeight="1">
      <c r="A18" s="45" t="s">
        <v>364</v>
      </c>
      <c r="B18" s="46" t="s">
        <v>365</v>
      </c>
      <c r="C18" s="47" t="s">
        <v>366</v>
      </c>
      <c r="D18" s="26"/>
      <c r="E18" s="110" t="str">
        <f>IF(D18="","",SUMIFS('Criteria Library'!$E$5:$E$479,'Criteria Library'!$A$5:$A$479,A18,'Criteria Library'!$F$5:$F$479,D18))</f>
        <v/>
      </c>
      <c r="F18" s="46" t="str">
        <f>IF(D18="","",IF(E18&gt;='Start Here'!$E$5,"Target achieved — Level "&amp;E18&amp;" meets or exceeds target Level "&amp;'Start Here'!$E$5&amp;".","Current Level "&amp;E18&amp;" → Target Level "&amp;'Start Here'!$E$5&amp;" ("&amp;('Start Here'!$E$5-E18)&amp;" level(s) to close)."))</f>
        <v/>
      </c>
      <c r="G18" s="47" t="str">
        <f>IF(D18="","",IF(E18&gt;='Start Here'!$E$5,"Target achieved. Sustain current practice and review periodically.",IF(AND(E18&lt;1,'Start Here'!$E$5&gt;=1),"LEVEL 1 — "&amp;VLOOKUP(A18&amp;"|1",'Criteria Library'!$B$5:$G$479,6,FALSE)&amp;CHAR(10)&amp;CHAR(10),"")&amp;IF(AND(E18&lt;2,'Start Here'!$E$5&gt;=2),"LEVEL 2 — "&amp;VLOOKUP(A18&amp;"|2",'Criteria Library'!$B$5:$G$479,6,FALSE)&amp;CHAR(10)&amp;CHAR(10),"")&amp;IF(AND(E18&lt;3,'Start Here'!$E$5&gt;=3),"LEVEL 3 — "&amp;VLOOKUP(A18&amp;"|3",'Criteria Library'!$B$5:$G$479,6,FALSE)&amp;CHAR(10)&amp;CHAR(10),"")&amp;IF(AND(E18&lt;4,'Start Here'!$E$5&gt;=4),"LEVEL 4 — "&amp;VLOOKUP(A18&amp;"|4",'Criteria Library'!$B$5:$G$479,6,FALSE),"")))</f>
        <v/>
      </c>
      <c r="H18" s="26"/>
      <c r="I18" s="26"/>
      <c r="J18" s="50"/>
      <c r="X18" t="str">
        <f>IFERROR(VLOOKUP($A18&amp;"|0",'Criteria Library'!$B$5:$F$479,5,FALSE),"")</f>
        <v>We have never done anything for Olympic Day.</v>
      </c>
      <c r="Y18" t="str">
        <f>IFERROR(VLOOKUP($A18&amp;"|1",'Criteria Library'!$B$5:$F$479,5,FALSE),"")</f>
        <v>Olympic Day activities are organised occasionally.</v>
      </c>
      <c r="Z18" t="str">
        <f>IFERROR(VLOOKUP($A18&amp;"|2",'Criteria Library'!$B$5:$F$479,5,FALSE),"")</f>
        <v>An Olympic Day activity is organised annually.</v>
      </c>
      <c r="AA18" t="str">
        <f>IFERROR(VLOOKUP($A18&amp;"|3",'Criteria Library'!$B$5:$F$479,5,FALSE),"")</f>
        <v>The NOC organises a programme of Olympic related events around Olympic Day.</v>
      </c>
      <c r="AB18" t="str">
        <f>IFERROR(VLOOKUP($A18&amp;"|4",'Criteria Library'!$B$5:$F$479,5,FALSE),"")</f>
        <v>The NOC organises an annual Olympic festival.</v>
      </c>
    </row>
    <row r="19" spans="1:28" s="28" customFormat="1" ht="126" customHeight="1">
      <c r="A19" s="45" t="s">
        <v>367</v>
      </c>
      <c r="B19" s="46" t="s">
        <v>368</v>
      </c>
      <c r="C19" s="47" t="s">
        <v>369</v>
      </c>
      <c r="D19" s="26"/>
      <c r="E19" s="110" t="str">
        <f>IF(D19="","",SUMIFS('Criteria Library'!$E$5:$E$479,'Criteria Library'!$A$5:$A$479,A19,'Criteria Library'!$F$5:$F$479,D19))</f>
        <v/>
      </c>
      <c r="F19" s="46" t="str">
        <f>IF(D19="","",IF(E19&gt;='Start Here'!$E$5,"Target achieved — Level "&amp;E19&amp;" meets or exceeds target Level "&amp;'Start Here'!$E$5&amp;".","Current Level "&amp;E19&amp;" → Target Level "&amp;'Start Here'!$E$5&amp;" ("&amp;('Start Here'!$E$5-E19)&amp;" level(s) to close)."))</f>
        <v/>
      </c>
      <c r="G19" s="47" t="str">
        <f>IF(D19="","",IF(E19&gt;='Start Here'!$E$5,"Target achieved. Sustain current practice and review periodically.",IF(AND(E19&lt;1,'Start Here'!$E$5&gt;=1),"LEVEL 1 — "&amp;VLOOKUP(A19&amp;"|1",'Criteria Library'!$B$5:$G$479,6,FALSE)&amp;CHAR(10)&amp;CHAR(10),"")&amp;IF(AND(E19&lt;2,'Start Here'!$E$5&gt;=2),"LEVEL 2 — "&amp;VLOOKUP(A19&amp;"|2",'Criteria Library'!$B$5:$G$479,6,FALSE)&amp;CHAR(10)&amp;CHAR(10),"")&amp;IF(AND(E19&lt;3,'Start Here'!$E$5&gt;=3),"LEVEL 3 — "&amp;VLOOKUP(A19&amp;"|3",'Criteria Library'!$B$5:$G$479,6,FALSE)&amp;CHAR(10)&amp;CHAR(10),"")&amp;IF(AND(E19&lt;4,'Start Here'!$E$5&gt;=4),"LEVEL 4 — "&amp;VLOOKUP(A19&amp;"|4",'Criteria Library'!$B$5:$G$479,6,FALSE),"")))</f>
        <v/>
      </c>
      <c r="H19" s="26"/>
      <c r="I19" s="26"/>
      <c r="J19" s="50"/>
      <c r="X19" t="str">
        <f>IFERROR(VLOOKUP($A19&amp;"|0",'Criteria Library'!$B$5:$F$479,5,FALSE),"")</f>
        <v>We have never considered it.</v>
      </c>
      <c r="Y19" t="str">
        <f>IFERROR(VLOOKUP($A19&amp;"|1",'Criteria Library'!$B$5:$F$479,5,FALSE),"")</f>
        <v>The NOC has some memorabilia but it generally stays with members or past members.</v>
      </c>
      <c r="Z19" t="str">
        <f>IFERROR(VLOOKUP($A19&amp;"|2",'Criteria Library'!$B$5:$F$479,5,FALSE),"")</f>
        <v>The NOC informally collects and displays Olympic-related  memorabilia in the NOC office.</v>
      </c>
      <c r="AA19" t="str">
        <f>IFERROR(VLOOKUP($A19&amp;"|3",'Criteria Library'!$B$5:$F$479,5,FALSE),"")</f>
        <v>The NOC has a formal collection of material that represents its athletes and its involvement in the Olympic Movement.</v>
      </c>
      <c r="AB19" t="str">
        <f>IFERROR(VLOOKUP($A19&amp;"|4",'Criteria Library'!$B$5:$F$479,5,FALSE),"")</f>
        <v>The NOC has a permanent collection of material, such as an Olympic Museum or Library, which represents its athletes and its involvement in the Olympic Movement, available to public.</v>
      </c>
    </row>
  </sheetData>
  <mergeCells count="10">
    <mergeCell ref="A1:J1"/>
    <mergeCell ref="A2:J2"/>
    <mergeCell ref="A4:B4"/>
    <mergeCell ref="A5:B6"/>
    <mergeCell ref="C4:D4"/>
    <mergeCell ref="C5:D6"/>
    <mergeCell ref="E4:F4"/>
    <mergeCell ref="E5:F6"/>
    <mergeCell ref="G4:J4"/>
    <mergeCell ref="G5:J6"/>
  </mergeCells>
  <conditionalFormatting sqref="E9:E19">
    <cfRule type="expression" dxfId="46" priority="1">
      <formula>AND($D9&lt;&gt;"",$E9=0)</formula>
    </cfRule>
    <cfRule type="expression" dxfId="45" priority="2">
      <formula>AND($D9&lt;&gt;"",$E9=1)</formula>
    </cfRule>
    <cfRule type="expression" dxfId="44" priority="3">
      <formula>AND($D9&lt;&gt;"",$E9=2)</formula>
    </cfRule>
    <cfRule type="expression" dxfId="43" priority="4">
      <formula>AND($D9&lt;&gt;"",$E9=3)</formula>
    </cfRule>
    <cfRule type="expression" dxfId="42" priority="5">
      <formula>AND($D9&lt;&gt;"",$E9=4)</formula>
    </cfRule>
  </conditionalFormatting>
  <dataValidations count="12">
    <dataValidation type="list" sqref="J9:J19" xr:uid="{00000000-0002-0000-0800-000000000000}">
      <formula1>"High,Medium,Low,Unverified"</formula1>
    </dataValidation>
    <dataValidation type="list" sqref="D9" xr:uid="{00000000-0002-0000-0800-000001000000}">
      <formula1>$X$9:$AB$9</formula1>
    </dataValidation>
    <dataValidation type="list" sqref="D10" xr:uid="{00000000-0002-0000-0800-000002000000}">
      <formula1>$X$10:$AB$10</formula1>
    </dataValidation>
    <dataValidation type="list" sqref="D11" xr:uid="{00000000-0002-0000-0800-000003000000}">
      <formula1>$X$11:$AB$11</formula1>
    </dataValidation>
    <dataValidation type="list" sqref="D12" xr:uid="{00000000-0002-0000-0800-000004000000}">
      <formula1>$X$12:$AB$12</formula1>
    </dataValidation>
    <dataValidation type="list" sqref="D13" xr:uid="{00000000-0002-0000-0800-000005000000}">
      <formula1>$X$13:$AB$13</formula1>
    </dataValidation>
    <dataValidation type="list" sqref="D14" xr:uid="{00000000-0002-0000-0800-000006000000}">
      <formula1>$X$14:$AB$14</formula1>
    </dataValidation>
    <dataValidation type="list" sqref="D15" xr:uid="{00000000-0002-0000-0800-000007000000}">
      <formula1>$X$15:$AB$15</formula1>
    </dataValidation>
    <dataValidation type="list" sqref="D16" xr:uid="{00000000-0002-0000-0800-000008000000}">
      <formula1>$X$16:$AB$16</formula1>
    </dataValidation>
    <dataValidation type="list" sqref="D17" xr:uid="{00000000-0002-0000-0800-000009000000}">
      <formula1>$X$17:$AB$17</formula1>
    </dataValidation>
    <dataValidation type="list" sqref="D18" xr:uid="{00000000-0002-0000-0800-00000A000000}">
      <formula1>$X$18:$AB$18</formula1>
    </dataValidation>
    <dataValidation type="list" sqref="D19" xr:uid="{00000000-0002-0000-0800-00000B000000}">
      <formula1>$X$19:$AB$19</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6"/>
  <sheetViews>
    <sheetView workbookViewId="0">
      <selection sqref="A1:J1"/>
    </sheetView>
  </sheetViews>
  <sheetFormatPr defaultRowHeight="14.25"/>
  <cols>
    <col min="1" max="1" width="7.875" customWidth="1"/>
    <col min="2" max="2" width="17.5" customWidth="1"/>
    <col min="3" max="3" width="28.375" customWidth="1"/>
    <col min="4" max="4" width="42" customWidth="1"/>
    <col min="5" max="5" width="8" customWidth="1"/>
    <col min="6" max="6" width="16.5" customWidth="1"/>
    <col min="7" max="7" width="44.875" customWidth="1"/>
    <col min="8" max="8" width="29.375" customWidth="1"/>
    <col min="9" max="9" width="26.75" customWidth="1"/>
    <col min="10" max="10" width="12" customWidth="1"/>
    <col min="24" max="28" width="2" customWidth="1"/>
  </cols>
  <sheetData>
    <row r="1" spans="1:28" s="28" customFormat="1" ht="21.75">
      <c r="A1" s="211" t="s">
        <v>370</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row r="4" spans="1:28" s="51" customFormat="1" ht="15.75">
      <c r="A4" s="215" t="s">
        <v>122</v>
      </c>
      <c r="B4" s="217"/>
      <c r="C4" s="215" t="s">
        <v>98</v>
      </c>
      <c r="D4" s="217"/>
      <c r="E4" s="215" t="s">
        <v>99</v>
      </c>
      <c r="F4" s="217"/>
      <c r="G4" s="215" t="s">
        <v>96</v>
      </c>
      <c r="H4" s="216"/>
      <c r="I4" s="216"/>
      <c r="J4" s="217"/>
    </row>
    <row r="5" spans="1:28" s="28" customFormat="1">
      <c r="A5" s="218" t="str">
        <f>IF(COUNT(E9:E16)=0,"",AVERAGE(E9:E16))</f>
        <v/>
      </c>
      <c r="B5" s="220"/>
      <c r="C5" s="236">
        <f>COUNT(E9:E16)/8</f>
        <v>0</v>
      </c>
      <c r="D5" s="238"/>
      <c r="E5" s="227">
        <f>COUNTIFS(D9:D16,"&lt;&gt;",E9:E16,"&lt;"&amp;'Start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row r="8" spans="1:28" s="28" customFormat="1" ht="15">
      <c r="A8" s="55" t="s">
        <v>123</v>
      </c>
      <c r="B8" s="56" t="s">
        <v>124</v>
      </c>
      <c r="C8" s="56" t="s">
        <v>125</v>
      </c>
      <c r="D8" s="56" t="s">
        <v>126</v>
      </c>
      <c r="E8" s="56" t="s">
        <v>127</v>
      </c>
      <c r="F8" s="56" t="s">
        <v>128</v>
      </c>
      <c r="G8" s="56" t="s">
        <v>129</v>
      </c>
      <c r="H8" s="56" t="s">
        <v>130</v>
      </c>
      <c r="I8" s="56" t="s">
        <v>131</v>
      </c>
      <c r="J8" s="57" t="s">
        <v>132</v>
      </c>
    </row>
    <row r="9" spans="1:28" s="28" customFormat="1" ht="125.25" customHeight="1">
      <c r="A9" s="45" t="s">
        <v>371</v>
      </c>
      <c r="B9" s="46" t="s">
        <v>372</v>
      </c>
      <c r="C9" s="47" t="s">
        <v>373</v>
      </c>
      <c r="D9" s="109"/>
      <c r="E9" s="110"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The NOC has no formal relationship with government.</v>
      </c>
      <c r="Y9" t="str">
        <f>IFERROR(VLOOKUP($A9&amp;"|1",'Criteria Library'!$B$5:$F$479,5,FALSE),"")</f>
        <v>There is an uneasy relationship with government based on a misunderstanding of each other's role in sport.</v>
      </c>
      <c r="Z9" t="str">
        <f>IFERROR(VLOOKUP($A9&amp;"|2",'Criteria Library'!$B$5:$F$479,5,FALSE),"")</f>
        <v>We work in co-operation with government on community sport related initiatives.</v>
      </c>
      <c r="AA9" t="str">
        <f>IFERROR(VLOOKUP($A9&amp;"|3",'Criteria Library'!$B$5:$F$479,5,FALSE),"")</f>
        <v>We co-operate over a range of community sport and national sport initiatives including policy development.</v>
      </c>
      <c r="AB9" t="str">
        <f>IFERROR(VLOOKUP($A9&amp;"|4",'Criteria Library'!$B$5:$F$479,5,FALSE),"")</f>
        <v>There is a positive and complementary relationship between activities of the NOC and government in all matters to do with sport.</v>
      </c>
    </row>
    <row r="10" spans="1:28" s="28" customFormat="1" ht="125.25" customHeight="1">
      <c r="A10" s="45" t="s">
        <v>374</v>
      </c>
      <c r="B10" s="46" t="s">
        <v>375</v>
      </c>
      <c r="C10" s="47" t="s">
        <v>376</v>
      </c>
      <c r="D10" s="109"/>
      <c r="E10" s="110"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Our NFs are not active.</v>
      </c>
      <c r="Y10" t="str">
        <f>IFERROR(VLOOKUP($A10&amp;"|1",'Criteria Library'!$B$5:$F$479,5,FALSE),"")</f>
        <v>Our NFs are not involved in the delivery of NOC activities.</v>
      </c>
      <c r="Z10" t="str">
        <f>IFERROR(VLOOKUP($A10&amp;"|2",'Criteria Library'!$B$5:$F$479,5,FALSE),"")</f>
        <v>Our NFs work with the NOC to deliver targeted sport activities.</v>
      </c>
      <c r="AA10" t="str">
        <f>IFERROR(VLOOKUP($A10&amp;"|3",'Criteria Library'!$B$5:$F$479,5,FALSE),"")</f>
        <v>Our NFs work in co-operation with the NOC to deliver a range of sport activities.</v>
      </c>
      <c r="AB10" t="str">
        <f>IFERROR(VLOOKUP($A10&amp;"|4",'Criteria Library'!$B$5:$F$479,5,FALSE),"")</f>
        <v>Our NFs are full partners with the NOC in the delivery of sport.</v>
      </c>
    </row>
    <row r="11" spans="1:28" s="28" customFormat="1" ht="125.25" customHeight="1">
      <c r="A11" s="45" t="s">
        <v>377</v>
      </c>
      <c r="B11" s="46" t="s">
        <v>378</v>
      </c>
      <c r="C11" s="47" t="s">
        <v>379</v>
      </c>
      <c r="D11" s="109"/>
      <c r="E11" s="110"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None</v>
      </c>
      <c r="Y11" t="str">
        <f>IFERROR(VLOOKUP($A11&amp;"|1",'Criteria Library'!$B$5:$F$479,5,FALSE),"")</f>
        <v>We make little impact.</v>
      </c>
      <c r="Z11" t="str">
        <f>IFERROR(VLOOKUP($A11&amp;"|2",'Criteria Library'!$B$5:$F$479,5,FALSE),"")</f>
        <v>We make an indirect impact via personal networks.</v>
      </c>
      <c r="AA11" t="str">
        <f>IFERROR(VLOOKUP($A11&amp;"|3",'Criteria Library'!$B$5:$F$479,5,FALSE),"")</f>
        <v>We make an impact via invitations to take part in working groups to shape sport policy.</v>
      </c>
      <c r="AB11" t="str">
        <f>IFERROR(VLOOKUP($A11&amp;"|4",'Criteria Library'!$B$5:$F$479,5,FALSE),"")</f>
        <v>The NOC is a lead agency in developing national sport policy.</v>
      </c>
    </row>
    <row r="12" spans="1:28" s="28" customFormat="1" ht="125.25" customHeight="1">
      <c r="A12" s="45" t="s">
        <v>380</v>
      </c>
      <c r="B12" s="46" t="s">
        <v>381</v>
      </c>
      <c r="C12" s="47" t="s">
        <v>382</v>
      </c>
      <c r="D12" s="109"/>
      <c r="E12" s="110"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The NOC works alone.</v>
      </c>
      <c r="Y12" t="str">
        <f>IFERROR(VLOOKUP($A12&amp;"|1",'Criteria Library'!$B$5:$F$479,5,FALSE),"")</f>
        <v>The NOC has a few partnerships based on personal relationships with Board members.</v>
      </c>
      <c r="Z12" t="str">
        <f>IFERROR(VLOOKUP($A12&amp;"|2",'Criteria Library'!$B$5:$F$479,5,FALSE),"")</f>
        <v>The NOC works in partnership with relevant agencies for specific activities on an Ad Hoc basis.</v>
      </c>
      <c r="AA12" t="str">
        <f>IFERROR(VLOOKUP($A12&amp;"|3",'Criteria Library'!$B$5:$F$479,5,FALSE),"")</f>
        <v>The NOC works in partnership with a range of commercial and non-commercial partners to deliver quality sport services.</v>
      </c>
      <c r="AB12" t="str">
        <f>IFERROR(VLOOKUP($A12&amp;"|4",'Criteria Library'!$B$5:$F$479,5,FALSE),"")</f>
        <v>The NOC has a number of formally endorsed partnerships to deliver a range of sport services.</v>
      </c>
    </row>
    <row r="13" spans="1:28" s="28" customFormat="1" ht="125.25" customHeight="1">
      <c r="A13" s="45" t="s">
        <v>383</v>
      </c>
      <c r="B13" s="46" t="s">
        <v>384</v>
      </c>
      <c r="C13" s="47" t="s">
        <v>385</v>
      </c>
      <c r="D13" s="109"/>
      <c r="E13" s="110"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It isn't.</v>
      </c>
      <c r="Y13" t="str">
        <f>IFERROR(VLOOKUP($A13&amp;"|1",'Criteria Library'!$B$5:$F$479,5,FALSE),"")</f>
        <v>The NOC and its members are represented on an ad-hoc basis at international meetings.</v>
      </c>
      <c r="Z13" t="str">
        <f>IFERROR(VLOOKUP($A13&amp;"|2",'Criteria Library'!$B$5:$F$479,5,FALSE),"")</f>
        <v>The NOC and its members are regularly represented at international meetings as an expert on the areas addressed there.</v>
      </c>
      <c r="AA13" t="str">
        <f>IFERROR(VLOOKUP($A13&amp;"|3",'Criteria Library'!$B$5:$F$479,5,FALSE),"")</f>
        <v>The NOC and its members are represented on continental bodies and/or commissions.</v>
      </c>
      <c r="AB13" t="str">
        <f>IFERROR(VLOOKUP($A13&amp;"|4",'Criteria Library'!$B$5:$F$479,5,FALSE),"")</f>
        <v>The NOC and its members are represented on IOC Commissions, ANOC, IFs and/or we have IOC members in country.</v>
      </c>
    </row>
    <row r="14" spans="1:28" s="28" customFormat="1" ht="125.25" customHeight="1">
      <c r="A14" s="45" t="s">
        <v>386</v>
      </c>
      <c r="B14" s="46" t="s">
        <v>387</v>
      </c>
      <c r="C14" s="47" t="s">
        <v>388</v>
      </c>
      <c r="D14" s="109"/>
      <c r="E14" s="110"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No representation.</v>
      </c>
      <c r="Y14" t="str">
        <f>IFERROR(VLOOKUP($A14&amp;"|1",'Criteria Library'!$B$5:$F$479,5,FALSE),"")</f>
        <v>Limited and based on personal networks.</v>
      </c>
      <c r="Z14" t="str">
        <f>IFERROR(VLOOKUP($A14&amp;"|2",'Criteria Library'!$B$5:$F$479,5,FALSE),"")</f>
        <v>The NOC has representation on community agencies</v>
      </c>
      <c r="AA14" t="str">
        <f>IFERROR(VLOOKUP($A14&amp;"|3",'Criteria Library'!$B$5:$F$479,5,FALSE),"")</f>
        <v>The NOC has representation on national agencies.</v>
      </c>
      <c r="AB14" t="str">
        <f>IFERROR(VLOOKUP($A14&amp;"|4",'Criteria Library'!$B$5:$F$479,5,FALSE),"")</f>
        <v>The NOC has representation on international agencies.</v>
      </c>
    </row>
    <row r="15" spans="1:28" s="28" customFormat="1" ht="125.25" customHeight="1">
      <c r="A15" s="45" t="s">
        <v>389</v>
      </c>
      <c r="B15" s="46" t="s">
        <v>390</v>
      </c>
      <c r="C15" s="47" t="s">
        <v>391</v>
      </c>
      <c r="D15" s="109"/>
      <c r="E15" s="110"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None.</v>
      </c>
      <c r="Y15" t="str">
        <f>IFERROR(VLOOKUP($A15&amp;"|1",'Criteria Library'!$B$5:$F$479,5,FALSE),"")</f>
        <v>Ad-hoc personal contact and/or through NFs.</v>
      </c>
      <c r="Z15" t="str">
        <f>IFERROR(VLOOKUP($A15&amp;"|2",'Criteria Library'!$B$5:$F$479,5,FALSE),"")</f>
        <v>We hold ad hoc forums for athletes as need arises, but direct contact is rare.</v>
      </c>
      <c r="AA15" t="str">
        <f>IFERROR(VLOOKUP($A15&amp;"|3",'Criteria Library'!$B$5:$F$479,5,FALSE),"")</f>
        <v>The NOC has a formal process of communicating with athletes through an active Athletes Commission.</v>
      </c>
      <c r="AB15" t="str">
        <f>IFERROR(VLOOKUP($A15&amp;"|4",'Criteria Library'!$B$5:$F$479,5,FALSE),"")</f>
        <v>The athlete representative is a vocal advocate for athletes' interest on the EB.</v>
      </c>
    </row>
    <row r="16" spans="1:28" s="28" customFormat="1" ht="125.25" customHeight="1">
      <c r="A16" s="45" t="s">
        <v>392</v>
      </c>
      <c r="B16" s="46" t="s">
        <v>393</v>
      </c>
      <c r="C16" s="47" t="s">
        <v>394</v>
      </c>
      <c r="D16" s="109"/>
      <c r="E16" s="110"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The NOC has no relationships with media.</v>
      </c>
      <c r="Y16" t="str">
        <f>IFERROR(VLOOKUP($A16&amp;"|1",'Criteria Library'!$B$5:$F$479,5,FALSE),"")</f>
        <v>We have individual relationships based on personal contacts.</v>
      </c>
      <c r="Z16" t="str">
        <f>IFERROR(VLOOKUP($A16&amp;"|2",'Criteria Library'!$B$5:$F$479,5,FALSE),"")</f>
        <v>The NOC makes formal approaches to media Organisations.</v>
      </c>
      <c r="AA16" t="str">
        <f>IFERROR(VLOOKUP($A16&amp;"|3",'Criteria Library'!$B$5:$F$479,5,FALSE),"")</f>
        <v>The NOC has a network of media contacts who consistently cover our activities and developments.</v>
      </c>
      <c r="AB16" t="str">
        <f>IFERROR(VLOOKUP($A16&amp;"|4",'Criteria Library'!$B$5:$F$479,5,FALSE),"")</f>
        <v>We have good relations with the media, which are driven by a Press Attaché or equivalent person.</v>
      </c>
    </row>
  </sheetData>
  <mergeCells count="10">
    <mergeCell ref="A1:J1"/>
    <mergeCell ref="A2:J2"/>
    <mergeCell ref="A4:B4"/>
    <mergeCell ref="A5:B6"/>
    <mergeCell ref="C4:D4"/>
    <mergeCell ref="C5:D6"/>
    <mergeCell ref="E4:F4"/>
    <mergeCell ref="E5:F6"/>
    <mergeCell ref="G4:J4"/>
    <mergeCell ref="G5:J6"/>
  </mergeCells>
  <conditionalFormatting sqref="E9:E16">
    <cfRule type="expression" dxfId="41" priority="1">
      <formula>AND($D9&lt;&gt;"",$E9=0)</formula>
    </cfRule>
    <cfRule type="expression" dxfId="40" priority="2">
      <formula>AND($D9&lt;&gt;"",$E9=1)</formula>
    </cfRule>
    <cfRule type="expression" dxfId="39" priority="3">
      <formula>AND($D9&lt;&gt;"",$E9=2)</formula>
    </cfRule>
    <cfRule type="expression" dxfId="38" priority="4">
      <formula>AND($D9&lt;&gt;"",$E9=3)</formula>
    </cfRule>
    <cfRule type="expression" dxfId="37" priority="5">
      <formula>AND($D9&lt;&gt;"",$E9=4)</formula>
    </cfRule>
  </conditionalFormatting>
  <dataValidations count="9">
    <dataValidation type="list" sqref="J9:J16" xr:uid="{00000000-0002-0000-0900-000000000000}">
      <formula1>"High,Medium,Low,Unverified"</formula1>
    </dataValidation>
    <dataValidation type="list" sqref="D9" xr:uid="{00000000-0002-0000-0900-000001000000}">
      <formula1>$X$9:$AB$9</formula1>
    </dataValidation>
    <dataValidation type="list" sqref="D10" xr:uid="{00000000-0002-0000-0900-000002000000}">
      <formula1>$X$10:$AB$10</formula1>
    </dataValidation>
    <dataValidation type="list" sqref="D11" xr:uid="{00000000-0002-0000-0900-000003000000}">
      <formula1>$X$11:$AB$11</formula1>
    </dataValidation>
    <dataValidation type="list" sqref="D12" xr:uid="{00000000-0002-0000-0900-000004000000}">
      <formula1>$X$12:$AB$12</formula1>
    </dataValidation>
    <dataValidation type="list" sqref="D13" xr:uid="{00000000-0002-0000-0900-000005000000}">
      <formula1>$X$13:$AB$13</formula1>
    </dataValidation>
    <dataValidation type="list" sqref="D14" xr:uid="{00000000-0002-0000-0900-000006000000}">
      <formula1>$X$14:$AB$14</formula1>
    </dataValidation>
    <dataValidation type="list" sqref="D15" xr:uid="{00000000-0002-0000-0900-000007000000}">
      <formula1>$X$15:$AB$15</formula1>
    </dataValidation>
    <dataValidation type="list" sqref="D16" xr:uid="{00000000-0002-0000-0900-000008000000}">
      <formula1>$X$16:$AB$16</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7"/>
  <sheetViews>
    <sheetView workbookViewId="0">
      <selection activeCell="D9" sqref="D9"/>
    </sheetView>
  </sheetViews>
  <sheetFormatPr defaultRowHeight="14.25"/>
  <cols>
    <col min="1" max="1" width="7.625" customWidth="1"/>
    <col min="2" max="2" width="17.75" customWidth="1"/>
    <col min="3" max="3" width="27" customWidth="1"/>
    <col min="4" max="4" width="42" customWidth="1"/>
    <col min="5" max="5" width="9" customWidth="1"/>
    <col min="6" max="6" width="17.5" customWidth="1"/>
    <col min="7" max="7" width="52.5" customWidth="1"/>
    <col min="8" max="8" width="29.75" customWidth="1"/>
    <col min="9" max="9" width="25.625" customWidth="1"/>
    <col min="10" max="10" width="13" customWidth="1"/>
    <col min="24" max="28" width="2" customWidth="1"/>
  </cols>
  <sheetData>
    <row r="1" spans="1:28" s="28" customFormat="1" ht="21.75">
      <c r="A1" s="211" t="s">
        <v>395</v>
      </c>
      <c r="B1" s="211"/>
      <c r="C1" s="211"/>
      <c r="D1" s="211"/>
      <c r="E1" s="211"/>
      <c r="F1" s="211"/>
      <c r="G1" s="211"/>
      <c r="H1" s="211"/>
      <c r="I1" s="211"/>
      <c r="J1" s="211"/>
    </row>
    <row r="2" spans="1:28" s="28" customFormat="1">
      <c r="A2" s="212" t="s">
        <v>121</v>
      </c>
      <c r="B2" s="213"/>
      <c r="C2" s="213"/>
      <c r="D2" s="213"/>
      <c r="E2" s="213"/>
      <c r="F2" s="213"/>
      <c r="G2" s="213"/>
      <c r="H2" s="213"/>
      <c r="I2" s="213"/>
      <c r="J2" s="214"/>
    </row>
    <row r="3" spans="1:28" s="28" customFormat="1"/>
    <row r="4" spans="1:28" s="51" customFormat="1" ht="15.75">
      <c r="A4" s="215" t="s">
        <v>122</v>
      </c>
      <c r="B4" s="217"/>
      <c r="C4" s="215" t="s">
        <v>98</v>
      </c>
      <c r="D4" s="217"/>
      <c r="E4" s="215" t="s">
        <v>99</v>
      </c>
      <c r="F4" s="217"/>
      <c r="G4" s="215" t="s">
        <v>96</v>
      </c>
      <c r="H4" s="216"/>
      <c r="I4" s="216"/>
      <c r="J4" s="217"/>
    </row>
    <row r="5" spans="1:28" s="28" customFormat="1">
      <c r="A5" s="218" t="str">
        <f>IF(COUNT(E9:E17)=0,"",AVERAGE(E9:E17))</f>
        <v/>
      </c>
      <c r="B5" s="220"/>
      <c r="C5" s="236">
        <f>COUNT(E9:E17)/9</f>
        <v>0</v>
      </c>
      <c r="D5" s="238"/>
      <c r="E5" s="227">
        <f>COUNTIFS(D9:D17,"&lt;&gt;",E9:E17,"&lt;"&amp;'Start Here'!$E$5)</f>
        <v>0</v>
      </c>
      <c r="F5" s="229"/>
      <c r="G5" s="227" t="str">
        <f>IF(A5="","Not assessed",IF(A5&lt;1,"Very low readiness",IF(A5&lt;2,"Emerging / informal",IF(A5&lt;3,"Developing",IF(A5&lt;3.5,"Functional / established","Mature / leading")))))</f>
        <v>Not assessed</v>
      </c>
      <c r="H5" s="228"/>
      <c r="I5" s="228"/>
      <c r="J5" s="229"/>
    </row>
    <row r="6" spans="1:28" s="28" customFormat="1">
      <c r="A6" s="224"/>
      <c r="B6" s="226"/>
      <c r="C6" s="242"/>
      <c r="D6" s="244"/>
      <c r="E6" s="233"/>
      <c r="F6" s="235"/>
      <c r="G6" s="233"/>
      <c r="H6" s="234"/>
      <c r="I6" s="234"/>
      <c r="J6" s="235"/>
    </row>
    <row r="7" spans="1:28" s="28" customFormat="1"/>
    <row r="8" spans="1:28" s="28" customFormat="1" ht="15">
      <c r="A8" s="55" t="s">
        <v>123</v>
      </c>
      <c r="B8" s="56" t="s">
        <v>124</v>
      </c>
      <c r="C8" s="56" t="s">
        <v>125</v>
      </c>
      <c r="D8" s="56" t="s">
        <v>126</v>
      </c>
      <c r="E8" s="56" t="s">
        <v>127</v>
      </c>
      <c r="F8" s="56" t="s">
        <v>128</v>
      </c>
      <c r="G8" s="56" t="s">
        <v>129</v>
      </c>
      <c r="H8" s="56" t="s">
        <v>130</v>
      </c>
      <c r="I8" s="56" t="s">
        <v>131</v>
      </c>
      <c r="J8" s="57" t="s">
        <v>132</v>
      </c>
    </row>
    <row r="9" spans="1:28" s="28" customFormat="1" ht="162.75" customHeight="1">
      <c r="A9" s="45" t="s">
        <v>396</v>
      </c>
      <c r="B9" s="46" t="s">
        <v>397</v>
      </c>
      <c r="C9" s="47" t="s">
        <v>398</v>
      </c>
      <c r="D9" s="26"/>
      <c r="E9" s="110" t="str">
        <f>IF(D9="","",SUMIFS('Criteria Library'!$E$5:$E$479,'Criteria Library'!$A$5:$A$479,A9,'Criteria Library'!$F$5:$F$479,D9))</f>
        <v/>
      </c>
      <c r="F9" s="46" t="str">
        <f>IF(D9="","",IF(E9&gt;='Start Here'!$E$5,"Target achieved — Level "&amp;E9&amp;" meets or exceeds target Level "&amp;'Start Here'!$E$5&amp;".","Current Level "&amp;E9&amp;" → Target Level "&amp;'Start Here'!$E$5&amp;" ("&amp;('Start Here'!$E$5-E9)&amp;" level(s) to close)."))</f>
        <v/>
      </c>
      <c r="G9" s="47" t="str">
        <f>IF(D9="","",IF(E9&gt;='Start Here'!$E$5,"Target achieved. Sustain current practice and review periodically.",IF(AND(E9&lt;1,'Start Here'!$E$5&gt;=1),"LEVEL 1 — "&amp;VLOOKUP(A9&amp;"|1",'Criteria Library'!$B$5:$G$479,6,FALSE)&amp;CHAR(10)&amp;CHAR(10),"")&amp;IF(AND(E9&lt;2,'Start Here'!$E$5&gt;=2),"LEVEL 2 — "&amp;VLOOKUP(A9&amp;"|2",'Criteria Library'!$B$5:$G$479,6,FALSE)&amp;CHAR(10)&amp;CHAR(10),"")&amp;IF(AND(E9&lt;3,'Start Here'!$E$5&gt;=3),"LEVEL 3 — "&amp;VLOOKUP(A9&amp;"|3",'Criteria Library'!$B$5:$G$479,6,FALSE)&amp;CHAR(10)&amp;CHAR(10),"")&amp;IF(AND(E9&lt;4,'Start Here'!$E$5&gt;=4),"LEVEL 4 — "&amp;VLOOKUP(A9&amp;"|4",'Criteria Library'!$B$5:$G$479,6,FALSE),"")))</f>
        <v/>
      </c>
      <c r="H9" s="26"/>
      <c r="I9" s="26"/>
      <c r="J9" s="50"/>
      <c r="X9" t="str">
        <f>IFERROR(VLOOKUP($A9&amp;"|0",'Criteria Library'!$B$5:$F$479,5,FALSE),"")</f>
        <v>No sport events are ever held.</v>
      </c>
      <c r="Y9" t="str">
        <f>IFERROR(VLOOKUP($A9&amp;"|1",'Criteria Library'!$B$5:$F$479,5,FALSE),"")</f>
        <v>Some local sport events are run outside of the sport system.</v>
      </c>
      <c r="Z9" t="str">
        <f>IFERROR(VLOOKUP($A9&amp;"|2",'Criteria Library'!$B$5:$F$479,5,FALSE),"")</f>
        <v>We host national competitions that are run by the NOC or at least 50% of NFs.</v>
      </c>
      <c r="AA9" t="str">
        <f>IFERROR(VLOOKUP($A9&amp;"|3",'Criteria Library'!$B$5:$F$479,5,FALSE),"")</f>
        <v>The country hosts regular national competitions according to the IF rules and by at least 75% of NFs.</v>
      </c>
      <c r="AB9" t="str">
        <f>IFERROR(VLOOKUP($A9&amp;"|4",'Criteria Library'!$B$5:$F$479,5,FALSE),"")</f>
        <v>The country hosts regularly international sport events which are run by an organising committee endorsed by their sport Organisation.</v>
      </c>
    </row>
    <row r="10" spans="1:28" s="28" customFormat="1" ht="162.75" customHeight="1">
      <c r="A10" s="45" t="s">
        <v>399</v>
      </c>
      <c r="B10" s="46" t="s">
        <v>400</v>
      </c>
      <c r="C10" s="47" t="s">
        <v>401</v>
      </c>
      <c r="D10" s="26"/>
      <c r="E10" s="110" t="str">
        <f>IF(D10="","",SUMIFS('Criteria Library'!$E$5:$E$479,'Criteria Library'!$A$5:$A$479,A10,'Criteria Library'!$F$5:$F$479,D10))</f>
        <v/>
      </c>
      <c r="F10" s="46" t="str">
        <f>IF(D10="","",IF(E10&gt;='Start Here'!$E$5,"Target achieved — Level "&amp;E10&amp;" meets or exceeds target Level "&amp;'Start Here'!$E$5&amp;".","Current Level "&amp;E10&amp;" → Target Level "&amp;'Start Here'!$E$5&amp;" ("&amp;('Start Here'!$E$5-E10)&amp;" level(s) to close)."))</f>
        <v/>
      </c>
      <c r="G10" s="47" t="str">
        <f>IF(D10="","",IF(E10&gt;='Start Here'!$E$5,"Target achieved. Sustain current practice and review periodically.",IF(AND(E10&lt;1,'Start Here'!$E$5&gt;=1),"LEVEL 1 — "&amp;VLOOKUP(A10&amp;"|1",'Criteria Library'!$B$5:$G$479,6,FALSE)&amp;CHAR(10)&amp;CHAR(10),"")&amp;IF(AND(E10&lt;2,'Start Here'!$E$5&gt;=2),"LEVEL 2 — "&amp;VLOOKUP(A10&amp;"|2",'Criteria Library'!$B$5:$G$479,6,FALSE)&amp;CHAR(10)&amp;CHAR(10),"")&amp;IF(AND(E10&lt;3,'Start Here'!$E$5&gt;=3),"LEVEL 3 — "&amp;VLOOKUP(A10&amp;"|3",'Criteria Library'!$B$5:$G$479,6,FALSE)&amp;CHAR(10)&amp;CHAR(10),"")&amp;IF(AND(E10&lt;4,'Start Here'!$E$5&gt;=4),"LEVEL 4 — "&amp;VLOOKUP(A10&amp;"|4",'Criteria Library'!$B$5:$G$479,6,FALSE),"")))</f>
        <v/>
      </c>
      <c r="H10" s="26"/>
      <c r="I10" s="26"/>
      <c r="J10" s="50"/>
      <c r="X10" t="str">
        <f>IFERROR(VLOOKUP($A10&amp;"|0",'Criteria Library'!$B$5:$F$479,5,FALSE),"")</f>
        <v>We have not participated in the Olympic Games.</v>
      </c>
      <c r="Y10" t="str">
        <f>IFERROR(VLOOKUP($A10&amp;"|1",'Criteria Library'!$B$5:$F$479,5,FALSE),"")</f>
        <v>Athletes did not qualify on merit, we attended via universality places only.</v>
      </c>
      <c r="Z10" t="str">
        <f>IFERROR(VLOOKUP($A10&amp;"|2",'Criteria Library'!$B$5:$F$479,5,FALSE),"")</f>
        <v>Most athletes qualify on merit.</v>
      </c>
      <c r="AA10" t="str">
        <f>IFERROR(VLOOKUP($A10&amp;"|3",'Criteria Library'!$B$5:$F$479,5,FALSE),"")</f>
        <v>Athletes won Olympic diplomas within the last three Olympiads.</v>
      </c>
      <c r="AB10" t="str">
        <f>IFERROR(VLOOKUP($A10&amp;"|4",'Criteria Library'!$B$5:$F$479,5,FALSE),"")</f>
        <v>Athletes have won medals within the past 3 Olympiads.</v>
      </c>
    </row>
    <row r="11" spans="1:28" s="28" customFormat="1" ht="162.75" customHeight="1">
      <c r="A11" s="45" t="s">
        <v>402</v>
      </c>
      <c r="B11" s="46" t="s">
        <v>403</v>
      </c>
      <c r="C11" s="47" t="s">
        <v>404</v>
      </c>
      <c r="D11" s="26"/>
      <c r="E11" s="110" t="str">
        <f>IF(D11="","",SUMIFS('Criteria Library'!$E$5:$E$479,'Criteria Library'!$A$5:$A$479,A11,'Criteria Library'!$F$5:$F$479,D11))</f>
        <v/>
      </c>
      <c r="F11" s="46" t="str">
        <f>IF(D11="","",IF(E11&gt;='Start Here'!$E$5,"Target achieved — Level "&amp;E11&amp;" meets or exceeds target Level "&amp;'Start Here'!$E$5&amp;".","Current Level "&amp;E11&amp;" → Target Level "&amp;'Start Here'!$E$5&amp;" ("&amp;('Start Here'!$E$5-E11)&amp;" level(s) to close)."))</f>
        <v/>
      </c>
      <c r="G11" s="47" t="str">
        <f>IF(D11="","",IF(E11&gt;='Start Here'!$E$5,"Target achieved. Sustain current practice and review periodically.",IF(AND(E11&lt;1,'Start Here'!$E$5&gt;=1),"LEVEL 1 — "&amp;VLOOKUP(A11&amp;"|1",'Criteria Library'!$B$5:$G$479,6,FALSE)&amp;CHAR(10)&amp;CHAR(10),"")&amp;IF(AND(E11&lt;2,'Start Here'!$E$5&gt;=2),"LEVEL 2 — "&amp;VLOOKUP(A11&amp;"|2",'Criteria Library'!$B$5:$G$479,6,FALSE)&amp;CHAR(10)&amp;CHAR(10),"")&amp;IF(AND(E11&lt;3,'Start Here'!$E$5&gt;=3),"LEVEL 3 — "&amp;VLOOKUP(A11&amp;"|3",'Criteria Library'!$B$5:$G$479,6,FALSE)&amp;CHAR(10)&amp;CHAR(10),"")&amp;IF(AND(E11&lt;4,'Start Here'!$E$5&gt;=4),"LEVEL 4 — "&amp;VLOOKUP(A11&amp;"|4",'Criteria Library'!$B$5:$G$479,6,FALSE),"")))</f>
        <v/>
      </c>
      <c r="H11" s="26"/>
      <c r="I11" s="26"/>
      <c r="J11" s="50"/>
      <c r="X11" t="str">
        <f>IFERROR(VLOOKUP($A11&amp;"|0",'Criteria Library'!$B$5:$F$479,5,FALSE),"")</f>
        <v>The minimum 5 to obtain NOC status</v>
      </c>
      <c r="Y11" t="str">
        <f>IFERROR(VLOOKUP($A11&amp;"|1",'Criteria Library'!$B$5:$F$479,5,FALSE),"")</f>
        <v>Up to 25% of core Olympic sports</v>
      </c>
      <c r="Z11" t="str">
        <f>IFERROR(VLOOKUP($A11&amp;"|2",'Criteria Library'!$B$5:$F$479,5,FALSE),"")</f>
        <v>About half of core Olympic sports.</v>
      </c>
      <c r="AA11" t="str">
        <f>IFERROR(VLOOKUP($A11&amp;"|3",'Criteria Library'!$B$5:$F$479,5,FALSE),"")</f>
        <v>Up to 80% of core Olympic sports.</v>
      </c>
      <c r="AB11" t="str">
        <f>IFERROR(VLOOKUP($A11&amp;"|4",'Criteria Library'!$B$5:$F$479,5,FALSE),"")</f>
        <v>All core Olympic sports.</v>
      </c>
    </row>
    <row r="12" spans="1:28" s="28" customFormat="1" ht="162.75" customHeight="1">
      <c r="A12" s="45" t="s">
        <v>405</v>
      </c>
      <c r="B12" s="46" t="s">
        <v>406</v>
      </c>
      <c r="C12" s="47" t="s">
        <v>407</v>
      </c>
      <c r="D12" s="26"/>
      <c r="E12" s="110" t="str">
        <f>IF(D12="","",SUMIFS('Criteria Library'!$E$5:$E$479,'Criteria Library'!$A$5:$A$479,A12,'Criteria Library'!$F$5:$F$479,D12))</f>
        <v/>
      </c>
      <c r="F12" s="46" t="str">
        <f>IF(D12="","",IF(E12&gt;='Start Here'!$E$5,"Target achieved — Level "&amp;E12&amp;" meets or exceeds target Level "&amp;'Start Here'!$E$5&amp;".","Current Level "&amp;E12&amp;" → Target Level "&amp;'Start Here'!$E$5&amp;" ("&amp;('Start Here'!$E$5-E12)&amp;" level(s) to close)."))</f>
        <v/>
      </c>
      <c r="G12" s="47" t="str">
        <f>IF(D12="","",IF(E12&gt;='Start Here'!$E$5,"Target achieved. Sustain current practice and review periodically.",IF(AND(E12&lt;1,'Start Here'!$E$5&gt;=1),"LEVEL 1 — "&amp;VLOOKUP(A12&amp;"|1",'Criteria Library'!$B$5:$G$479,6,FALSE)&amp;CHAR(10)&amp;CHAR(10),"")&amp;IF(AND(E12&lt;2,'Start Here'!$E$5&gt;=2),"LEVEL 2 — "&amp;VLOOKUP(A12&amp;"|2",'Criteria Library'!$B$5:$G$479,6,FALSE)&amp;CHAR(10)&amp;CHAR(10),"")&amp;IF(AND(E12&lt;3,'Start Here'!$E$5&gt;=3),"LEVEL 3 — "&amp;VLOOKUP(A12&amp;"|3",'Criteria Library'!$B$5:$G$479,6,FALSE)&amp;CHAR(10)&amp;CHAR(10),"")&amp;IF(AND(E12&lt;4,'Start Here'!$E$5&gt;=4),"LEVEL 4 — "&amp;VLOOKUP(A12&amp;"|4",'Criteria Library'!$B$5:$G$479,6,FALSE),"")))</f>
        <v/>
      </c>
      <c r="H12" s="26"/>
      <c r="I12" s="26"/>
      <c r="J12" s="50"/>
      <c r="X12" t="str">
        <f>IFERROR(VLOOKUP($A12&amp;"|0",'Criteria Library'!$B$5:$F$479,5,FALSE),"")</f>
        <v>Have not assessed the NF level of development.</v>
      </c>
      <c r="Y12" t="str">
        <f>IFERROR(VLOOKUP($A12&amp;"|1",'Criteria Library'!$B$5:$F$479,5,FALSE),"")</f>
        <v>Emerging level of development.</v>
      </c>
      <c r="Z12" t="str">
        <f>IFERROR(VLOOKUP($A12&amp;"|2",'Criteria Library'!$B$5:$F$479,5,FALSE),"")</f>
        <v>Developing level of development.</v>
      </c>
      <c r="AA12" t="str">
        <f>IFERROR(VLOOKUP($A12&amp;"|3",'Criteria Library'!$B$5:$F$479,5,FALSE),"")</f>
        <v>Established level of development.</v>
      </c>
      <c r="AB12" t="str">
        <f>IFERROR(VLOOKUP($A12&amp;"|4",'Criteria Library'!$B$5:$F$479,5,FALSE),"")</f>
        <v>Embedded level of development.</v>
      </c>
    </row>
    <row r="13" spans="1:28" s="28" customFormat="1" ht="162.75" customHeight="1">
      <c r="A13" s="45" t="s">
        <v>408</v>
      </c>
      <c r="B13" s="46" t="s">
        <v>409</v>
      </c>
      <c r="C13" s="47" t="s">
        <v>410</v>
      </c>
      <c r="D13" s="26"/>
      <c r="E13" s="110" t="str">
        <f>IF(D13="","",SUMIFS('Criteria Library'!$E$5:$E$479,'Criteria Library'!$A$5:$A$479,A13,'Criteria Library'!$F$5:$F$479,D13))</f>
        <v/>
      </c>
      <c r="F13" s="46" t="str">
        <f>IF(D13="","",IF(E13&gt;='Start Here'!$E$5,"Target achieved — Level "&amp;E13&amp;" meets or exceeds target Level "&amp;'Start Here'!$E$5&amp;".","Current Level "&amp;E13&amp;" → Target Level "&amp;'Start Here'!$E$5&amp;" ("&amp;('Start Here'!$E$5-E13)&amp;" level(s) to close)."))</f>
        <v/>
      </c>
      <c r="G13" s="47" t="str">
        <f>IF(D13="","",IF(E13&gt;='Start Here'!$E$5,"Target achieved. Sustain current practice and review periodically.",IF(AND(E13&lt;1,'Start Here'!$E$5&gt;=1),"LEVEL 1 — "&amp;VLOOKUP(A13&amp;"|1",'Criteria Library'!$B$5:$G$479,6,FALSE)&amp;CHAR(10)&amp;CHAR(10),"")&amp;IF(AND(E13&lt;2,'Start Here'!$E$5&gt;=2),"LEVEL 2 — "&amp;VLOOKUP(A13&amp;"|2",'Criteria Library'!$B$5:$G$479,6,FALSE)&amp;CHAR(10)&amp;CHAR(10),"")&amp;IF(AND(E13&lt;3,'Start Here'!$E$5&gt;=3),"LEVEL 3 — "&amp;VLOOKUP(A13&amp;"|3",'Criteria Library'!$B$5:$G$479,6,FALSE)&amp;CHAR(10)&amp;CHAR(10),"")&amp;IF(AND(E13&lt;4,'Start Here'!$E$5&gt;=4),"LEVEL 4 — "&amp;VLOOKUP(A13&amp;"|4",'Criteria Library'!$B$5:$G$479,6,FALSE),"")))</f>
        <v/>
      </c>
      <c r="H13" s="26"/>
      <c r="I13" s="26"/>
      <c r="J13" s="50"/>
      <c r="X13" t="str">
        <f>IFERROR(VLOOKUP($A13&amp;"|0",'Criteria Library'!$B$5:$F$479,5,FALSE),"")</f>
        <v>None. We only have recreational activity.</v>
      </c>
      <c r="Y13" t="str">
        <f>IFERROR(VLOOKUP($A13&amp;"|1",'Criteria Library'!$B$5:$F$479,5,FALSE),"")</f>
        <v>The country has no high-performance sport system – athletes are developed outside the country.</v>
      </c>
      <c r="Z13" t="str">
        <f>IFERROR(VLOOKUP($A13&amp;"|2",'Criteria Library'!$B$5:$F$479,5,FALSE),"")</f>
        <v>The NOC arranges for athletes to be prepared for international events.</v>
      </c>
      <c r="AA13" t="str">
        <f>IFERROR(VLOOKUP($A13&amp;"|3",'Criteria Library'!$B$5:$F$479,5,FALSE),"")</f>
        <v>The NOC works with partners to provide national opportunities for high performance sport.</v>
      </c>
      <c r="AB13" t="str">
        <f>IFERROR(VLOOKUP($A13&amp;"|4",'Criteria Library'!$B$5:$F$479,5,FALSE),"")</f>
        <v>The country has a formal and well-structured national high-performance sport system.</v>
      </c>
    </row>
    <row r="14" spans="1:28" s="28" customFormat="1" ht="162.75" customHeight="1">
      <c r="A14" s="45" t="s">
        <v>411</v>
      </c>
      <c r="B14" s="46" t="s">
        <v>412</v>
      </c>
      <c r="C14" s="47" t="s">
        <v>413</v>
      </c>
      <c r="D14" s="26"/>
      <c r="E14" s="110" t="str">
        <f>IF(D14="","",SUMIFS('Criteria Library'!$E$5:$E$479,'Criteria Library'!$A$5:$A$479,A14,'Criteria Library'!$F$5:$F$479,D14))</f>
        <v/>
      </c>
      <c r="F14" s="46" t="str">
        <f>IF(D14="","",IF(E14&gt;='Start Here'!$E$5,"Target achieved — Level "&amp;E14&amp;" meets or exceeds target Level "&amp;'Start Here'!$E$5&amp;".","Current Level "&amp;E14&amp;" → Target Level "&amp;'Start Here'!$E$5&amp;" ("&amp;('Start Here'!$E$5-E14)&amp;" level(s) to close)."))</f>
        <v/>
      </c>
      <c r="G14" s="47" t="str">
        <f>IF(D14="","",IF(E14&gt;='Start Here'!$E$5,"Target achieved. Sustain current practice and review periodically.",IF(AND(E14&lt;1,'Start Here'!$E$5&gt;=1),"LEVEL 1 — "&amp;VLOOKUP(A14&amp;"|1",'Criteria Library'!$B$5:$G$479,6,FALSE)&amp;CHAR(10)&amp;CHAR(10),"")&amp;IF(AND(E14&lt;2,'Start Here'!$E$5&gt;=2),"LEVEL 2 — "&amp;VLOOKUP(A14&amp;"|2",'Criteria Library'!$B$5:$G$479,6,FALSE)&amp;CHAR(10)&amp;CHAR(10),"")&amp;IF(AND(E14&lt;3,'Start Here'!$E$5&gt;=3),"LEVEL 3 — "&amp;VLOOKUP(A14&amp;"|3",'Criteria Library'!$B$5:$G$479,6,FALSE)&amp;CHAR(10)&amp;CHAR(10),"")&amp;IF(AND(E14&lt;4,'Start Here'!$E$5&gt;=4),"LEVEL 4 — "&amp;VLOOKUP(A14&amp;"|4",'Criteria Library'!$B$5:$G$479,6,FALSE),"")))</f>
        <v/>
      </c>
      <c r="H14" s="26"/>
      <c r="I14" s="26"/>
      <c r="J14" s="50"/>
      <c r="X14" t="str">
        <f>IFERROR(VLOOKUP($A14&amp;"|0",'Criteria Library'!$B$5:$F$479,5,FALSE),"")</f>
        <v>None, only recreational and public spaces.</v>
      </c>
      <c r="Y14" t="str">
        <f>IFERROR(VLOOKUP($A14&amp;"|1",'Criteria Library'!$B$5:$F$479,5,FALSE),"")</f>
        <v>There are no designated elite sport facilities in the country.</v>
      </c>
      <c r="Z14" t="str">
        <f>IFERROR(VLOOKUP($A14&amp;"|2",'Criteria Library'!$B$5:$F$479,5,FALSE),"")</f>
        <v>The country has standard facilities for hosting national events.</v>
      </c>
      <c r="AA14" t="str">
        <f>IFERROR(VLOOKUP($A14&amp;"|3",'Criteria Library'!$B$5:$F$479,5,FALSE),"")</f>
        <v>The country has some facilities that meet IF standards.</v>
      </c>
      <c r="AB14" t="str">
        <f>IFERROR(VLOOKUP($A14&amp;"|4",'Criteria Library'!$B$5:$F$479,5,FALSE),"")</f>
        <v>IF standard facilities for all significant sports are available in the country.</v>
      </c>
    </row>
    <row r="15" spans="1:28" s="28" customFormat="1" ht="162.75" customHeight="1">
      <c r="A15" s="45" t="s">
        <v>414</v>
      </c>
      <c r="B15" s="46" t="s">
        <v>415</v>
      </c>
      <c r="C15" s="47" t="s">
        <v>416</v>
      </c>
      <c r="D15" s="26"/>
      <c r="E15" s="110" t="str">
        <f>IF(D15="","",SUMIFS('Criteria Library'!$E$5:$E$479,'Criteria Library'!$A$5:$A$479,A15,'Criteria Library'!$F$5:$F$479,D15))</f>
        <v/>
      </c>
      <c r="F15" s="46" t="str">
        <f>IF(D15="","",IF(E15&gt;='Start Here'!$E$5,"Target achieved — Level "&amp;E15&amp;" meets or exceeds target Level "&amp;'Start Here'!$E$5&amp;".","Current Level "&amp;E15&amp;" → Target Level "&amp;'Start Here'!$E$5&amp;" ("&amp;('Start Here'!$E$5-E15)&amp;" level(s) to close)."))</f>
        <v/>
      </c>
      <c r="G15" s="47" t="str">
        <f>IF(D15="","",IF(E15&gt;='Start Here'!$E$5,"Target achieved. Sustain current practice and review periodically.",IF(AND(E15&lt;1,'Start Here'!$E$5&gt;=1),"LEVEL 1 — "&amp;VLOOKUP(A15&amp;"|1",'Criteria Library'!$B$5:$G$479,6,FALSE)&amp;CHAR(10)&amp;CHAR(10),"")&amp;IF(AND(E15&lt;2,'Start Here'!$E$5&gt;=2),"LEVEL 2 — "&amp;VLOOKUP(A15&amp;"|2",'Criteria Library'!$B$5:$G$479,6,FALSE)&amp;CHAR(10)&amp;CHAR(10),"")&amp;IF(AND(E15&lt;3,'Start Here'!$E$5&gt;=3),"LEVEL 3 — "&amp;VLOOKUP(A15&amp;"|3",'Criteria Library'!$B$5:$G$479,6,FALSE)&amp;CHAR(10)&amp;CHAR(10),"")&amp;IF(AND(E15&lt;4,'Start Here'!$E$5&gt;=4),"LEVEL 4 — "&amp;VLOOKUP(A15&amp;"|4",'Criteria Library'!$B$5:$G$479,6,FALSE),"")))</f>
        <v/>
      </c>
      <c r="H15" s="26"/>
      <c r="I15" s="26"/>
      <c r="J15" s="50"/>
      <c r="X15" t="str">
        <f>IFERROR(VLOOKUP($A15&amp;"|0",'Criteria Library'!$B$5:$F$479,5,FALSE),"")</f>
        <v>Our athletes have no access to sport science services.</v>
      </c>
      <c r="Y15" t="str">
        <f>IFERROR(VLOOKUP($A15&amp;"|1",'Criteria Library'!$B$5:$F$479,5,FALSE),"")</f>
        <v>Athletes rely on services that are available outside of the country.</v>
      </c>
      <c r="Z15" t="str">
        <f>IFERROR(VLOOKUP($A15&amp;"|2",'Criteria Library'!$B$5:$F$479,5,FALSE),"")</f>
        <v>The country has some national sport science services available through agencies, such as universities.</v>
      </c>
      <c r="AA15" t="str">
        <f>IFERROR(VLOOKUP($A15&amp;"|3",'Criteria Library'!$B$5:$F$479,5,FALSE),"")</f>
        <v>There is a national sport science programme for some sports.</v>
      </c>
      <c r="AB15" t="str">
        <f>IFERROR(VLOOKUP($A15&amp;"|4",'Criteria Library'!$B$5:$F$479,5,FALSE),"")</f>
        <v>The country has a sport science service framework involving a range of partners.</v>
      </c>
    </row>
    <row r="16" spans="1:28" s="28" customFormat="1" ht="162.75" customHeight="1">
      <c r="A16" s="45" t="s">
        <v>417</v>
      </c>
      <c r="B16" s="46" t="s">
        <v>64</v>
      </c>
      <c r="C16" s="47" t="s">
        <v>418</v>
      </c>
      <c r="D16" s="26"/>
      <c r="E16" s="110" t="str">
        <f>IF(D16="","",SUMIFS('Criteria Library'!$E$5:$E$479,'Criteria Library'!$A$5:$A$479,A16,'Criteria Library'!$F$5:$F$479,D16))</f>
        <v/>
      </c>
      <c r="F16" s="46" t="str">
        <f>IF(D16="","",IF(E16&gt;='Start Here'!$E$5,"Target achieved — Level "&amp;E16&amp;" meets or exceeds target Level "&amp;'Start Here'!$E$5&amp;".","Current Level "&amp;E16&amp;" → Target Level "&amp;'Start Here'!$E$5&amp;" ("&amp;('Start Here'!$E$5-E16)&amp;" level(s) to close)."))</f>
        <v/>
      </c>
      <c r="G16" s="47" t="str">
        <f>IF(D16="","",IF(E16&gt;='Start Here'!$E$5,"Target achieved. Sustain current practice and review periodically.",IF(AND(E16&lt;1,'Start Here'!$E$5&gt;=1),"LEVEL 1 — "&amp;VLOOKUP(A16&amp;"|1",'Criteria Library'!$B$5:$G$479,6,FALSE)&amp;CHAR(10)&amp;CHAR(10),"")&amp;IF(AND(E16&lt;2,'Start Here'!$E$5&gt;=2),"LEVEL 2 — "&amp;VLOOKUP(A16&amp;"|2",'Criteria Library'!$B$5:$G$479,6,FALSE)&amp;CHAR(10)&amp;CHAR(10),"")&amp;IF(AND(E16&lt;3,'Start Here'!$E$5&gt;=3),"LEVEL 3 — "&amp;VLOOKUP(A16&amp;"|3",'Criteria Library'!$B$5:$G$479,6,FALSE)&amp;CHAR(10)&amp;CHAR(10),"")&amp;IF(AND(E16&lt;4,'Start Here'!$E$5&gt;=4),"LEVEL 4 — "&amp;VLOOKUP(A16&amp;"|4",'Criteria Library'!$B$5:$G$479,6,FALSE),"")))</f>
        <v/>
      </c>
      <c r="H16" s="26"/>
      <c r="I16" s="26"/>
      <c r="J16" s="50"/>
      <c r="X16" t="str">
        <f>IFERROR(VLOOKUP($A16&amp;"|0",'Criteria Library'!$B$5:$F$479,5,FALSE),"")</f>
        <v>No support at all.</v>
      </c>
      <c r="Y16" t="str">
        <f>IFERROR(VLOOKUP($A16&amp;"|1",'Criteria Library'!$B$5:$F$479,5,FALSE),"")</f>
        <v>Support is available when external grants are made available such as OS scholarships.</v>
      </c>
      <c r="Z16" t="str">
        <f>IFERROR(VLOOKUP($A16&amp;"|2",'Criteria Library'!$B$5:$F$479,5,FALSE),"")</f>
        <v>Incentive payments are available for athlete achievement, from either government or commercial sponsors.</v>
      </c>
      <c r="AA16" t="str">
        <f>IFERROR(VLOOKUP($A16&amp;"|3",'Criteria Library'!$B$5:$F$479,5,FALSE),"")</f>
        <v>There is adequate support to enable high level athletes to train and compete on a full-time basis.</v>
      </c>
      <c r="AB16" t="str">
        <f>IFERROR(VLOOKUP($A16&amp;"|4",'Criteria Library'!$B$5:$F$479,5,FALSE),"")</f>
        <v>Most high-level athletes are able to sustain themselves on income generated from their sport achievements.</v>
      </c>
    </row>
    <row r="17" spans="1:28" s="28" customFormat="1" ht="162.75" customHeight="1">
      <c r="A17" s="45" t="s">
        <v>419</v>
      </c>
      <c r="B17" s="46" t="s">
        <v>420</v>
      </c>
      <c r="C17" s="47" t="s">
        <v>421</v>
      </c>
      <c r="D17" s="26"/>
      <c r="E17" s="110" t="str">
        <f>IF(D17="","",SUMIFS('Criteria Library'!$E$5:$E$479,'Criteria Library'!$A$5:$A$479,A17,'Criteria Library'!$F$5:$F$479,D17))</f>
        <v/>
      </c>
      <c r="F17" s="46" t="str">
        <f>IF(D17="","",IF(E17&gt;='Start Here'!$E$5,"Target achieved — Level "&amp;E17&amp;" meets or exceeds target Level "&amp;'Start Here'!$E$5&amp;".","Current Level "&amp;E17&amp;" → Target Level "&amp;'Start Here'!$E$5&amp;" ("&amp;('Start Here'!$E$5-E17)&amp;" level(s) to close)."))</f>
        <v/>
      </c>
      <c r="G17" s="47" t="str">
        <f>IF(D17="","",IF(E17&gt;='Start Here'!$E$5,"Target achieved. Sustain current practice and review periodically.",IF(AND(E17&lt;1,'Start Here'!$E$5&gt;=1),"LEVEL 1 — "&amp;VLOOKUP(A17&amp;"|1",'Criteria Library'!$B$5:$G$479,6,FALSE)&amp;CHAR(10)&amp;CHAR(10),"")&amp;IF(AND(E17&lt;2,'Start Here'!$E$5&gt;=2),"LEVEL 2 — "&amp;VLOOKUP(A17&amp;"|2",'Criteria Library'!$B$5:$G$479,6,FALSE)&amp;CHAR(10)&amp;CHAR(10),"")&amp;IF(AND(E17&lt;3,'Start Here'!$E$5&gt;=3),"LEVEL 3 — "&amp;VLOOKUP(A17&amp;"|3",'Criteria Library'!$B$5:$G$479,6,FALSE)&amp;CHAR(10)&amp;CHAR(10),"")&amp;IF(AND(E17&lt;4,'Start Here'!$E$5&gt;=4),"LEVEL 4 — "&amp;VLOOKUP(A17&amp;"|4",'Criteria Library'!$B$5:$G$479,6,FALSE),"")))</f>
        <v/>
      </c>
      <c r="H17" s="26"/>
      <c r="I17" s="26"/>
      <c r="J17" s="50"/>
      <c r="X17" t="str">
        <f>IFERROR(VLOOKUP($A17&amp;"|0",'Criteria Library'!$B$5:$F$479,5,FALSE),"")</f>
        <v>Not considered.</v>
      </c>
      <c r="Y17" t="str">
        <f>IFERROR(VLOOKUP($A17&amp;"|1",'Criteria Library'!$B$5:$F$479,5,FALSE),"")</f>
        <v>There is no systematic process of Talent ID and development.</v>
      </c>
      <c r="Z17" t="str">
        <f>IFERROR(VLOOKUP($A17&amp;"|2",'Criteria Library'!$B$5:$F$479,5,FALSE),"")</f>
        <v>Some Talent ID activities are carried out, but athletes are developed abroad.</v>
      </c>
      <c r="AA17" t="str">
        <f>IFERROR(VLOOKUP($A17&amp;"|3",'Criteria Library'!$B$5:$F$479,5,FALSE),"")</f>
        <v>There is a Talent ID programme in place and some in-country athlete development occurs.</v>
      </c>
      <c r="AB17" t="str">
        <f>IFERROR(VLOOKUP($A17&amp;"|4",'Criteria Library'!$B$5:$F$479,5,FALSE),"")</f>
        <v>There is a systematic in-country Talent ID and development framework.</v>
      </c>
    </row>
  </sheetData>
  <mergeCells count="10">
    <mergeCell ref="A1:J1"/>
    <mergeCell ref="A2:J2"/>
    <mergeCell ref="A4:B4"/>
    <mergeCell ref="A5:B6"/>
    <mergeCell ref="C4:D4"/>
    <mergeCell ref="C5:D6"/>
    <mergeCell ref="E4:F4"/>
    <mergeCell ref="E5:F6"/>
    <mergeCell ref="G4:J4"/>
    <mergeCell ref="G5:J6"/>
  </mergeCells>
  <conditionalFormatting sqref="E9:E17">
    <cfRule type="expression" dxfId="36" priority="1">
      <formula>AND($D9&lt;&gt;"",$E9=0)</formula>
    </cfRule>
    <cfRule type="expression" dxfId="35" priority="2">
      <formula>AND($D9&lt;&gt;"",$E9=1)</formula>
    </cfRule>
    <cfRule type="expression" dxfId="34" priority="3">
      <formula>AND($D9&lt;&gt;"",$E9=2)</formula>
    </cfRule>
    <cfRule type="expression" dxfId="33" priority="4">
      <formula>AND($D9&lt;&gt;"",$E9=3)</formula>
    </cfRule>
    <cfRule type="expression" dxfId="32" priority="5">
      <formula>AND($D9&lt;&gt;"",$E9=4)</formula>
    </cfRule>
  </conditionalFormatting>
  <dataValidations count="10">
    <dataValidation type="list" sqref="J9:J17" xr:uid="{00000000-0002-0000-0A00-000000000000}">
      <formula1>"High,Medium,Low,Unverified"</formula1>
    </dataValidation>
    <dataValidation type="list" sqref="D9" xr:uid="{00000000-0002-0000-0A00-000001000000}">
      <formula1>$X$9:$AB$9</formula1>
    </dataValidation>
    <dataValidation type="list" sqref="D10" xr:uid="{00000000-0002-0000-0A00-000002000000}">
      <formula1>$X$10:$AB$10</formula1>
    </dataValidation>
    <dataValidation type="list" sqref="D11" xr:uid="{00000000-0002-0000-0A00-000003000000}">
      <formula1>$X$11:$AB$11</formula1>
    </dataValidation>
    <dataValidation type="list" sqref="D12" xr:uid="{00000000-0002-0000-0A00-000004000000}">
      <formula1>$X$12:$AB$12</formula1>
    </dataValidation>
    <dataValidation type="list" sqref="D13" xr:uid="{00000000-0002-0000-0A00-000005000000}">
      <formula1>$X$13:$AB$13</formula1>
    </dataValidation>
    <dataValidation type="list" sqref="D14" xr:uid="{00000000-0002-0000-0A00-000006000000}">
      <formula1>$X$14:$AB$14</formula1>
    </dataValidation>
    <dataValidation type="list" sqref="D15" xr:uid="{00000000-0002-0000-0A00-000007000000}">
      <formula1>$X$15:$AB$15</formula1>
    </dataValidation>
    <dataValidation type="list" sqref="D16" xr:uid="{00000000-0002-0000-0A00-000008000000}">
      <formula1>$X$16:$AB$16</formula1>
    </dataValidation>
    <dataValidation type="list" sqref="D17" xr:uid="{00000000-0002-0000-0A00-000009000000}">
      <formula1>$X$17:$AB$17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99"/>
  <sheetViews>
    <sheetView workbookViewId="0">
      <selection sqref="A1:J1"/>
    </sheetView>
  </sheetViews>
  <sheetFormatPr defaultRowHeight="14.25"/>
  <cols>
    <col min="1" max="1" width="8" customWidth="1"/>
    <col min="2" max="2" width="8.25" customWidth="1"/>
    <col min="3" max="3" width="13.875" customWidth="1"/>
    <col min="4" max="4" width="17.75" customWidth="1"/>
    <col min="5" max="5" width="11" style="23" customWidth="1"/>
    <col min="6" max="6" width="12.625" style="23" customWidth="1"/>
    <col min="7" max="7" width="16.5" customWidth="1"/>
    <col min="8" max="8" width="60" customWidth="1"/>
    <col min="9" max="9" width="12.625" customWidth="1"/>
    <col min="10" max="10" width="48" customWidth="1"/>
    <col min="11" max="11" width="0" hidden="1" customWidth="1"/>
    <col min="12" max="17" width="3" hidden="1" customWidth="1"/>
    <col min="18" max="18" width="0" hidden="1" customWidth="1"/>
  </cols>
  <sheetData>
    <row r="1" spans="1:17" s="28" customFormat="1" ht="21.75">
      <c r="A1" s="211" t="s">
        <v>422</v>
      </c>
      <c r="B1" s="211"/>
      <c r="C1" s="211"/>
      <c r="D1" s="211"/>
      <c r="E1" s="211"/>
      <c r="F1" s="211"/>
      <c r="G1" s="211"/>
      <c r="H1" s="211"/>
      <c r="I1" s="211"/>
      <c r="J1" s="211"/>
    </row>
    <row r="2" spans="1:17" s="28" customFormat="1">
      <c r="A2" s="212" t="s">
        <v>423</v>
      </c>
      <c r="B2" s="213"/>
      <c r="C2" s="213"/>
      <c r="D2" s="213"/>
      <c r="E2" s="213"/>
      <c r="F2" s="213"/>
      <c r="G2" s="213"/>
      <c r="H2" s="213"/>
      <c r="I2" s="213"/>
      <c r="J2" s="214"/>
    </row>
    <row r="3" spans="1:17" s="28" customFormat="1">
      <c r="E3" s="48"/>
      <c r="F3" s="48"/>
    </row>
    <row r="4" spans="1:17" s="43" customFormat="1" ht="36">
      <c r="A4" s="40" t="s">
        <v>424</v>
      </c>
      <c r="B4" s="41" t="s">
        <v>123</v>
      </c>
      <c r="C4" s="41" t="s">
        <v>50</v>
      </c>
      <c r="D4" s="41" t="s">
        <v>425</v>
      </c>
      <c r="E4" s="41" t="s">
        <v>426</v>
      </c>
      <c r="F4" s="44" t="s">
        <v>132</v>
      </c>
      <c r="G4" s="41" t="s">
        <v>128</v>
      </c>
      <c r="H4" s="41" t="s">
        <v>427</v>
      </c>
      <c r="I4" s="41" t="s">
        <v>428</v>
      </c>
      <c r="J4" s="42" t="s">
        <v>429</v>
      </c>
      <c r="L4" s="43" t="s">
        <v>123</v>
      </c>
      <c r="M4" s="43" t="s">
        <v>50</v>
      </c>
      <c r="N4" s="43" t="s">
        <v>124</v>
      </c>
      <c r="O4" s="43" t="s">
        <v>430</v>
      </c>
      <c r="P4" s="43" t="s">
        <v>431</v>
      </c>
      <c r="Q4" s="43" t="s">
        <v>432</v>
      </c>
    </row>
    <row r="5" spans="1:17" s="28" customFormat="1" ht="20.25">
      <c r="A5" s="102">
        <v>1</v>
      </c>
      <c r="B5" s="58" t="str">
        <f>IF(LARGE($P$5:$P$99,1)=0,"",INDEX($L$5:$L$99,MATCH(LARGE($P$5:$P$99,1),$P$5:$P$99,0)))</f>
        <v/>
      </c>
      <c r="C5" s="58" t="str">
        <f>IF(B5="","",INDEX($M$5:$M$99,MATCH(LARGE($P$5:$P$99,1),$P$5:$P$99,0)))</f>
        <v/>
      </c>
      <c r="D5" s="58" t="str">
        <f>IF(B5="","",INDEX($N$5:$N$99,MATCH(LARGE($P$5:$P$99,1),$P$5:$P$99,0)))</f>
        <v/>
      </c>
      <c r="E5" s="64" t="str">
        <f>IF(B5="","",IF(C5="Governance",INDEX(Governance!$E:$E,INDEX($O$5:$O$99,MATCH(LARGE($P$5:$P$99,1),$P$5:$P$99,0))),IF(C5="Management",INDEX(Management!$E:$E,INDEX($O$5:$O$99,MATCH(LARGE($P$5:$P$99,1),$P$5:$P$99,0))),IF(C5="Human Resources",INDEX('Human Resources'!$E:$E,INDEX($O$5:$O$99,MATCH(LARGE($P$5:$P$99,1),$P$5:$P$99,0))),IF(C5="Finance",INDEX(Finance!$E:$E,INDEX($O$5:$O$99,MATCH(LARGE($P$5:$P$99,1),$P$5:$P$99,0))),IF(C5="Marketing &amp; Communications",INDEX('Marketing &amp; Communications'!$E:$E,INDEX($O$5:$O$99,MATCH(LARGE($P$5:$P$99,1),$P$5:$P$99,0))),IF(C5="NOC Services",INDEX('NOC Services'!$E:$E,INDEX($O$5:$O$99,MATCH(LARGE($P$5:$P$99,1),$P$5:$P$99,0))),IF(C5="External Relations",INDEX('External Relations'!$E:$E,INDEX($O$5:$O$99,MATCH(LARGE($P$5:$P$99,1),$P$5:$P$99,0))),IF(C5="Sporting Environment",INDEX('Sporting Environment'!$E:$E,INDEX($O$5:$O$99,MATCH(LARGE($P$5:$P$99,1),$P$5:$P$99,0))),"")))))))))</f>
        <v/>
      </c>
      <c r="F5" s="64" t="str">
        <f>IF(B5="","",IF(C5="Governance",INDEX(Governance!$J:$J,INDEX($O$5:$O$99,MATCH(LARGE($P$5:$P$99,1),$P$5:$P$99,0))),IF(C5="Management",INDEX(Management!$J:$J,INDEX($O$5:$O$99,MATCH(LARGE($P$5:$P$99,1),$P$5:$P$99,0))),IF(C5="Human Resources",INDEX('Human Resources'!$J:$J,INDEX($O$5:$O$99,MATCH(LARGE($P$5:$P$99,1),$P$5:$P$99,0))),IF(C5="Finance",INDEX(Finance!$J:$J,INDEX($O$5:$O$99,MATCH(LARGE($P$5:$P$99,1),$P$5:$P$99,0))),IF(C5="Marketing &amp; Communications",INDEX('Marketing &amp; Communications'!$J:$J,INDEX($O$5:$O$99,MATCH(LARGE($P$5:$P$99,1),$P$5:$P$99,0))),IF(C5="NOC Services",INDEX('NOC Services'!$J:$J,INDEX($O$5:$O$99,MATCH(LARGE($P$5:$P$99,1),$P$5:$P$99,0))),IF(C5="External Relations",INDEX('External Relations'!$J:$J,INDEX($O$5:$O$99,MATCH(LARGE($P$5:$P$99,1),$P$5:$P$99,0))),IF(C5="Sporting Environment",INDEX('Sporting Environment'!$J:$J,INDEX($O$5:$O$99,MATCH(LARGE($P$5:$P$99,1),$P$5:$P$99,0))),"")))))))))</f>
        <v/>
      </c>
      <c r="G5" s="105" t="str">
        <f>IF(B5="","",IF(C5="Governance",INDEX(Governance!$F:$F,INDEX($O$5:$O$99,MATCH(LARGE($P$5:$P$99,1),$P$5:$P$99,0))),IF(C5="Management",INDEX(Management!$F:$F,INDEX($O$5:$O$99,MATCH(LARGE($P$5:$P$99,1),$P$5:$P$99,0))),IF(C5="Human Resources",INDEX('Human Resources'!$F:$F,INDEX($O$5:$O$99,MATCH(LARGE($P$5:$P$99,1),$P$5:$P$99,0))),IF(C5="Finance",INDEX(Finance!$F:$F,INDEX($O$5:$O$99,MATCH(LARGE($P$5:$P$99,1),$P$5:$P$99,0))),IF(C5="Marketing &amp; Communications",INDEX('Marketing &amp; Communications'!$F:$F,INDEX($O$5:$O$99,MATCH(LARGE($P$5:$P$99,1),$P$5:$P$99,0))),IF(C5="NOC Services",INDEX('NOC Services'!$F:$F,INDEX($O$5:$O$99,MATCH(LARGE($P$5:$P$99,1),$P$5:$P$99,0))),IF(C5="External Relations",INDEX('External Relations'!$F:$F,INDEX($O$5:$O$99,MATCH(LARGE($P$5:$P$99,1),$P$5:$P$99,0))),IF(C5="Sporting Environment",INDEX('Sporting Environment'!$F:$F,INDEX($O$5:$O$99,MATCH(LARGE($P$5:$P$99,1),$P$5:$P$99,0))),"")))))))))</f>
        <v/>
      </c>
      <c r="H5" s="59" t="str">
        <f>IF(B5="","",IF(C5="Governance",INDEX(Governance!$G:$G,INDEX($O$5:$O$99,MATCH(LARGE($P$5:$P$99,1),$P$5:$P$99,0))),IF(C5="Management",INDEX(Management!$G:$G,INDEX($O$5:$O$99,MATCH(LARGE($P$5:$P$99,1),$P$5:$P$99,0))),IF(C5="Human Resources",INDEX('Human Resources'!$G:$G,INDEX($O$5:$O$99,MATCH(LARGE($P$5:$P$99,1),$P$5:$P$99,0))),IF(C5="Finance",INDEX(Finance!$G:$G,INDEX($O$5:$O$99,MATCH(LARGE($P$5:$P$99,1),$P$5:$P$99,0))),IF(C5="Marketing &amp; Communications",INDEX('Marketing &amp; Communications'!$G:$G,INDEX($O$5:$O$99,MATCH(LARGE($P$5:$P$99,1),$P$5:$P$99,0))),IF(C5="NOC Services",INDEX('NOC Services'!$G:$G,INDEX($O$5:$O$99,MATCH(LARGE($P$5:$P$99,1),$P$5:$P$99,0))),IF(C5="External Relations",INDEX('External Relations'!$G:$G,INDEX($O$5:$O$99,MATCH(LARGE($P$5:$P$99,1),$P$5:$P$99,0))),IF(C5="Sporting Environment",INDEX('Sporting Environment'!$G:$G,INDEX($O$5:$O$99,MATCH(LARGE($P$5:$P$99,1),$P$5:$P$99,0))),"")))))))))</f>
        <v/>
      </c>
      <c r="I5" s="108" t="s">
        <v>433</v>
      </c>
      <c r="J5" s="49"/>
      <c r="L5" s="28" t="s">
        <v>133</v>
      </c>
      <c r="M5" s="28" t="s">
        <v>58</v>
      </c>
      <c r="N5" s="28" t="s">
        <v>134</v>
      </c>
      <c r="O5" s="28">
        <v>9</v>
      </c>
      <c r="P5" s="28">
        <f>IF(Governance!D9="",0,IF(Governance!E9&gt;='Start Here'!$E$5,0,(('Start Here'!$E$5-Governance!E9)*100000)+IF(Governance!J9="High",3000,IF(Governance!J9="Medium",2000,IF(Governance!J9="Low",1000,0)))+(1000-ROW())))</f>
        <v>0</v>
      </c>
      <c r="Q5" s="28" t="s">
        <v>58</v>
      </c>
    </row>
    <row r="6" spans="1:17" s="28" customFormat="1" ht="20.25">
      <c r="A6" s="103">
        <v>2</v>
      </c>
      <c r="B6" s="60" t="str">
        <f>IF(LARGE($P$5:$P$99,2)=0,"",INDEX($L$5:$L$99,MATCH(LARGE($P$5:$P$99,2),$P$5:$P$99,0)))</f>
        <v/>
      </c>
      <c r="C6" s="60" t="str">
        <f>IF(B6="","",INDEX($M$5:$M$99,MATCH(LARGE($P$5:$P$99,2),$P$5:$P$99,0)))</f>
        <v/>
      </c>
      <c r="D6" s="60" t="str">
        <f>IF(B6="","",INDEX($N$5:$N$99,MATCH(LARGE($P$5:$P$99,2),$P$5:$P$99,0)))</f>
        <v/>
      </c>
      <c r="E6" s="65" t="str">
        <f>IF(B6="","",IF(C6="Governance",INDEX(Governance!$E:$E,INDEX($O$5:$O$99,MATCH(LARGE($P$5:$P$99,2),$P$5:$P$99,0))),IF(C6="Management",INDEX(Management!$E:$E,INDEX($O$5:$O$99,MATCH(LARGE($P$5:$P$99,2),$P$5:$P$99,0))),IF(C6="Human Resources",INDEX('Human Resources'!$E:$E,INDEX($O$5:$O$99,MATCH(LARGE($P$5:$P$99,2),$P$5:$P$99,0))),IF(C6="Finance",INDEX(Finance!$E:$E,INDEX($O$5:$O$99,MATCH(LARGE($P$5:$P$99,2),$P$5:$P$99,0))),IF(C6="Marketing &amp; Communications",INDEX('Marketing &amp; Communications'!$E:$E,INDEX($O$5:$O$99,MATCH(LARGE($P$5:$P$99,2),$P$5:$P$99,0))),IF(C6="NOC Services",INDEX('NOC Services'!$E:$E,INDEX($O$5:$O$99,MATCH(LARGE($P$5:$P$99,2),$P$5:$P$99,0))),IF(C6="External Relations",INDEX('External Relations'!$E:$E,INDEX($O$5:$O$99,MATCH(LARGE($P$5:$P$99,2),$P$5:$P$99,0))),IF(C6="Sporting Environment",INDEX('Sporting Environment'!$E:$E,INDEX($O$5:$O$99,MATCH(LARGE($P$5:$P$99,2),$P$5:$P$99,0))),"")))))))))</f>
        <v/>
      </c>
      <c r="F6" s="65" t="str">
        <f>IF(B6="","",IF(C6="Governance",INDEX(Governance!$J:$J,INDEX($O$5:$O$99,MATCH(LARGE($P$5:$P$99,2),$P$5:$P$99,0))),IF(C6="Management",INDEX(Management!$J:$J,INDEX($O$5:$O$99,MATCH(LARGE($P$5:$P$99,2),$P$5:$P$99,0))),IF(C6="Human Resources",INDEX('Human Resources'!$J:$J,INDEX($O$5:$O$99,MATCH(LARGE($P$5:$P$99,2),$P$5:$P$99,0))),IF(C6="Finance",INDEX(Finance!$J:$J,INDEX($O$5:$O$99,MATCH(LARGE($P$5:$P$99,2),$P$5:$P$99,0))),IF(C6="Marketing &amp; Communications",INDEX('Marketing &amp; Communications'!$J:$J,INDEX($O$5:$O$99,MATCH(LARGE($P$5:$P$99,2),$P$5:$P$99,0))),IF(C6="NOC Services",INDEX('NOC Services'!$J:$J,INDEX($O$5:$O$99,MATCH(LARGE($P$5:$P$99,2),$P$5:$P$99,0))),IF(C6="External Relations",INDEX('External Relations'!$J:$J,INDEX($O$5:$O$99,MATCH(LARGE($P$5:$P$99,2),$P$5:$P$99,0))),IF(C6="Sporting Environment",INDEX('Sporting Environment'!$J:$J,INDEX($O$5:$O$99,MATCH(LARGE($P$5:$P$99,2),$P$5:$P$99,0))),"")))))))))</f>
        <v/>
      </c>
      <c r="G6" s="106" t="str">
        <f>IF(B6="","",IF(C6="Governance",INDEX(Governance!$F:$F,INDEX($O$5:$O$99,MATCH(LARGE($P$5:$P$99,2),$P$5:$P$99,0))),IF(C6="Management",INDEX(Management!$F:$F,INDEX($O$5:$O$99,MATCH(LARGE($P$5:$P$99,2),$P$5:$P$99,0))),IF(C6="Human Resources",INDEX('Human Resources'!$F:$F,INDEX($O$5:$O$99,MATCH(LARGE($P$5:$P$99,2),$P$5:$P$99,0))),IF(C6="Finance",INDEX(Finance!$F:$F,INDEX($O$5:$O$99,MATCH(LARGE($P$5:$P$99,2),$P$5:$P$99,0))),IF(C6="Marketing &amp; Communications",INDEX('Marketing &amp; Communications'!$F:$F,INDEX($O$5:$O$99,MATCH(LARGE($P$5:$P$99,2),$P$5:$P$99,0))),IF(C6="NOC Services",INDEX('NOC Services'!$F:$F,INDEX($O$5:$O$99,MATCH(LARGE($P$5:$P$99,2),$P$5:$P$99,0))),IF(C6="External Relations",INDEX('External Relations'!$F:$F,INDEX($O$5:$O$99,MATCH(LARGE($P$5:$P$99,2),$P$5:$P$99,0))),IF(C6="Sporting Environment",INDEX('Sporting Environment'!$F:$F,INDEX($O$5:$O$99,MATCH(LARGE($P$5:$P$99,2),$P$5:$P$99,0))),"")))))))))</f>
        <v/>
      </c>
      <c r="H6" s="61" t="str">
        <f>IF(B6="","",IF(C6="Governance",INDEX(Governance!$G:$G,INDEX($O$5:$O$99,MATCH(LARGE($P$5:$P$99,2),$P$5:$P$99,0))),IF(C6="Management",INDEX(Management!$G:$G,INDEX($O$5:$O$99,MATCH(LARGE($P$5:$P$99,2),$P$5:$P$99,0))),IF(C6="Human Resources",INDEX('Human Resources'!$G:$G,INDEX($O$5:$O$99,MATCH(LARGE($P$5:$P$99,2),$P$5:$P$99,0))),IF(C6="Finance",INDEX(Finance!$G:$G,INDEX($O$5:$O$99,MATCH(LARGE($P$5:$P$99,2),$P$5:$P$99,0))),IF(C6="Marketing &amp; Communications",INDEX('Marketing &amp; Communications'!$G:$G,INDEX($O$5:$O$99,MATCH(LARGE($P$5:$P$99,2),$P$5:$P$99,0))),IF(C6="NOC Services",INDEX('NOC Services'!$G:$G,INDEX($O$5:$O$99,MATCH(LARGE($P$5:$P$99,2),$P$5:$P$99,0))),IF(C6="External Relations",INDEX('External Relations'!$G:$G,INDEX($O$5:$O$99,MATCH(LARGE($P$5:$P$99,2),$P$5:$P$99,0))),IF(C6="Sporting Environment",INDEX('Sporting Environment'!$G:$G,INDEX($O$5:$O$99,MATCH(LARGE($P$5:$P$99,2),$P$5:$P$99,0))),"")))))))))</f>
        <v/>
      </c>
      <c r="I6" s="108" t="s">
        <v>433</v>
      </c>
      <c r="J6" s="49"/>
      <c r="L6" s="28" t="s">
        <v>136</v>
      </c>
      <c r="M6" s="28" t="s">
        <v>58</v>
      </c>
      <c r="N6" s="28" t="s">
        <v>137</v>
      </c>
      <c r="O6" s="28">
        <v>10</v>
      </c>
      <c r="P6" s="28">
        <f>IF(Governance!D10="",0,IF(Governance!E10&gt;='Start Here'!$E$5,0,(('Start Here'!$E$5-Governance!E10)*100000)+IF(Governance!J10="High",3000,IF(Governance!J10="Medium",2000,IF(Governance!J10="Low",1000,0)))+(1000-ROW())))</f>
        <v>0</v>
      </c>
      <c r="Q6" s="28" t="s">
        <v>58</v>
      </c>
    </row>
    <row r="7" spans="1:17" s="28" customFormat="1" ht="20.25">
      <c r="A7" s="103">
        <v>3</v>
      </c>
      <c r="B7" s="60" t="str">
        <f>IF(LARGE($P$5:$P$99,3)=0,"",INDEX($L$5:$L$99,MATCH(LARGE($P$5:$P$99,3),$P$5:$P$99,0)))</f>
        <v/>
      </c>
      <c r="C7" s="60" t="str">
        <f>IF(B7="","",INDEX($M$5:$M$99,MATCH(LARGE($P$5:$P$99,3),$P$5:$P$99,0)))</f>
        <v/>
      </c>
      <c r="D7" s="60" t="str">
        <f>IF(B7="","",INDEX($N$5:$N$99,MATCH(LARGE($P$5:$P$99,3),$P$5:$P$99,0)))</f>
        <v/>
      </c>
      <c r="E7" s="65" t="str">
        <f>IF(B7="","",IF(C7="Governance",INDEX(Governance!$E:$E,INDEX($O$5:$O$99,MATCH(LARGE($P$5:$P$99,3),$P$5:$P$99,0))),IF(C7="Management",INDEX(Management!$E:$E,INDEX($O$5:$O$99,MATCH(LARGE($P$5:$P$99,3),$P$5:$P$99,0))),IF(C7="Human Resources",INDEX('Human Resources'!$E:$E,INDEX($O$5:$O$99,MATCH(LARGE($P$5:$P$99,3),$P$5:$P$99,0))),IF(C7="Finance",INDEX(Finance!$E:$E,INDEX($O$5:$O$99,MATCH(LARGE($P$5:$P$99,3),$P$5:$P$99,0))),IF(C7="Marketing &amp; Communications",INDEX('Marketing &amp; Communications'!$E:$E,INDEX($O$5:$O$99,MATCH(LARGE($P$5:$P$99,3),$P$5:$P$99,0))),IF(C7="NOC Services",INDEX('NOC Services'!$E:$E,INDEX($O$5:$O$99,MATCH(LARGE($P$5:$P$99,3),$P$5:$P$99,0))),IF(C7="External Relations",INDEX('External Relations'!$E:$E,INDEX($O$5:$O$99,MATCH(LARGE($P$5:$P$99,3),$P$5:$P$99,0))),IF(C7="Sporting Environment",INDEX('Sporting Environment'!$E:$E,INDEX($O$5:$O$99,MATCH(LARGE($P$5:$P$99,3),$P$5:$P$99,0))),"")))))))))</f>
        <v/>
      </c>
      <c r="F7" s="65" t="str">
        <f>IF(B7="","",IF(C7="Governance",INDEX(Governance!$J:$J,INDEX($O$5:$O$99,MATCH(LARGE($P$5:$P$99,3),$P$5:$P$99,0))),IF(C7="Management",INDEX(Management!$J:$J,INDEX($O$5:$O$99,MATCH(LARGE($P$5:$P$99,3),$P$5:$P$99,0))),IF(C7="Human Resources",INDEX('Human Resources'!$J:$J,INDEX($O$5:$O$99,MATCH(LARGE($P$5:$P$99,3),$P$5:$P$99,0))),IF(C7="Finance",INDEX(Finance!$J:$J,INDEX($O$5:$O$99,MATCH(LARGE($P$5:$P$99,3),$P$5:$P$99,0))),IF(C7="Marketing &amp; Communications",INDEX('Marketing &amp; Communications'!$J:$J,INDEX($O$5:$O$99,MATCH(LARGE($P$5:$P$99,3),$P$5:$P$99,0))),IF(C7="NOC Services",INDEX('NOC Services'!$J:$J,INDEX($O$5:$O$99,MATCH(LARGE($P$5:$P$99,3),$P$5:$P$99,0))),IF(C7="External Relations",INDEX('External Relations'!$J:$J,INDEX($O$5:$O$99,MATCH(LARGE($P$5:$P$99,3),$P$5:$P$99,0))),IF(C7="Sporting Environment",INDEX('Sporting Environment'!$J:$J,INDEX($O$5:$O$99,MATCH(LARGE($P$5:$P$99,3),$P$5:$P$99,0))),"")))))))))</f>
        <v/>
      </c>
      <c r="G7" s="106" t="str">
        <f>IF(B7="","",IF(C7="Governance",INDEX(Governance!$F:$F,INDEX($O$5:$O$99,MATCH(LARGE($P$5:$P$99,3),$P$5:$P$99,0))),IF(C7="Management",INDEX(Management!$F:$F,INDEX($O$5:$O$99,MATCH(LARGE($P$5:$P$99,3),$P$5:$P$99,0))),IF(C7="Human Resources",INDEX('Human Resources'!$F:$F,INDEX($O$5:$O$99,MATCH(LARGE($P$5:$P$99,3),$P$5:$P$99,0))),IF(C7="Finance",INDEX(Finance!$F:$F,INDEX($O$5:$O$99,MATCH(LARGE($P$5:$P$99,3),$P$5:$P$99,0))),IF(C7="Marketing &amp; Communications",INDEX('Marketing &amp; Communications'!$F:$F,INDEX($O$5:$O$99,MATCH(LARGE($P$5:$P$99,3),$P$5:$P$99,0))),IF(C7="NOC Services",INDEX('NOC Services'!$F:$F,INDEX($O$5:$O$99,MATCH(LARGE($P$5:$P$99,3),$P$5:$P$99,0))),IF(C7="External Relations",INDEX('External Relations'!$F:$F,INDEX($O$5:$O$99,MATCH(LARGE($P$5:$P$99,3),$P$5:$P$99,0))),IF(C7="Sporting Environment",INDEX('Sporting Environment'!$F:$F,INDEX($O$5:$O$99,MATCH(LARGE($P$5:$P$99,3),$P$5:$P$99,0))),"")))))))))</f>
        <v/>
      </c>
      <c r="H7" s="61" t="str">
        <f>IF(B7="","",IF(C7="Governance",INDEX(Governance!$G:$G,INDEX($O$5:$O$99,MATCH(LARGE($P$5:$P$99,3),$P$5:$P$99,0))),IF(C7="Management",INDEX(Management!$G:$G,INDEX($O$5:$O$99,MATCH(LARGE($P$5:$P$99,3),$P$5:$P$99,0))),IF(C7="Human Resources",INDEX('Human Resources'!$G:$G,INDEX($O$5:$O$99,MATCH(LARGE($P$5:$P$99,3),$P$5:$P$99,0))),IF(C7="Finance",INDEX(Finance!$G:$G,INDEX($O$5:$O$99,MATCH(LARGE($P$5:$P$99,3),$P$5:$P$99,0))),IF(C7="Marketing &amp; Communications",INDEX('Marketing &amp; Communications'!$G:$G,INDEX($O$5:$O$99,MATCH(LARGE($P$5:$P$99,3),$P$5:$P$99,0))),IF(C7="NOC Services",INDEX('NOC Services'!$G:$G,INDEX($O$5:$O$99,MATCH(LARGE($P$5:$P$99,3),$P$5:$P$99,0))),IF(C7="External Relations",INDEX('External Relations'!$G:$G,INDEX($O$5:$O$99,MATCH(LARGE($P$5:$P$99,3),$P$5:$P$99,0))),IF(C7="Sporting Environment",INDEX('Sporting Environment'!$G:$G,INDEX($O$5:$O$99,MATCH(LARGE($P$5:$P$99,3),$P$5:$P$99,0))),"")))))))))</f>
        <v/>
      </c>
      <c r="I7" s="108" t="s">
        <v>433</v>
      </c>
      <c r="J7" s="49"/>
      <c r="L7" s="28" t="s">
        <v>139</v>
      </c>
      <c r="M7" s="28" t="s">
        <v>58</v>
      </c>
      <c r="N7" s="28" t="s">
        <v>140</v>
      </c>
      <c r="O7" s="28">
        <v>11</v>
      </c>
      <c r="P7" s="28">
        <f>IF(Governance!D11="",0,IF(Governance!E11&gt;='Start Here'!$E$5,0,(('Start Here'!$E$5-Governance!E11)*100000)+IF(Governance!J11="High",3000,IF(Governance!J11="Medium",2000,IF(Governance!J11="Low",1000,0)))+(1000-ROW())))</f>
        <v>0</v>
      </c>
      <c r="Q7" s="28" t="s">
        <v>58</v>
      </c>
    </row>
    <row r="8" spans="1:17" s="28" customFormat="1" ht="20.25">
      <c r="A8" s="103">
        <v>4</v>
      </c>
      <c r="B8" s="60" t="str">
        <f>IF(LARGE($P$5:$P$99,4)=0,"",INDEX($L$5:$L$99,MATCH(LARGE($P$5:$P$99,4),$P$5:$P$99,0)))</f>
        <v/>
      </c>
      <c r="C8" s="60" t="str">
        <f>IF(B8="","",INDEX($M$5:$M$99,MATCH(LARGE($P$5:$P$99,4),$P$5:$P$99,0)))</f>
        <v/>
      </c>
      <c r="D8" s="60" t="str">
        <f>IF(B8="","",INDEX($N$5:$N$99,MATCH(LARGE($P$5:$P$99,4),$P$5:$P$99,0)))</f>
        <v/>
      </c>
      <c r="E8" s="65" t="str">
        <f>IF(B8="","",IF(C8="Governance",INDEX(Governance!$E:$E,INDEX($O$5:$O$99,MATCH(LARGE($P$5:$P$99,4),$P$5:$P$99,0))),IF(C8="Management",INDEX(Management!$E:$E,INDEX($O$5:$O$99,MATCH(LARGE($P$5:$P$99,4),$P$5:$P$99,0))),IF(C8="Human Resources",INDEX('Human Resources'!$E:$E,INDEX($O$5:$O$99,MATCH(LARGE($P$5:$P$99,4),$P$5:$P$99,0))),IF(C8="Finance",INDEX(Finance!$E:$E,INDEX($O$5:$O$99,MATCH(LARGE($P$5:$P$99,4),$P$5:$P$99,0))),IF(C8="Marketing &amp; Communications",INDEX('Marketing &amp; Communications'!$E:$E,INDEX($O$5:$O$99,MATCH(LARGE($P$5:$P$99,4),$P$5:$P$99,0))),IF(C8="NOC Services",INDEX('NOC Services'!$E:$E,INDEX($O$5:$O$99,MATCH(LARGE($P$5:$P$99,4),$P$5:$P$99,0))),IF(C8="External Relations",INDEX('External Relations'!$E:$E,INDEX($O$5:$O$99,MATCH(LARGE($P$5:$P$99,4),$P$5:$P$99,0))),IF(C8="Sporting Environment",INDEX('Sporting Environment'!$E:$E,INDEX($O$5:$O$99,MATCH(LARGE($P$5:$P$99,4),$P$5:$P$99,0))),"")))))))))</f>
        <v/>
      </c>
      <c r="F8" s="65" t="str">
        <f>IF(B8="","",IF(C8="Governance",INDEX(Governance!$J:$J,INDEX($O$5:$O$99,MATCH(LARGE($P$5:$P$99,4),$P$5:$P$99,0))),IF(C8="Management",INDEX(Management!$J:$J,INDEX($O$5:$O$99,MATCH(LARGE($P$5:$P$99,4),$P$5:$P$99,0))),IF(C8="Human Resources",INDEX('Human Resources'!$J:$J,INDEX($O$5:$O$99,MATCH(LARGE($P$5:$P$99,4),$P$5:$P$99,0))),IF(C8="Finance",INDEX(Finance!$J:$J,INDEX($O$5:$O$99,MATCH(LARGE($P$5:$P$99,4),$P$5:$P$99,0))),IF(C8="Marketing &amp; Communications",INDEX('Marketing &amp; Communications'!$J:$J,INDEX($O$5:$O$99,MATCH(LARGE($P$5:$P$99,4),$P$5:$P$99,0))),IF(C8="NOC Services",INDEX('NOC Services'!$J:$J,INDEX($O$5:$O$99,MATCH(LARGE($P$5:$P$99,4),$P$5:$P$99,0))),IF(C8="External Relations",INDEX('External Relations'!$J:$J,INDEX($O$5:$O$99,MATCH(LARGE($P$5:$P$99,4),$P$5:$P$99,0))),IF(C8="Sporting Environment",INDEX('Sporting Environment'!$J:$J,INDEX($O$5:$O$99,MATCH(LARGE($P$5:$P$99,4),$P$5:$P$99,0))),"")))))))))</f>
        <v/>
      </c>
      <c r="G8" s="106" t="str">
        <f>IF(B8="","",IF(C8="Governance",INDEX(Governance!$F:$F,INDEX($O$5:$O$99,MATCH(LARGE($P$5:$P$99,4),$P$5:$P$99,0))),IF(C8="Management",INDEX(Management!$F:$F,INDEX($O$5:$O$99,MATCH(LARGE($P$5:$P$99,4),$P$5:$P$99,0))),IF(C8="Human Resources",INDEX('Human Resources'!$F:$F,INDEX($O$5:$O$99,MATCH(LARGE($P$5:$P$99,4),$P$5:$P$99,0))),IF(C8="Finance",INDEX(Finance!$F:$F,INDEX($O$5:$O$99,MATCH(LARGE($P$5:$P$99,4),$P$5:$P$99,0))),IF(C8="Marketing &amp; Communications",INDEX('Marketing &amp; Communications'!$F:$F,INDEX($O$5:$O$99,MATCH(LARGE($P$5:$P$99,4),$P$5:$P$99,0))),IF(C8="NOC Services",INDEX('NOC Services'!$F:$F,INDEX($O$5:$O$99,MATCH(LARGE($P$5:$P$99,4),$P$5:$P$99,0))),IF(C8="External Relations",INDEX('External Relations'!$F:$F,INDEX($O$5:$O$99,MATCH(LARGE($P$5:$P$99,4),$P$5:$P$99,0))),IF(C8="Sporting Environment",INDEX('Sporting Environment'!$F:$F,INDEX($O$5:$O$99,MATCH(LARGE($P$5:$P$99,4),$P$5:$P$99,0))),"")))))))))</f>
        <v/>
      </c>
      <c r="H8" s="61" t="str">
        <f>IF(B8="","",IF(C8="Governance",INDEX(Governance!$G:$G,INDEX($O$5:$O$99,MATCH(LARGE($P$5:$P$99,4),$P$5:$P$99,0))),IF(C8="Management",INDEX(Management!$G:$G,INDEX($O$5:$O$99,MATCH(LARGE($P$5:$P$99,4),$P$5:$P$99,0))),IF(C8="Human Resources",INDEX('Human Resources'!$G:$G,INDEX($O$5:$O$99,MATCH(LARGE($P$5:$P$99,4),$P$5:$P$99,0))),IF(C8="Finance",INDEX(Finance!$G:$G,INDEX($O$5:$O$99,MATCH(LARGE($P$5:$P$99,4),$P$5:$P$99,0))),IF(C8="Marketing &amp; Communications",INDEX('Marketing &amp; Communications'!$G:$G,INDEX($O$5:$O$99,MATCH(LARGE($P$5:$P$99,4),$P$5:$P$99,0))),IF(C8="NOC Services",INDEX('NOC Services'!$G:$G,INDEX($O$5:$O$99,MATCH(LARGE($P$5:$P$99,4),$P$5:$P$99,0))),IF(C8="External Relations",INDEX('External Relations'!$G:$G,INDEX($O$5:$O$99,MATCH(LARGE($P$5:$P$99,4),$P$5:$P$99,0))),IF(C8="Sporting Environment",INDEX('Sporting Environment'!$G:$G,INDEX($O$5:$O$99,MATCH(LARGE($P$5:$P$99,4),$P$5:$P$99,0))),"")))))))))</f>
        <v/>
      </c>
      <c r="I8" s="108" t="s">
        <v>434</v>
      </c>
      <c r="J8" s="49"/>
      <c r="L8" s="28" t="s">
        <v>142</v>
      </c>
      <c r="M8" s="28" t="s">
        <v>58</v>
      </c>
      <c r="N8" s="28" t="s">
        <v>143</v>
      </c>
      <c r="O8" s="28">
        <v>12</v>
      </c>
      <c r="P8" s="28">
        <f>IF(Governance!D12="",0,IF(Governance!E12&gt;='Start Here'!$E$5,0,(('Start Here'!$E$5-Governance!E12)*100000)+IF(Governance!J12="High",3000,IF(Governance!J12="Medium",2000,IF(Governance!J12="Low",1000,0)))+(1000-ROW())))</f>
        <v>0</v>
      </c>
      <c r="Q8" s="28" t="s">
        <v>58</v>
      </c>
    </row>
    <row r="9" spans="1:17" s="28" customFormat="1" ht="40.5">
      <c r="A9" s="104">
        <v>5</v>
      </c>
      <c r="B9" s="62" t="str">
        <f>IF(LARGE($P$5:$P$99,5)=0,"",INDEX($L$5:$L$99,MATCH(LARGE($P$5:$P$99,5),$P$5:$P$99,0)))</f>
        <v/>
      </c>
      <c r="C9" s="62" t="str">
        <f>IF(B9="","",INDEX($M$5:$M$99,MATCH(LARGE($P$5:$P$99,5),$P$5:$P$99,0)))</f>
        <v/>
      </c>
      <c r="D9" s="62" t="str">
        <f>IF(B9="","",INDEX($N$5:$N$99,MATCH(LARGE($P$5:$P$99,5),$P$5:$P$99,0)))</f>
        <v/>
      </c>
      <c r="E9" s="66" t="str">
        <f>IF(B9="","",IF(C9="Governance",INDEX(Governance!$E:$E,INDEX($O$5:$O$99,MATCH(LARGE($P$5:$P$99,5),$P$5:$P$99,0))),IF(C9="Management",INDEX(Management!$E:$E,INDEX($O$5:$O$99,MATCH(LARGE($P$5:$P$99,5),$P$5:$P$99,0))),IF(C9="Human Resources",INDEX('Human Resources'!$E:$E,INDEX($O$5:$O$99,MATCH(LARGE($P$5:$P$99,5),$P$5:$P$99,0))),IF(C9="Finance",INDEX(Finance!$E:$E,INDEX($O$5:$O$99,MATCH(LARGE($P$5:$P$99,5),$P$5:$P$99,0))),IF(C9="Marketing &amp; Communications",INDEX('Marketing &amp; Communications'!$E:$E,INDEX($O$5:$O$99,MATCH(LARGE($P$5:$P$99,5),$P$5:$P$99,0))),IF(C9="NOC Services",INDEX('NOC Services'!$E:$E,INDEX($O$5:$O$99,MATCH(LARGE($P$5:$P$99,5),$P$5:$P$99,0))),IF(C9="External Relations",INDEX('External Relations'!$E:$E,INDEX($O$5:$O$99,MATCH(LARGE($P$5:$P$99,5),$P$5:$P$99,0))),IF(C9="Sporting Environment",INDEX('Sporting Environment'!$E:$E,INDEX($O$5:$O$99,MATCH(LARGE($P$5:$P$99,5),$P$5:$P$99,0))),"")))))))))</f>
        <v/>
      </c>
      <c r="F9" s="66" t="str">
        <f>IF(B9="","",IF(C9="Governance",INDEX(Governance!$J:$J,INDEX($O$5:$O$99,MATCH(LARGE($P$5:$P$99,5),$P$5:$P$99,0))),IF(C9="Management",INDEX(Management!$J:$J,INDEX($O$5:$O$99,MATCH(LARGE($P$5:$P$99,5),$P$5:$P$99,0))),IF(C9="Human Resources",INDEX('Human Resources'!$J:$J,INDEX($O$5:$O$99,MATCH(LARGE($P$5:$P$99,5),$P$5:$P$99,0))),IF(C9="Finance",INDEX(Finance!$J:$J,INDEX($O$5:$O$99,MATCH(LARGE($P$5:$P$99,5),$P$5:$P$99,0))),IF(C9="Marketing &amp; Communications",INDEX('Marketing &amp; Communications'!$J:$J,INDEX($O$5:$O$99,MATCH(LARGE($P$5:$P$99,5),$P$5:$P$99,0))),IF(C9="NOC Services",INDEX('NOC Services'!$J:$J,INDEX($O$5:$O$99,MATCH(LARGE($P$5:$P$99,5),$P$5:$P$99,0))),IF(C9="External Relations",INDEX('External Relations'!$J:$J,INDEX($O$5:$O$99,MATCH(LARGE($P$5:$P$99,5),$P$5:$P$99,0))),IF(C9="Sporting Environment",INDEX('Sporting Environment'!$J:$J,INDEX($O$5:$O$99,MATCH(LARGE($P$5:$P$99,5),$P$5:$P$99,0))),"")))))))))</f>
        <v/>
      </c>
      <c r="G9" s="107" t="str">
        <f>IF(B9="","",IF(C9="Governance",INDEX(Governance!$F:$F,INDEX($O$5:$O$99,MATCH(LARGE($P$5:$P$99,5),$P$5:$P$99,0))),IF(C9="Management",INDEX(Management!$F:$F,INDEX($O$5:$O$99,MATCH(LARGE($P$5:$P$99,5),$P$5:$P$99,0))),IF(C9="Human Resources",INDEX('Human Resources'!$F:$F,INDEX($O$5:$O$99,MATCH(LARGE($P$5:$P$99,5),$P$5:$P$99,0))),IF(C9="Finance",INDEX(Finance!$F:$F,INDEX($O$5:$O$99,MATCH(LARGE($P$5:$P$99,5),$P$5:$P$99,0))),IF(C9="Marketing &amp; Communications",INDEX('Marketing &amp; Communications'!$F:$F,INDEX($O$5:$O$99,MATCH(LARGE($P$5:$P$99,5),$P$5:$P$99,0))),IF(C9="NOC Services",INDEX('NOC Services'!$F:$F,INDEX($O$5:$O$99,MATCH(LARGE($P$5:$P$99,5),$P$5:$P$99,0))),IF(C9="External Relations",INDEX('External Relations'!$F:$F,INDEX($O$5:$O$99,MATCH(LARGE($P$5:$P$99,5),$P$5:$P$99,0))),IF(C9="Sporting Environment",INDEX('Sporting Environment'!$F:$F,INDEX($O$5:$O$99,MATCH(LARGE($P$5:$P$99,5),$P$5:$P$99,0))),"")))))))))</f>
        <v/>
      </c>
      <c r="H9" s="63" t="str">
        <f>IF(B9="","",IF(C9="Governance",INDEX(Governance!$G:$G,INDEX($O$5:$O$99,MATCH(LARGE($P$5:$P$99,5),$P$5:$P$99,0))),IF(C9="Management",INDEX(Management!$G:$G,INDEX($O$5:$O$99,MATCH(LARGE($P$5:$P$99,5),$P$5:$P$99,0))),IF(C9="Human Resources",INDEX('Human Resources'!$G:$G,INDEX($O$5:$O$99,MATCH(LARGE($P$5:$P$99,5),$P$5:$P$99,0))),IF(C9="Finance",INDEX(Finance!$G:$G,INDEX($O$5:$O$99,MATCH(LARGE($P$5:$P$99,5),$P$5:$P$99,0))),IF(C9="Marketing &amp; Communications",INDEX('Marketing &amp; Communications'!$G:$G,INDEX($O$5:$O$99,MATCH(LARGE($P$5:$P$99,5),$P$5:$P$99,0))),IF(C9="NOC Services",INDEX('NOC Services'!$G:$G,INDEX($O$5:$O$99,MATCH(LARGE($P$5:$P$99,5),$P$5:$P$99,0))),IF(C9="External Relations",INDEX('External Relations'!$G:$G,INDEX($O$5:$O$99,MATCH(LARGE($P$5:$P$99,5),$P$5:$P$99,0))),IF(C9="Sporting Environment",INDEX('Sporting Environment'!$G:$G,INDEX($O$5:$O$99,MATCH(LARGE($P$5:$P$99,5),$P$5:$P$99,0))),"")))))))))</f>
        <v/>
      </c>
      <c r="I9" s="108" t="s">
        <v>435</v>
      </c>
      <c r="J9" s="49"/>
      <c r="L9" s="28" t="s">
        <v>145</v>
      </c>
      <c r="M9" s="28" t="s">
        <v>58</v>
      </c>
      <c r="N9" s="28" t="s">
        <v>146</v>
      </c>
      <c r="O9" s="28">
        <v>13</v>
      </c>
      <c r="P9" s="28">
        <f>IF(Governance!D13="",0,IF(Governance!E13&gt;='Start Here'!$E$5,0,(('Start Here'!$E$5-Governance!E13)*100000)+IF(Governance!J13="High",3000,IF(Governance!J13="Medium",2000,IF(Governance!J13="Low",1000,0)))+(1000-ROW())))</f>
        <v>0</v>
      </c>
      <c r="Q9" s="28" t="s">
        <v>58</v>
      </c>
    </row>
    <row r="10" spans="1:17" s="28" customFormat="1">
      <c r="A10" s="48"/>
      <c r="E10" s="48"/>
      <c r="F10" s="48"/>
      <c r="L10" s="28" t="s">
        <v>148</v>
      </c>
      <c r="M10" s="28" t="s">
        <v>58</v>
      </c>
      <c r="N10" s="28" t="s">
        <v>149</v>
      </c>
      <c r="O10" s="28">
        <v>14</v>
      </c>
      <c r="P10" s="28">
        <f>IF(Governance!D14="",0,IF(Governance!E14&gt;='Start Here'!$E$5,0,(('Start Here'!$E$5-Governance!E14)*100000)+IF(Governance!J14="High",3000,IF(Governance!J14="Medium",2000,IF(Governance!J14="Low",1000,0)))+(1000-ROW())))</f>
        <v>0</v>
      </c>
      <c r="Q10" s="28" t="s">
        <v>58</v>
      </c>
    </row>
    <row r="11" spans="1:17" s="28" customFormat="1">
      <c r="A11" s="48"/>
      <c r="E11" s="48"/>
      <c r="F11" s="48"/>
      <c r="L11" s="28" t="s">
        <v>151</v>
      </c>
      <c r="M11" s="28" t="s">
        <v>58</v>
      </c>
      <c r="N11" s="28" t="s">
        <v>152</v>
      </c>
      <c r="O11" s="28">
        <v>15</v>
      </c>
      <c r="P11" s="28">
        <f>IF(Governance!D15="",0,IF(Governance!E15&gt;='Start Here'!$E$5,0,(('Start Here'!$E$5-Governance!E15)*100000)+IF(Governance!J15="High",3000,IF(Governance!J15="Medium",2000,IF(Governance!J15="Low",1000,0)))+(1000-ROW())))</f>
        <v>0</v>
      </c>
      <c r="Q11" s="28" t="s">
        <v>58</v>
      </c>
    </row>
    <row r="12" spans="1:17" s="28" customFormat="1">
      <c r="A12" s="48"/>
      <c r="E12" s="48"/>
      <c r="F12" s="48"/>
      <c r="L12" s="28" t="s">
        <v>154</v>
      </c>
      <c r="M12" s="28" t="s">
        <v>58</v>
      </c>
      <c r="N12" s="28" t="s">
        <v>155</v>
      </c>
      <c r="O12" s="28">
        <v>16</v>
      </c>
      <c r="P12" s="28">
        <f>IF(Governance!D16="",0,IF(Governance!E16&gt;='Start Here'!$E$5,0,(('Start Here'!$E$5-Governance!E16)*100000)+IF(Governance!J16="High",3000,IF(Governance!J16="Medium",2000,IF(Governance!J16="Low",1000,0)))+(1000-ROW())))</f>
        <v>0</v>
      </c>
      <c r="Q12" s="28" t="s">
        <v>58</v>
      </c>
    </row>
    <row r="13" spans="1:17" s="28" customFormat="1">
      <c r="E13" s="48"/>
      <c r="F13" s="48"/>
      <c r="L13" s="28" t="s">
        <v>157</v>
      </c>
      <c r="M13" s="28" t="s">
        <v>58</v>
      </c>
      <c r="N13" s="28" t="s">
        <v>158</v>
      </c>
      <c r="O13" s="28">
        <v>17</v>
      </c>
      <c r="P13" s="28">
        <f>IF(Governance!D17="",0,IF(Governance!E17&gt;='Start Here'!$E$5,0,(('Start Here'!$E$5-Governance!E17)*100000)+IF(Governance!J17="High",3000,IF(Governance!J17="Medium",2000,IF(Governance!J17="Low",1000,0)))+(1000-ROW())))</f>
        <v>0</v>
      </c>
      <c r="Q13" s="28" t="s">
        <v>58</v>
      </c>
    </row>
    <row r="14" spans="1:17" s="28" customFormat="1">
      <c r="E14" s="48"/>
      <c r="F14" s="48"/>
      <c r="L14" s="28" t="s">
        <v>160</v>
      </c>
      <c r="M14" s="28" t="s">
        <v>58</v>
      </c>
      <c r="N14" s="28" t="s">
        <v>161</v>
      </c>
      <c r="O14" s="28">
        <v>18</v>
      </c>
      <c r="P14" s="28">
        <f>IF(Governance!D18="",0,IF(Governance!E18&gt;='Start Here'!$E$5,0,(('Start Here'!$E$5-Governance!E18)*100000)+IF(Governance!J18="High",3000,IF(Governance!J18="Medium",2000,IF(Governance!J18="Low",1000,0)))+(1000-ROW())))</f>
        <v>0</v>
      </c>
      <c r="Q14" s="28" t="s">
        <v>58</v>
      </c>
    </row>
    <row r="15" spans="1:17" s="28" customFormat="1">
      <c r="E15" s="48"/>
      <c r="F15" s="48"/>
      <c r="L15" s="28" t="s">
        <v>163</v>
      </c>
      <c r="M15" s="28" t="s">
        <v>58</v>
      </c>
      <c r="N15" s="28" t="s">
        <v>164</v>
      </c>
      <c r="O15" s="28">
        <v>19</v>
      </c>
      <c r="P15" s="28">
        <f>IF(Governance!D19="",0,IF(Governance!E19&gt;='Start Here'!$E$5,0,(('Start Here'!$E$5-Governance!E19)*100000)+IF(Governance!J19="High",3000,IF(Governance!J19="Medium",2000,IF(Governance!J19="Low",1000,0)))+(1000-ROW())))</f>
        <v>0</v>
      </c>
      <c r="Q15" s="28" t="s">
        <v>58</v>
      </c>
    </row>
    <row r="16" spans="1:17" s="28" customFormat="1">
      <c r="E16" s="48"/>
      <c r="F16" s="48"/>
      <c r="L16" s="28" t="s">
        <v>166</v>
      </c>
      <c r="M16" s="28" t="s">
        <v>58</v>
      </c>
      <c r="N16" s="28" t="s">
        <v>167</v>
      </c>
      <c r="O16" s="28">
        <v>20</v>
      </c>
      <c r="P16" s="28">
        <f>IF(Governance!D20="",0,IF(Governance!E20&gt;='Start Here'!$E$5,0,(('Start Here'!$E$5-Governance!E20)*100000)+IF(Governance!J20="High",3000,IF(Governance!J20="Medium",2000,IF(Governance!J20="Low",1000,0)))+(1000-ROW())))</f>
        <v>0</v>
      </c>
      <c r="Q16" s="28" t="s">
        <v>58</v>
      </c>
    </row>
    <row r="17" spans="5:17" s="28" customFormat="1">
      <c r="E17" s="48"/>
      <c r="F17" s="48"/>
      <c r="L17" s="28" t="s">
        <v>169</v>
      </c>
      <c r="M17" s="28" t="s">
        <v>58</v>
      </c>
      <c r="N17" s="28" t="s">
        <v>170</v>
      </c>
      <c r="O17" s="28">
        <v>21</v>
      </c>
      <c r="P17" s="28">
        <f>IF(Governance!D21="",0,IF(Governance!E21&gt;='Start Here'!$E$5,0,(('Start Here'!$E$5-Governance!E21)*100000)+IF(Governance!J21="High",3000,IF(Governance!J21="Medium",2000,IF(Governance!J21="Low",1000,0)))+(1000-ROW())))</f>
        <v>0</v>
      </c>
      <c r="Q17" s="28" t="s">
        <v>58</v>
      </c>
    </row>
    <row r="18" spans="5:17" s="28" customFormat="1">
      <c r="E18" s="48"/>
      <c r="F18" s="48"/>
      <c r="L18" s="28" t="s">
        <v>172</v>
      </c>
      <c r="M18" s="28" t="s">
        <v>58</v>
      </c>
      <c r="N18" s="28" t="s">
        <v>173</v>
      </c>
      <c r="O18" s="28">
        <v>22</v>
      </c>
      <c r="P18" s="28">
        <f>IF(Governance!D22="",0,IF(Governance!E22&gt;='Start Here'!$E$5,0,(('Start Here'!$E$5-Governance!E22)*100000)+IF(Governance!J22="High",3000,IF(Governance!J22="Medium",2000,IF(Governance!J22="Low",1000,0)))+(1000-ROW())))</f>
        <v>0</v>
      </c>
      <c r="Q18" s="28" t="s">
        <v>58</v>
      </c>
    </row>
    <row r="19" spans="5:17" s="28" customFormat="1">
      <c r="E19" s="48"/>
      <c r="F19" s="48"/>
      <c r="L19" s="28" t="s">
        <v>175</v>
      </c>
      <c r="M19" s="28" t="s">
        <v>58</v>
      </c>
      <c r="N19" s="28" t="s">
        <v>176</v>
      </c>
      <c r="O19" s="28">
        <v>23</v>
      </c>
      <c r="P19" s="28">
        <f>IF(Governance!D23="",0,IF(Governance!E23&gt;='Start Here'!$E$5,0,(('Start Here'!$E$5-Governance!E23)*100000)+IF(Governance!J23="High",3000,IF(Governance!J23="Medium",2000,IF(Governance!J23="Low",1000,0)))+(1000-ROW())))</f>
        <v>0</v>
      </c>
      <c r="Q19" s="28" t="s">
        <v>58</v>
      </c>
    </row>
    <row r="20" spans="5:17" s="28" customFormat="1">
      <c r="E20" s="48"/>
      <c r="F20" s="48"/>
      <c r="L20" s="28" t="s">
        <v>178</v>
      </c>
      <c r="M20" s="28" t="s">
        <v>58</v>
      </c>
      <c r="N20" s="28" t="s">
        <v>179</v>
      </c>
      <c r="O20" s="28">
        <v>24</v>
      </c>
      <c r="P20" s="28">
        <f>IF(Governance!D24="",0,IF(Governance!E24&gt;='Start Here'!$E$5,0,(('Start Here'!$E$5-Governance!E24)*100000)+IF(Governance!J24="High",3000,IF(Governance!J24="Medium",2000,IF(Governance!J24="Low",1000,0)))+(1000-ROW())))</f>
        <v>0</v>
      </c>
      <c r="Q20" s="28" t="s">
        <v>58</v>
      </c>
    </row>
    <row r="21" spans="5:17" s="28" customFormat="1">
      <c r="E21" s="48"/>
      <c r="F21" s="48"/>
      <c r="L21" s="28" t="s">
        <v>182</v>
      </c>
      <c r="M21" s="28" t="s">
        <v>60</v>
      </c>
      <c r="N21" s="28" t="s">
        <v>183</v>
      </c>
      <c r="O21" s="28">
        <v>9</v>
      </c>
      <c r="P21" s="28">
        <f>IF(Management!D9="",0,IF(Management!E9&gt;='Start Here'!$E$5,0,(('Start Here'!$E$5-Management!E9)*100000)+IF(Management!J9="High",3000,IF(Management!J9="Medium",2000,IF(Management!J9="Low",1000,0)))+(1000-ROW())))</f>
        <v>0</v>
      </c>
      <c r="Q21" s="28" t="s">
        <v>60</v>
      </c>
    </row>
    <row r="22" spans="5:17" s="28" customFormat="1">
      <c r="E22" s="48"/>
      <c r="F22" s="48"/>
      <c r="L22" s="28" t="s">
        <v>185</v>
      </c>
      <c r="M22" s="28" t="s">
        <v>60</v>
      </c>
      <c r="N22" s="28" t="s">
        <v>186</v>
      </c>
      <c r="O22" s="28">
        <v>10</v>
      </c>
      <c r="P22" s="28">
        <f>IF(Management!D10="",0,IF(Management!E10&gt;='Start Here'!$E$5,0,(('Start Here'!$E$5-Management!E10)*100000)+IF(Management!J10="High",3000,IF(Management!J10="Medium",2000,IF(Management!J10="Low",1000,0)))+(1000-ROW())))</f>
        <v>0</v>
      </c>
      <c r="Q22" s="28" t="s">
        <v>60</v>
      </c>
    </row>
    <row r="23" spans="5:17" s="28" customFormat="1">
      <c r="E23" s="48"/>
      <c r="F23" s="48"/>
      <c r="L23" s="28" t="s">
        <v>188</v>
      </c>
      <c r="M23" s="28" t="s">
        <v>60</v>
      </c>
      <c r="N23" s="28" t="s">
        <v>189</v>
      </c>
      <c r="O23" s="28">
        <v>11</v>
      </c>
      <c r="P23" s="28">
        <f>IF(Management!D11="",0,IF(Management!E11&gt;='Start Here'!$E$5,0,(('Start Here'!$E$5-Management!E11)*100000)+IF(Management!J11="High",3000,IF(Management!J11="Medium",2000,IF(Management!J11="Low",1000,0)))+(1000-ROW())))</f>
        <v>0</v>
      </c>
      <c r="Q23" s="28" t="s">
        <v>60</v>
      </c>
    </row>
    <row r="24" spans="5:17" s="28" customFormat="1">
      <c r="E24" s="48"/>
      <c r="F24" s="48"/>
      <c r="L24" s="28" t="s">
        <v>191</v>
      </c>
      <c r="M24" s="28" t="s">
        <v>60</v>
      </c>
      <c r="N24" s="28" t="s">
        <v>192</v>
      </c>
      <c r="O24" s="28">
        <v>12</v>
      </c>
      <c r="P24" s="28">
        <f>IF(Management!D12="",0,IF(Management!E12&gt;='Start Here'!$E$5,0,(('Start Here'!$E$5-Management!E12)*100000)+IF(Management!J12="High",3000,IF(Management!J12="Medium",2000,IF(Management!J12="Low",1000,0)))+(1000-ROW())))</f>
        <v>0</v>
      </c>
      <c r="Q24" s="28" t="s">
        <v>60</v>
      </c>
    </row>
    <row r="25" spans="5:17" s="28" customFormat="1">
      <c r="E25" s="48"/>
      <c r="F25" s="48"/>
      <c r="L25" s="28" t="s">
        <v>194</v>
      </c>
      <c r="M25" s="28" t="s">
        <v>60</v>
      </c>
      <c r="N25" s="28" t="s">
        <v>195</v>
      </c>
      <c r="O25" s="28">
        <v>13</v>
      </c>
      <c r="P25" s="28">
        <f>IF(Management!D13="",0,IF(Management!E13&gt;='Start Here'!$E$5,0,(('Start Here'!$E$5-Management!E13)*100000)+IF(Management!J13="High",3000,IF(Management!J13="Medium",2000,IF(Management!J13="Low",1000,0)))+(1000-ROW())))</f>
        <v>0</v>
      </c>
      <c r="Q25" s="28" t="s">
        <v>60</v>
      </c>
    </row>
    <row r="26" spans="5:17" s="28" customFormat="1">
      <c r="E26" s="48"/>
      <c r="F26" s="48"/>
      <c r="L26" s="28" t="s">
        <v>197</v>
      </c>
      <c r="M26" s="28" t="s">
        <v>60</v>
      </c>
      <c r="N26" s="28" t="s">
        <v>198</v>
      </c>
      <c r="O26" s="28">
        <v>14</v>
      </c>
      <c r="P26" s="28">
        <f>IF(Management!D14="",0,IF(Management!E14&gt;='Start Here'!$E$5,0,(('Start Here'!$E$5-Management!E14)*100000)+IF(Management!J14="High",3000,IF(Management!J14="Medium",2000,IF(Management!J14="Low",1000,0)))+(1000-ROW())))</f>
        <v>0</v>
      </c>
      <c r="Q26" s="28" t="s">
        <v>60</v>
      </c>
    </row>
    <row r="27" spans="5:17" s="28" customFormat="1">
      <c r="E27" s="48"/>
      <c r="F27" s="48"/>
      <c r="L27" s="28" t="s">
        <v>200</v>
      </c>
      <c r="M27" s="28" t="s">
        <v>60</v>
      </c>
      <c r="N27" s="28" t="s">
        <v>201</v>
      </c>
      <c r="O27" s="28">
        <v>15</v>
      </c>
      <c r="P27" s="28">
        <f>IF(Management!D15="",0,IF(Management!E15&gt;='Start Here'!$E$5,0,(('Start Here'!$E$5-Management!E15)*100000)+IF(Management!J15="High",3000,IF(Management!J15="Medium",2000,IF(Management!J15="Low",1000,0)))+(1000-ROW())))</f>
        <v>0</v>
      </c>
      <c r="Q27" s="28" t="s">
        <v>60</v>
      </c>
    </row>
    <row r="28" spans="5:17" s="28" customFormat="1">
      <c r="E28" s="48"/>
      <c r="F28" s="48"/>
      <c r="L28" s="28" t="s">
        <v>203</v>
      </c>
      <c r="M28" s="28" t="s">
        <v>60</v>
      </c>
      <c r="N28" s="28" t="s">
        <v>204</v>
      </c>
      <c r="O28" s="28">
        <v>16</v>
      </c>
      <c r="P28" s="28">
        <f>IF(Management!D16="",0,IF(Management!E16&gt;='Start Here'!$E$5,0,(('Start Here'!$E$5-Management!E16)*100000)+IF(Management!J16="High",3000,IF(Management!J16="Medium",2000,IF(Management!J16="Low",1000,0)))+(1000-ROW())))</f>
        <v>0</v>
      </c>
      <c r="Q28" s="28" t="s">
        <v>60</v>
      </c>
    </row>
    <row r="29" spans="5:17" s="28" customFormat="1">
      <c r="E29" s="48"/>
      <c r="F29" s="48"/>
      <c r="L29" s="28" t="s">
        <v>206</v>
      </c>
      <c r="M29" s="28" t="s">
        <v>60</v>
      </c>
      <c r="N29" s="28" t="s">
        <v>207</v>
      </c>
      <c r="O29" s="28">
        <v>17</v>
      </c>
      <c r="P29" s="28">
        <f>IF(Management!D17="",0,IF(Management!E17&gt;='Start Here'!$E$5,0,(('Start Here'!$E$5-Management!E17)*100000)+IF(Management!J17="High",3000,IF(Management!J17="Medium",2000,IF(Management!J17="Low",1000,0)))+(1000-ROW())))</f>
        <v>0</v>
      </c>
      <c r="Q29" s="28" t="s">
        <v>60</v>
      </c>
    </row>
    <row r="30" spans="5:17" s="28" customFormat="1">
      <c r="E30" s="48"/>
      <c r="F30" s="48"/>
      <c r="L30" s="28" t="s">
        <v>209</v>
      </c>
      <c r="M30" s="28" t="s">
        <v>60</v>
      </c>
      <c r="N30" s="28" t="s">
        <v>210</v>
      </c>
      <c r="O30" s="28">
        <v>18</v>
      </c>
      <c r="P30" s="28">
        <f>IF(Management!D18="",0,IF(Management!E18&gt;='Start Here'!$E$5,0,(('Start Here'!$E$5-Management!E18)*100000)+IF(Management!J18="High",3000,IF(Management!J18="Medium",2000,IF(Management!J18="Low",1000,0)))+(1000-ROW())))</f>
        <v>0</v>
      </c>
      <c r="Q30" s="28" t="s">
        <v>60</v>
      </c>
    </row>
    <row r="31" spans="5:17" s="28" customFormat="1">
      <c r="E31" s="48"/>
      <c r="F31" s="48"/>
      <c r="L31" s="28" t="s">
        <v>212</v>
      </c>
      <c r="M31" s="28" t="s">
        <v>60</v>
      </c>
      <c r="N31" s="28" t="s">
        <v>213</v>
      </c>
      <c r="O31" s="28">
        <v>19</v>
      </c>
      <c r="P31" s="28">
        <f>IF(Management!D19="",0,IF(Management!E19&gt;='Start Here'!$E$5,0,(('Start Here'!$E$5-Management!E19)*100000)+IF(Management!J19="High",3000,IF(Management!J19="Medium",2000,IF(Management!J19="Low",1000,0)))+(1000-ROW())))</f>
        <v>0</v>
      </c>
      <c r="Q31" s="28" t="s">
        <v>60</v>
      </c>
    </row>
    <row r="32" spans="5:17" s="28" customFormat="1">
      <c r="E32" s="48"/>
      <c r="F32" s="48"/>
      <c r="L32" s="28" t="s">
        <v>215</v>
      </c>
      <c r="M32" s="28" t="s">
        <v>60</v>
      </c>
      <c r="N32" s="28" t="s">
        <v>216</v>
      </c>
      <c r="O32" s="28">
        <v>20</v>
      </c>
      <c r="P32" s="28">
        <f>IF(Management!D20="",0,IF(Management!E20&gt;='Start Here'!$E$5,0,(('Start Here'!$E$5-Management!E20)*100000)+IF(Management!J20="High",3000,IF(Management!J20="Medium",2000,IF(Management!J20="Low",1000,0)))+(1000-ROW())))</f>
        <v>0</v>
      </c>
      <c r="Q32" s="28" t="s">
        <v>60</v>
      </c>
    </row>
    <row r="33" spans="5:17" s="28" customFormat="1">
      <c r="E33" s="48"/>
      <c r="F33" s="48"/>
      <c r="L33" s="28" t="s">
        <v>218</v>
      </c>
      <c r="M33" s="28" t="s">
        <v>60</v>
      </c>
      <c r="N33" s="28" t="s">
        <v>219</v>
      </c>
      <c r="O33" s="28">
        <v>21</v>
      </c>
      <c r="P33" s="28">
        <f>IF(Management!D21="",0,IF(Management!E21&gt;='Start Here'!$E$5,0,(('Start Here'!$E$5-Management!E21)*100000)+IF(Management!J21="High",3000,IF(Management!J21="Medium",2000,IF(Management!J21="Low",1000,0)))+(1000-ROW())))</f>
        <v>0</v>
      </c>
      <c r="Q33" s="28" t="s">
        <v>60</v>
      </c>
    </row>
    <row r="34" spans="5:17" s="28" customFormat="1">
      <c r="E34" s="48"/>
      <c r="F34" s="48"/>
      <c r="L34" s="28" t="s">
        <v>221</v>
      </c>
      <c r="M34" s="28" t="s">
        <v>60</v>
      </c>
      <c r="N34" s="28" t="s">
        <v>222</v>
      </c>
      <c r="O34" s="28">
        <v>22</v>
      </c>
      <c r="P34" s="28">
        <f>IF(Management!D22="",0,IF(Management!E22&gt;='Start Here'!$E$5,0,(('Start Here'!$E$5-Management!E22)*100000)+IF(Management!J22="High",3000,IF(Management!J22="Medium",2000,IF(Management!J22="Low",1000,0)))+(1000-ROW())))</f>
        <v>0</v>
      </c>
      <c r="Q34" s="28" t="s">
        <v>60</v>
      </c>
    </row>
    <row r="35" spans="5:17" s="28" customFormat="1">
      <c r="E35" s="48"/>
      <c r="F35" s="48"/>
      <c r="L35" s="28" t="s">
        <v>225</v>
      </c>
      <c r="M35" s="28" t="s">
        <v>62</v>
      </c>
      <c r="N35" s="28" t="s">
        <v>226</v>
      </c>
      <c r="O35" s="28">
        <v>9</v>
      </c>
      <c r="P35" s="28">
        <f>IF('Human Resources'!D9="",0,IF('Human Resources'!E9&gt;='Start Here'!$E$5,0,(('Start Here'!$E$5-'Human Resources'!E9)*100000)+IF('Human Resources'!J9="High",3000,IF('Human Resources'!J9="Medium",2000,IF('Human Resources'!J9="Low",1000,0)))+(1000-ROW())))</f>
        <v>0</v>
      </c>
      <c r="Q35" s="28" t="s">
        <v>62</v>
      </c>
    </row>
    <row r="36" spans="5:17" s="28" customFormat="1">
      <c r="E36" s="48"/>
      <c r="F36" s="48"/>
      <c r="L36" s="28" t="s">
        <v>228</v>
      </c>
      <c r="M36" s="28" t="s">
        <v>62</v>
      </c>
      <c r="N36" s="28" t="s">
        <v>229</v>
      </c>
      <c r="O36" s="28">
        <v>10</v>
      </c>
      <c r="P36" s="28">
        <f>IF('Human Resources'!D10="",0,IF('Human Resources'!E10&gt;='Start Here'!$E$5,0,(('Start Here'!$E$5-'Human Resources'!E10)*100000)+IF('Human Resources'!J10="High",3000,IF('Human Resources'!J10="Medium",2000,IF('Human Resources'!J10="Low",1000,0)))+(1000-ROW())))</f>
        <v>0</v>
      </c>
      <c r="Q36" s="28" t="s">
        <v>62</v>
      </c>
    </row>
    <row r="37" spans="5:17" s="28" customFormat="1">
      <c r="E37" s="48"/>
      <c r="F37" s="48"/>
      <c r="L37" s="28" t="s">
        <v>231</v>
      </c>
      <c r="M37" s="28" t="s">
        <v>62</v>
      </c>
      <c r="N37" s="28" t="s">
        <v>232</v>
      </c>
      <c r="O37" s="28">
        <v>11</v>
      </c>
      <c r="P37" s="28">
        <f>IF('Human Resources'!D11="",0,IF('Human Resources'!E11&gt;='Start Here'!$E$5,0,(('Start Here'!$E$5-'Human Resources'!E11)*100000)+IF('Human Resources'!J11="High",3000,IF('Human Resources'!J11="Medium",2000,IF('Human Resources'!J11="Low",1000,0)))+(1000-ROW())))</f>
        <v>0</v>
      </c>
      <c r="Q37" s="28" t="s">
        <v>62</v>
      </c>
    </row>
    <row r="38" spans="5:17" s="28" customFormat="1">
      <c r="E38" s="48"/>
      <c r="F38" s="48"/>
      <c r="L38" s="28" t="s">
        <v>234</v>
      </c>
      <c r="M38" s="28" t="s">
        <v>62</v>
      </c>
      <c r="N38" s="28" t="s">
        <v>235</v>
      </c>
      <c r="O38" s="28">
        <v>12</v>
      </c>
      <c r="P38" s="28">
        <f>IF('Human Resources'!D12="",0,IF('Human Resources'!E12&gt;='Start Here'!$E$5,0,(('Start Here'!$E$5-'Human Resources'!E12)*100000)+IF('Human Resources'!J12="High",3000,IF('Human Resources'!J12="Medium",2000,IF('Human Resources'!J12="Low",1000,0)))+(1000-ROW())))</f>
        <v>0</v>
      </c>
      <c r="Q38" s="28" t="s">
        <v>62</v>
      </c>
    </row>
    <row r="39" spans="5:17" s="28" customFormat="1">
      <c r="E39" s="48"/>
      <c r="F39" s="48"/>
      <c r="L39" s="28" t="s">
        <v>237</v>
      </c>
      <c r="M39" s="28" t="s">
        <v>62</v>
      </c>
      <c r="N39" s="28" t="s">
        <v>238</v>
      </c>
      <c r="O39" s="28">
        <v>13</v>
      </c>
      <c r="P39" s="28">
        <f>IF('Human Resources'!D13="",0,IF('Human Resources'!E13&gt;='Start Here'!$E$5,0,(('Start Here'!$E$5-'Human Resources'!E13)*100000)+IF('Human Resources'!J13="High",3000,IF('Human Resources'!J13="Medium",2000,IF('Human Resources'!J13="Low",1000,0)))+(1000-ROW())))</f>
        <v>0</v>
      </c>
      <c r="Q39" s="28" t="s">
        <v>62</v>
      </c>
    </row>
    <row r="40" spans="5:17" s="28" customFormat="1">
      <c r="E40" s="48"/>
      <c r="F40" s="48"/>
      <c r="L40" s="28" t="s">
        <v>240</v>
      </c>
      <c r="M40" s="28" t="s">
        <v>62</v>
      </c>
      <c r="N40" s="28" t="s">
        <v>241</v>
      </c>
      <c r="O40" s="28">
        <v>14</v>
      </c>
      <c r="P40" s="28">
        <f>IF('Human Resources'!D14="",0,IF('Human Resources'!E14&gt;='Start Here'!$E$5,0,(('Start Here'!$E$5-'Human Resources'!E14)*100000)+IF('Human Resources'!J14="High",3000,IF('Human Resources'!J14="Medium",2000,IF('Human Resources'!J14="Low",1000,0)))+(1000-ROW())))</f>
        <v>0</v>
      </c>
      <c r="Q40" s="28" t="s">
        <v>62</v>
      </c>
    </row>
    <row r="41" spans="5:17" s="28" customFormat="1">
      <c r="E41" s="48"/>
      <c r="F41" s="48"/>
      <c r="L41" s="28" t="s">
        <v>243</v>
      </c>
      <c r="M41" s="28" t="s">
        <v>62</v>
      </c>
      <c r="N41" s="28" t="s">
        <v>244</v>
      </c>
      <c r="O41" s="28">
        <v>15</v>
      </c>
      <c r="P41" s="28">
        <f>IF('Human Resources'!D15="",0,IF('Human Resources'!E15&gt;='Start Here'!$E$5,0,(('Start Here'!$E$5-'Human Resources'!E15)*100000)+IF('Human Resources'!J15="High",3000,IF('Human Resources'!J15="Medium",2000,IF('Human Resources'!J15="Low",1000,0)))+(1000-ROW())))</f>
        <v>0</v>
      </c>
      <c r="Q41" s="28" t="s">
        <v>62</v>
      </c>
    </row>
    <row r="42" spans="5:17" s="28" customFormat="1">
      <c r="E42" s="48"/>
      <c r="F42" s="48"/>
      <c r="L42" s="28" t="s">
        <v>246</v>
      </c>
      <c r="M42" s="28" t="s">
        <v>62</v>
      </c>
      <c r="N42" s="28" t="s">
        <v>247</v>
      </c>
      <c r="O42" s="28">
        <v>16</v>
      </c>
      <c r="P42" s="28">
        <f>IF('Human Resources'!D16="",0,IF('Human Resources'!E16&gt;='Start Here'!$E$5,0,(('Start Here'!$E$5-'Human Resources'!E16)*100000)+IF('Human Resources'!J16="High",3000,IF('Human Resources'!J16="Medium",2000,IF('Human Resources'!J16="Low",1000,0)))+(1000-ROW())))</f>
        <v>0</v>
      </c>
      <c r="Q42" s="28" t="s">
        <v>62</v>
      </c>
    </row>
    <row r="43" spans="5:17" s="28" customFormat="1">
      <c r="E43" s="48"/>
      <c r="F43" s="48"/>
      <c r="L43" s="28" t="s">
        <v>249</v>
      </c>
      <c r="M43" s="28" t="s">
        <v>62</v>
      </c>
      <c r="N43" s="28" t="s">
        <v>250</v>
      </c>
      <c r="O43" s="28">
        <v>17</v>
      </c>
      <c r="P43" s="28">
        <f>IF('Human Resources'!D17="",0,IF('Human Resources'!E17&gt;='Start Here'!$E$5,0,(('Start Here'!$E$5-'Human Resources'!E17)*100000)+IF('Human Resources'!J17="High",3000,IF('Human Resources'!J17="Medium",2000,IF('Human Resources'!J17="Low",1000,0)))+(1000-ROW())))</f>
        <v>0</v>
      </c>
      <c r="Q43" s="28" t="s">
        <v>62</v>
      </c>
    </row>
    <row r="44" spans="5:17" s="28" customFormat="1">
      <c r="E44" s="48"/>
      <c r="F44" s="48"/>
      <c r="L44" s="28" t="s">
        <v>252</v>
      </c>
      <c r="M44" s="28" t="s">
        <v>62</v>
      </c>
      <c r="N44" s="28" t="s">
        <v>253</v>
      </c>
      <c r="O44" s="28">
        <v>18</v>
      </c>
      <c r="P44" s="28">
        <f>IF('Human Resources'!D18="",0,IF('Human Resources'!E18&gt;='Start Here'!$E$5,0,(('Start Here'!$E$5-'Human Resources'!E18)*100000)+IF('Human Resources'!J18="High",3000,IF('Human Resources'!J18="Medium",2000,IF('Human Resources'!J18="Low",1000,0)))+(1000-ROW())))</f>
        <v>0</v>
      </c>
      <c r="Q44" s="28" t="s">
        <v>62</v>
      </c>
    </row>
    <row r="45" spans="5:17" s="28" customFormat="1">
      <c r="E45" s="48"/>
      <c r="F45" s="48"/>
      <c r="L45" s="28" t="s">
        <v>255</v>
      </c>
      <c r="M45" s="28" t="s">
        <v>62</v>
      </c>
      <c r="N45" s="28" t="s">
        <v>256</v>
      </c>
      <c r="O45" s="28">
        <v>19</v>
      </c>
      <c r="P45" s="28">
        <f>IF('Human Resources'!D19="",0,IF('Human Resources'!E19&gt;='Start Here'!$E$5,0,(('Start Here'!$E$5-'Human Resources'!E19)*100000)+IF('Human Resources'!J19="High",3000,IF('Human Resources'!J19="Medium",2000,IF('Human Resources'!J19="Low",1000,0)))+(1000-ROW())))</f>
        <v>0</v>
      </c>
      <c r="Q45" s="28" t="s">
        <v>62</v>
      </c>
    </row>
    <row r="46" spans="5:17" s="28" customFormat="1">
      <c r="E46" s="48"/>
      <c r="F46" s="48"/>
      <c r="L46" s="28" t="s">
        <v>258</v>
      </c>
      <c r="M46" s="28" t="s">
        <v>62</v>
      </c>
      <c r="N46" s="28" t="s">
        <v>259</v>
      </c>
      <c r="O46" s="28">
        <v>20</v>
      </c>
      <c r="P46" s="28">
        <f>IF('Human Resources'!D20="",0,IF('Human Resources'!E20&gt;='Start Here'!$E$5,0,(('Start Here'!$E$5-'Human Resources'!E20)*100000)+IF('Human Resources'!J20="High",3000,IF('Human Resources'!J20="Medium",2000,IF('Human Resources'!J20="Low",1000,0)))+(1000-ROW())))</f>
        <v>0</v>
      </c>
      <c r="Q46" s="28" t="s">
        <v>62</v>
      </c>
    </row>
    <row r="47" spans="5:17" s="28" customFormat="1">
      <c r="E47" s="48"/>
      <c r="F47" s="48"/>
      <c r="L47" s="28" t="s">
        <v>262</v>
      </c>
      <c r="M47" s="28" t="s">
        <v>64</v>
      </c>
      <c r="N47" s="28" t="s">
        <v>263</v>
      </c>
      <c r="O47" s="28">
        <v>9</v>
      </c>
      <c r="P47" s="28">
        <f>IF(Finance!D9="",0,IF(Finance!E9&gt;='Start Here'!$E$5,0,(('Start Here'!$E$5-Finance!E9)*100000)+IF(Finance!J9="High",3000,IF(Finance!J9="Medium",2000,IF(Finance!J9="Low",1000,0)))+(1000-ROW())))</f>
        <v>0</v>
      </c>
      <c r="Q47" s="28" t="s">
        <v>64</v>
      </c>
    </row>
    <row r="48" spans="5:17" s="28" customFormat="1">
      <c r="E48" s="48"/>
      <c r="F48" s="48"/>
      <c r="L48" s="28" t="s">
        <v>265</v>
      </c>
      <c r="M48" s="28" t="s">
        <v>64</v>
      </c>
      <c r="N48" s="28" t="s">
        <v>266</v>
      </c>
      <c r="O48" s="28">
        <v>10</v>
      </c>
      <c r="P48" s="28">
        <f>IF(Finance!D10="",0,IF(Finance!E10&gt;='Start Here'!$E$5,0,(('Start Here'!$E$5-Finance!E10)*100000)+IF(Finance!J10="High",3000,IF(Finance!J10="Medium",2000,IF(Finance!J10="Low",1000,0)))+(1000-ROW())))</f>
        <v>0</v>
      </c>
      <c r="Q48" s="28" t="s">
        <v>64</v>
      </c>
    </row>
    <row r="49" spans="5:17" s="28" customFormat="1">
      <c r="E49" s="48"/>
      <c r="F49" s="48"/>
      <c r="L49" s="28" t="s">
        <v>268</v>
      </c>
      <c r="M49" s="28" t="s">
        <v>64</v>
      </c>
      <c r="N49" s="28" t="s">
        <v>269</v>
      </c>
      <c r="O49" s="28">
        <v>11</v>
      </c>
      <c r="P49" s="28">
        <f>IF(Finance!D11="",0,IF(Finance!E11&gt;='Start Here'!$E$5,0,(('Start Here'!$E$5-Finance!E11)*100000)+IF(Finance!J11="High",3000,IF(Finance!J11="Medium",2000,IF(Finance!J11="Low",1000,0)))+(1000-ROW())))</f>
        <v>0</v>
      </c>
      <c r="Q49" s="28" t="s">
        <v>64</v>
      </c>
    </row>
    <row r="50" spans="5:17" s="28" customFormat="1">
      <c r="E50" s="48"/>
      <c r="F50" s="48"/>
      <c r="L50" s="28" t="s">
        <v>271</v>
      </c>
      <c r="M50" s="28" t="s">
        <v>64</v>
      </c>
      <c r="N50" s="28" t="s">
        <v>186</v>
      </c>
      <c r="O50" s="28">
        <v>12</v>
      </c>
      <c r="P50" s="28">
        <f>IF(Finance!D12="",0,IF(Finance!E12&gt;='Start Here'!$E$5,0,(('Start Here'!$E$5-Finance!E12)*100000)+IF(Finance!J12="High",3000,IF(Finance!J12="Medium",2000,IF(Finance!J12="Low",1000,0)))+(1000-ROW())))</f>
        <v>0</v>
      </c>
      <c r="Q50" s="28" t="s">
        <v>64</v>
      </c>
    </row>
    <row r="51" spans="5:17" s="28" customFormat="1">
      <c r="E51" s="48"/>
      <c r="F51" s="48"/>
      <c r="L51" s="28" t="s">
        <v>273</v>
      </c>
      <c r="M51" s="28" t="s">
        <v>64</v>
      </c>
      <c r="N51" s="28" t="s">
        <v>274</v>
      </c>
      <c r="O51" s="28">
        <v>13</v>
      </c>
      <c r="P51" s="28">
        <f>IF(Finance!D13="",0,IF(Finance!E13&gt;='Start Here'!$E$5,0,(('Start Here'!$E$5-Finance!E13)*100000)+IF(Finance!J13="High",3000,IF(Finance!J13="Medium",2000,IF(Finance!J13="Low",1000,0)))+(1000-ROW())))</f>
        <v>0</v>
      </c>
      <c r="Q51" s="28" t="s">
        <v>64</v>
      </c>
    </row>
    <row r="52" spans="5:17" s="28" customFormat="1">
      <c r="E52" s="48"/>
      <c r="F52" s="48"/>
      <c r="L52" s="28" t="s">
        <v>276</v>
      </c>
      <c r="M52" s="28" t="s">
        <v>64</v>
      </c>
      <c r="N52" s="28" t="s">
        <v>277</v>
      </c>
      <c r="O52" s="28">
        <v>14</v>
      </c>
      <c r="P52" s="28">
        <f>IF(Finance!D14="",0,IF(Finance!E14&gt;='Start Here'!$E$5,0,(('Start Here'!$E$5-Finance!E14)*100000)+IF(Finance!J14="High",3000,IF(Finance!J14="Medium",2000,IF(Finance!J14="Low",1000,0)))+(1000-ROW())))</f>
        <v>0</v>
      </c>
      <c r="Q52" s="28" t="s">
        <v>64</v>
      </c>
    </row>
    <row r="53" spans="5:17" s="28" customFormat="1">
      <c r="E53" s="48"/>
      <c r="F53" s="48"/>
      <c r="L53" s="28" t="s">
        <v>279</v>
      </c>
      <c r="M53" s="28" t="s">
        <v>64</v>
      </c>
      <c r="N53" s="28" t="s">
        <v>280</v>
      </c>
      <c r="O53" s="28">
        <v>15</v>
      </c>
      <c r="P53" s="28">
        <f>IF(Finance!D15="",0,IF(Finance!E15&gt;='Start Here'!$E$5,0,(('Start Here'!$E$5-Finance!E15)*100000)+IF(Finance!J15="High",3000,IF(Finance!J15="Medium",2000,IF(Finance!J15="Low",1000,0)))+(1000-ROW())))</f>
        <v>0</v>
      </c>
      <c r="Q53" s="28" t="s">
        <v>64</v>
      </c>
    </row>
    <row r="54" spans="5:17" s="28" customFormat="1">
      <c r="E54" s="48"/>
      <c r="F54" s="48"/>
      <c r="L54" s="28" t="s">
        <v>282</v>
      </c>
      <c r="M54" s="28" t="s">
        <v>64</v>
      </c>
      <c r="N54" s="28" t="s">
        <v>283</v>
      </c>
      <c r="O54" s="28">
        <v>16</v>
      </c>
      <c r="P54" s="28">
        <f>IF(Finance!D16="",0,IF(Finance!E16&gt;='Start Here'!$E$5,0,(('Start Here'!$E$5-Finance!E16)*100000)+IF(Finance!J16="High",3000,IF(Finance!J16="Medium",2000,IF(Finance!J16="Low",1000,0)))+(1000-ROW())))</f>
        <v>0</v>
      </c>
      <c r="Q54" s="28" t="s">
        <v>64</v>
      </c>
    </row>
    <row r="55" spans="5:17" s="28" customFormat="1">
      <c r="E55" s="48"/>
      <c r="F55" s="48"/>
      <c r="L55" s="28" t="s">
        <v>285</v>
      </c>
      <c r="M55" s="28" t="s">
        <v>64</v>
      </c>
      <c r="N55" s="28" t="s">
        <v>286</v>
      </c>
      <c r="O55" s="28">
        <v>17</v>
      </c>
      <c r="P55" s="28">
        <f>IF(Finance!D17="",0,IF(Finance!E17&gt;='Start Here'!$E$5,0,(('Start Here'!$E$5-Finance!E17)*100000)+IF(Finance!J17="High",3000,IF(Finance!J17="Medium",2000,IF(Finance!J17="Low",1000,0)))+(1000-ROW())))</f>
        <v>0</v>
      </c>
      <c r="Q55" s="28" t="s">
        <v>64</v>
      </c>
    </row>
    <row r="56" spans="5:17" s="28" customFormat="1">
      <c r="E56" s="48"/>
      <c r="F56" s="48"/>
      <c r="L56" s="28" t="s">
        <v>288</v>
      </c>
      <c r="M56" s="28" t="s">
        <v>64</v>
      </c>
      <c r="N56" s="28" t="s">
        <v>289</v>
      </c>
      <c r="O56" s="28">
        <v>18</v>
      </c>
      <c r="P56" s="28">
        <f>IF(Finance!D18="",0,IF(Finance!E18&gt;='Start Here'!$E$5,0,(('Start Here'!$E$5-Finance!E18)*100000)+IF(Finance!J18="High",3000,IF(Finance!J18="Medium",2000,IF(Finance!J18="Low",1000,0)))+(1000-ROW())))</f>
        <v>0</v>
      </c>
      <c r="Q56" s="28" t="s">
        <v>64</v>
      </c>
    </row>
    <row r="57" spans="5:17" s="28" customFormat="1">
      <c r="E57" s="48"/>
      <c r="F57" s="48"/>
      <c r="L57" s="28" t="s">
        <v>291</v>
      </c>
      <c r="M57" s="28" t="s">
        <v>64</v>
      </c>
      <c r="N57" s="28" t="s">
        <v>292</v>
      </c>
      <c r="O57" s="28">
        <v>19</v>
      </c>
      <c r="P57" s="28">
        <f>IF(Finance!D19="",0,IF(Finance!E19&gt;='Start Here'!$E$5,0,(('Start Here'!$E$5-Finance!E19)*100000)+IF(Finance!J19="High",3000,IF(Finance!J19="Medium",2000,IF(Finance!J19="Low",1000,0)))+(1000-ROW())))</f>
        <v>0</v>
      </c>
      <c r="Q57" s="28" t="s">
        <v>64</v>
      </c>
    </row>
    <row r="58" spans="5:17" s="28" customFormat="1">
      <c r="E58" s="48"/>
      <c r="F58" s="48"/>
      <c r="L58" s="28" t="s">
        <v>294</v>
      </c>
      <c r="M58" s="28" t="s">
        <v>64</v>
      </c>
      <c r="N58" s="28" t="s">
        <v>295</v>
      </c>
      <c r="O58" s="28">
        <v>20</v>
      </c>
      <c r="P58" s="28">
        <f>IF(Finance!D20="",0,IF(Finance!E20&gt;='Start Here'!$E$5,0,(('Start Here'!$E$5-Finance!E20)*100000)+IF(Finance!J20="High",3000,IF(Finance!J20="Medium",2000,IF(Finance!J20="Low",1000,0)))+(1000-ROW())))</f>
        <v>0</v>
      </c>
      <c r="Q58" s="28" t="s">
        <v>64</v>
      </c>
    </row>
    <row r="59" spans="5:17" s="28" customFormat="1">
      <c r="E59" s="48"/>
      <c r="F59" s="48"/>
      <c r="L59" s="28" t="s">
        <v>298</v>
      </c>
      <c r="M59" s="28" t="s">
        <v>66</v>
      </c>
      <c r="N59" s="28" t="s">
        <v>299</v>
      </c>
      <c r="O59" s="28">
        <v>9</v>
      </c>
      <c r="P59" s="28">
        <f>IF('Marketing &amp; Communications'!D9="",0,IF('Marketing &amp; Communications'!E9&gt;='Start Here'!$E$5,0,(('Start Here'!$E$5-'Marketing &amp; Communications'!E9)*100000)+IF('Marketing &amp; Communications'!J9="High",3000,IF('Marketing &amp; Communications'!J9="Medium",2000,IF('Marketing &amp; Communications'!J9="Low",1000,0)))+(1000-ROW())))</f>
        <v>0</v>
      </c>
      <c r="Q59" s="28" t="s">
        <v>66</v>
      </c>
    </row>
    <row r="60" spans="5:17" s="28" customFormat="1">
      <c r="E60" s="48"/>
      <c r="F60" s="48"/>
      <c r="L60" s="28" t="s">
        <v>301</v>
      </c>
      <c r="M60" s="28" t="s">
        <v>66</v>
      </c>
      <c r="N60" s="28" t="s">
        <v>186</v>
      </c>
      <c r="O60" s="28">
        <v>10</v>
      </c>
      <c r="P60" s="28">
        <f>IF('Marketing &amp; Communications'!D10="",0,IF('Marketing &amp; Communications'!E10&gt;='Start Here'!$E$5,0,(('Start Here'!$E$5-'Marketing &amp; Communications'!E10)*100000)+IF('Marketing &amp; Communications'!J10="High",3000,IF('Marketing &amp; Communications'!J10="Medium",2000,IF('Marketing &amp; Communications'!J10="Low",1000,0)))+(1000-ROW())))</f>
        <v>0</v>
      </c>
      <c r="Q60" s="28" t="s">
        <v>66</v>
      </c>
    </row>
    <row r="61" spans="5:17" s="28" customFormat="1">
      <c r="E61" s="48"/>
      <c r="F61" s="48"/>
      <c r="L61" s="28" t="s">
        <v>303</v>
      </c>
      <c r="M61" s="28" t="s">
        <v>66</v>
      </c>
      <c r="N61" s="28" t="s">
        <v>304</v>
      </c>
      <c r="O61" s="28">
        <v>11</v>
      </c>
      <c r="P61" s="28">
        <f>IF('Marketing &amp; Communications'!D11="",0,IF('Marketing &amp; Communications'!E11&gt;='Start Here'!$E$5,0,(('Start Here'!$E$5-'Marketing &amp; Communications'!E11)*100000)+IF('Marketing &amp; Communications'!J11="High",3000,IF('Marketing &amp; Communications'!J11="Medium",2000,IF('Marketing &amp; Communications'!J11="Low",1000,0)))+(1000-ROW())))</f>
        <v>0</v>
      </c>
      <c r="Q61" s="28" t="s">
        <v>66</v>
      </c>
    </row>
    <row r="62" spans="5:17" s="28" customFormat="1">
      <c r="E62" s="48"/>
      <c r="F62" s="48"/>
      <c r="L62" s="28" t="s">
        <v>306</v>
      </c>
      <c r="M62" s="28" t="s">
        <v>66</v>
      </c>
      <c r="N62" s="28" t="s">
        <v>307</v>
      </c>
      <c r="O62" s="28">
        <v>12</v>
      </c>
      <c r="P62" s="28">
        <f>IF('Marketing &amp; Communications'!D12="",0,IF('Marketing &amp; Communications'!E12&gt;='Start Here'!$E$5,0,(('Start Here'!$E$5-'Marketing &amp; Communications'!E12)*100000)+IF('Marketing &amp; Communications'!J12="High",3000,IF('Marketing &amp; Communications'!J12="Medium",2000,IF('Marketing &amp; Communications'!J12="Low",1000,0)))+(1000-ROW())))</f>
        <v>0</v>
      </c>
      <c r="Q62" s="28" t="s">
        <v>66</v>
      </c>
    </row>
    <row r="63" spans="5:17" s="28" customFormat="1">
      <c r="E63" s="48"/>
      <c r="F63" s="48"/>
      <c r="L63" s="28" t="s">
        <v>309</v>
      </c>
      <c r="M63" s="28" t="s">
        <v>66</v>
      </c>
      <c r="N63" s="28" t="s">
        <v>310</v>
      </c>
      <c r="O63" s="28">
        <v>13</v>
      </c>
      <c r="P63" s="28">
        <f>IF('Marketing &amp; Communications'!D13="",0,IF('Marketing &amp; Communications'!E13&gt;='Start Here'!$E$5,0,(('Start Here'!$E$5-'Marketing &amp; Communications'!E13)*100000)+IF('Marketing &amp; Communications'!J13="High",3000,IF('Marketing &amp; Communications'!J13="Medium",2000,IF('Marketing &amp; Communications'!J13="Low",1000,0)))+(1000-ROW())))</f>
        <v>0</v>
      </c>
      <c r="Q63" s="28" t="s">
        <v>66</v>
      </c>
    </row>
    <row r="64" spans="5:17" s="28" customFormat="1">
      <c r="E64" s="48"/>
      <c r="F64" s="48"/>
      <c r="L64" s="28" t="s">
        <v>312</v>
      </c>
      <c r="M64" s="28" t="s">
        <v>66</v>
      </c>
      <c r="N64" s="28" t="s">
        <v>313</v>
      </c>
      <c r="O64" s="28">
        <v>14</v>
      </c>
      <c r="P64" s="28">
        <f>IF('Marketing &amp; Communications'!D14="",0,IF('Marketing &amp; Communications'!E14&gt;='Start Here'!$E$5,0,(('Start Here'!$E$5-'Marketing &amp; Communications'!E14)*100000)+IF('Marketing &amp; Communications'!J14="High",3000,IF('Marketing &amp; Communications'!J14="Medium",2000,IF('Marketing &amp; Communications'!J14="Low",1000,0)))+(1000-ROW())))</f>
        <v>0</v>
      </c>
      <c r="Q64" s="28" t="s">
        <v>66</v>
      </c>
    </row>
    <row r="65" spans="5:17" s="28" customFormat="1">
      <c r="E65" s="48"/>
      <c r="F65" s="48"/>
      <c r="L65" s="28" t="s">
        <v>315</v>
      </c>
      <c r="M65" s="28" t="s">
        <v>66</v>
      </c>
      <c r="N65" s="28" t="s">
        <v>316</v>
      </c>
      <c r="O65" s="28">
        <v>15</v>
      </c>
      <c r="P65" s="28">
        <f>IF('Marketing &amp; Communications'!D15="",0,IF('Marketing &amp; Communications'!E15&gt;='Start Here'!$E$5,0,(('Start Here'!$E$5-'Marketing &amp; Communications'!E15)*100000)+IF('Marketing &amp; Communications'!J15="High",3000,IF('Marketing &amp; Communications'!J15="Medium",2000,IF('Marketing &amp; Communications'!J15="Low",1000,0)))+(1000-ROW())))</f>
        <v>0</v>
      </c>
      <c r="Q65" s="28" t="s">
        <v>66</v>
      </c>
    </row>
    <row r="66" spans="5:17" s="28" customFormat="1">
      <c r="E66" s="48"/>
      <c r="F66" s="48"/>
      <c r="L66" s="28" t="s">
        <v>318</v>
      </c>
      <c r="M66" s="28" t="s">
        <v>66</v>
      </c>
      <c r="N66" s="28" t="s">
        <v>319</v>
      </c>
      <c r="O66" s="28">
        <v>16</v>
      </c>
      <c r="P66" s="28">
        <f>IF('Marketing &amp; Communications'!D16="",0,IF('Marketing &amp; Communications'!E16&gt;='Start Here'!$E$5,0,(('Start Here'!$E$5-'Marketing &amp; Communications'!E16)*100000)+IF('Marketing &amp; Communications'!J16="High",3000,IF('Marketing &amp; Communications'!J16="Medium",2000,IF('Marketing &amp; Communications'!J16="Low",1000,0)))+(1000-ROW())))</f>
        <v>0</v>
      </c>
      <c r="Q66" s="28" t="s">
        <v>66</v>
      </c>
    </row>
    <row r="67" spans="5:17">
      <c r="L67" t="s">
        <v>321</v>
      </c>
      <c r="M67" t="s">
        <v>66</v>
      </c>
      <c r="N67" t="s">
        <v>322</v>
      </c>
      <c r="O67">
        <v>17</v>
      </c>
      <c r="P67">
        <f>IF('Marketing &amp; Communications'!D17="",0,IF('Marketing &amp; Communications'!E17&gt;='Start Here'!$E$5,0,(('Start Here'!$E$5-'Marketing &amp; Communications'!E17)*100000)+IF('Marketing &amp; Communications'!J17="High",3000,IF('Marketing &amp; Communications'!J17="Medium",2000,IF('Marketing &amp; Communications'!J17="Low",1000,0)))+(1000-ROW())))</f>
        <v>0</v>
      </c>
      <c r="Q67" t="s">
        <v>66</v>
      </c>
    </row>
    <row r="68" spans="5:17">
      <c r="L68" t="s">
        <v>324</v>
      </c>
      <c r="M68" t="s">
        <v>66</v>
      </c>
      <c r="N68" t="s">
        <v>325</v>
      </c>
      <c r="O68">
        <v>18</v>
      </c>
      <c r="P68">
        <f>IF('Marketing &amp; Communications'!D18="",0,IF('Marketing &amp; Communications'!E18&gt;='Start Here'!$E$5,0,(('Start Here'!$E$5-'Marketing &amp; Communications'!E18)*100000)+IF('Marketing &amp; Communications'!J18="High",3000,IF('Marketing &amp; Communications'!J18="Medium",2000,IF('Marketing &amp; Communications'!J18="Low",1000,0)))+(1000-ROW())))</f>
        <v>0</v>
      </c>
      <c r="Q68" t="s">
        <v>66</v>
      </c>
    </row>
    <row r="69" spans="5:17">
      <c r="L69" t="s">
        <v>327</v>
      </c>
      <c r="M69" t="s">
        <v>66</v>
      </c>
      <c r="N69" t="s">
        <v>328</v>
      </c>
      <c r="O69">
        <v>19</v>
      </c>
      <c r="P69">
        <f>IF('Marketing &amp; Communications'!D19="",0,IF('Marketing &amp; Communications'!E19&gt;='Start Here'!$E$5,0,(('Start Here'!$E$5-'Marketing &amp; Communications'!E19)*100000)+IF('Marketing &amp; Communications'!J19="High",3000,IF('Marketing &amp; Communications'!J19="Medium",2000,IF('Marketing &amp; Communications'!J19="Low",1000,0)))+(1000-ROW())))</f>
        <v>0</v>
      </c>
      <c r="Q69" t="s">
        <v>66</v>
      </c>
    </row>
    <row r="70" spans="5:17">
      <c r="L70" t="s">
        <v>330</v>
      </c>
      <c r="M70" t="s">
        <v>66</v>
      </c>
      <c r="N70" t="s">
        <v>331</v>
      </c>
      <c r="O70">
        <v>20</v>
      </c>
      <c r="P70">
        <f>IF('Marketing &amp; Communications'!D20="",0,IF('Marketing &amp; Communications'!E20&gt;='Start Here'!$E$5,0,(('Start Here'!$E$5-'Marketing &amp; Communications'!E20)*100000)+IF('Marketing &amp; Communications'!J20="High",3000,IF('Marketing &amp; Communications'!J20="Medium",2000,IF('Marketing &amp; Communications'!J20="Low",1000,0)))+(1000-ROW())))</f>
        <v>0</v>
      </c>
      <c r="Q70" t="s">
        <v>66</v>
      </c>
    </row>
    <row r="71" spans="5:17">
      <c r="L71" t="s">
        <v>333</v>
      </c>
      <c r="M71" t="s">
        <v>66</v>
      </c>
      <c r="N71" t="s">
        <v>334</v>
      </c>
      <c r="O71">
        <v>21</v>
      </c>
      <c r="P71">
        <f>IF('Marketing &amp; Communications'!D21="",0,IF('Marketing &amp; Communications'!E21&gt;='Start Here'!$E$5,0,(('Start Here'!$E$5-'Marketing &amp; Communications'!E21)*100000)+IF('Marketing &amp; Communications'!J21="High",3000,IF('Marketing &amp; Communications'!J21="Medium",2000,IF('Marketing &amp; Communications'!J21="Low",1000,0)))+(1000-ROW())))</f>
        <v>0</v>
      </c>
      <c r="Q71" t="s">
        <v>66</v>
      </c>
    </row>
    <row r="72" spans="5:17">
      <c r="L72" t="s">
        <v>337</v>
      </c>
      <c r="M72" t="s">
        <v>67</v>
      </c>
      <c r="N72" t="s">
        <v>338</v>
      </c>
      <c r="O72">
        <v>9</v>
      </c>
      <c r="P72">
        <f>IF('NOC Services'!D9="",0,IF('NOC Services'!E9&gt;='Start Here'!$E$5,0,(('Start Here'!$E$5-'NOC Services'!E9)*100000)+IF('NOC Services'!J9="High",3000,IF('NOC Services'!J9="Medium",2000,IF('NOC Services'!J9="Low",1000,0)))+(1000-ROW())))</f>
        <v>0</v>
      </c>
      <c r="Q72" t="s">
        <v>67</v>
      </c>
    </row>
    <row r="73" spans="5:17">
      <c r="L73" t="s">
        <v>340</v>
      </c>
      <c r="M73" t="s">
        <v>67</v>
      </c>
      <c r="N73" t="s">
        <v>341</v>
      </c>
      <c r="O73">
        <v>10</v>
      </c>
      <c r="P73">
        <f>IF('NOC Services'!D10="",0,IF('NOC Services'!E10&gt;='Start Here'!$E$5,0,(('Start Here'!$E$5-'NOC Services'!E10)*100000)+IF('NOC Services'!J10="High",3000,IF('NOC Services'!J10="Medium",2000,IF('NOC Services'!J10="Low",1000,0)))+(1000-ROW())))</f>
        <v>0</v>
      </c>
      <c r="Q73" t="s">
        <v>67</v>
      </c>
    </row>
    <row r="74" spans="5:17">
      <c r="L74" t="s">
        <v>343</v>
      </c>
      <c r="M74" t="s">
        <v>67</v>
      </c>
      <c r="N74" t="s">
        <v>344</v>
      </c>
      <c r="O74">
        <v>11</v>
      </c>
      <c r="P74">
        <f>IF('NOC Services'!D11="",0,IF('NOC Services'!E11&gt;='Start Here'!$E$5,0,(('Start Here'!$E$5-'NOC Services'!E11)*100000)+IF('NOC Services'!J11="High",3000,IF('NOC Services'!J11="Medium",2000,IF('NOC Services'!J11="Low",1000,0)))+(1000-ROW())))</f>
        <v>0</v>
      </c>
      <c r="Q74" t="s">
        <v>67</v>
      </c>
    </row>
    <row r="75" spans="5:17">
      <c r="L75" t="s">
        <v>346</v>
      </c>
      <c r="M75" t="s">
        <v>67</v>
      </c>
      <c r="N75" t="s">
        <v>347</v>
      </c>
      <c r="O75">
        <v>12</v>
      </c>
      <c r="P75">
        <f>IF('NOC Services'!D12="",0,IF('NOC Services'!E12&gt;='Start Here'!$E$5,0,(('Start Here'!$E$5-'NOC Services'!E12)*100000)+IF('NOC Services'!J12="High",3000,IF('NOC Services'!J12="Medium",2000,IF('NOC Services'!J12="Low",1000,0)))+(1000-ROW())))</f>
        <v>0</v>
      </c>
      <c r="Q75" t="s">
        <v>67</v>
      </c>
    </row>
    <row r="76" spans="5:17">
      <c r="L76" t="s">
        <v>349</v>
      </c>
      <c r="M76" t="s">
        <v>67</v>
      </c>
      <c r="N76" t="s">
        <v>350</v>
      </c>
      <c r="O76">
        <v>13</v>
      </c>
      <c r="P76">
        <f>IF('NOC Services'!D13="",0,IF('NOC Services'!E13&gt;='Start Here'!$E$5,0,(('Start Here'!$E$5-'NOC Services'!E13)*100000)+IF('NOC Services'!J13="High",3000,IF('NOC Services'!J13="Medium",2000,IF('NOC Services'!J13="Low",1000,0)))+(1000-ROW())))</f>
        <v>0</v>
      </c>
      <c r="Q76" t="s">
        <v>67</v>
      </c>
    </row>
    <row r="77" spans="5:17">
      <c r="L77" t="s">
        <v>352</v>
      </c>
      <c r="M77" t="s">
        <v>67</v>
      </c>
      <c r="N77" t="s">
        <v>353</v>
      </c>
      <c r="O77">
        <v>14</v>
      </c>
      <c r="P77">
        <f>IF('NOC Services'!D14="",0,IF('NOC Services'!E14&gt;='Start Here'!$E$5,0,(('Start Here'!$E$5-'NOC Services'!E14)*100000)+IF('NOC Services'!J14="High",3000,IF('NOC Services'!J14="Medium",2000,IF('NOC Services'!J14="Low",1000,0)))+(1000-ROW())))</f>
        <v>0</v>
      </c>
      <c r="Q77" t="s">
        <v>67</v>
      </c>
    </row>
    <row r="78" spans="5:17">
      <c r="L78" t="s">
        <v>355</v>
      </c>
      <c r="M78" t="s">
        <v>67</v>
      </c>
      <c r="N78" t="s">
        <v>356</v>
      </c>
      <c r="O78">
        <v>15</v>
      </c>
      <c r="P78">
        <f>IF('NOC Services'!D15="",0,IF('NOC Services'!E15&gt;='Start Here'!$E$5,0,(('Start Here'!$E$5-'NOC Services'!E15)*100000)+IF('NOC Services'!J15="High",3000,IF('NOC Services'!J15="Medium",2000,IF('NOC Services'!J15="Low",1000,0)))+(1000-ROW())))</f>
        <v>0</v>
      </c>
      <c r="Q78" t="s">
        <v>67</v>
      </c>
    </row>
    <row r="79" spans="5:17">
      <c r="L79" t="s">
        <v>358</v>
      </c>
      <c r="M79" t="s">
        <v>67</v>
      </c>
      <c r="N79" t="s">
        <v>359</v>
      </c>
      <c r="O79">
        <v>16</v>
      </c>
      <c r="P79">
        <f>IF('NOC Services'!D16="",0,IF('NOC Services'!E16&gt;='Start Here'!$E$5,0,(('Start Here'!$E$5-'NOC Services'!E16)*100000)+IF('NOC Services'!J16="High",3000,IF('NOC Services'!J16="Medium",2000,IF('NOC Services'!J16="Low",1000,0)))+(1000-ROW())))</f>
        <v>0</v>
      </c>
      <c r="Q79" t="s">
        <v>67</v>
      </c>
    </row>
    <row r="80" spans="5:17">
      <c r="L80" t="s">
        <v>361</v>
      </c>
      <c r="M80" t="s">
        <v>67</v>
      </c>
      <c r="N80" t="s">
        <v>362</v>
      </c>
      <c r="O80">
        <v>17</v>
      </c>
      <c r="P80">
        <f>IF('NOC Services'!D17="",0,IF('NOC Services'!E17&gt;='Start Here'!$E$5,0,(('Start Here'!$E$5-'NOC Services'!E17)*100000)+IF('NOC Services'!J17="High",3000,IF('NOC Services'!J17="Medium",2000,IF('NOC Services'!J17="Low",1000,0)))+(1000-ROW())))</f>
        <v>0</v>
      </c>
      <c r="Q80" t="s">
        <v>67</v>
      </c>
    </row>
    <row r="81" spans="12:17">
      <c r="L81" t="s">
        <v>364</v>
      </c>
      <c r="M81" t="s">
        <v>67</v>
      </c>
      <c r="N81" t="s">
        <v>365</v>
      </c>
      <c r="O81">
        <v>18</v>
      </c>
      <c r="P81">
        <f>IF('NOC Services'!D18="",0,IF('NOC Services'!E18&gt;='Start Here'!$E$5,0,(('Start Here'!$E$5-'NOC Services'!E18)*100000)+IF('NOC Services'!J18="High",3000,IF('NOC Services'!J18="Medium",2000,IF('NOC Services'!J18="Low",1000,0)))+(1000-ROW())))</f>
        <v>0</v>
      </c>
      <c r="Q81" t="s">
        <v>67</v>
      </c>
    </row>
    <row r="82" spans="12:17">
      <c r="L82" t="s">
        <v>367</v>
      </c>
      <c r="M82" t="s">
        <v>67</v>
      </c>
      <c r="N82" t="s">
        <v>368</v>
      </c>
      <c r="O82">
        <v>19</v>
      </c>
      <c r="P82">
        <f>IF('NOC Services'!D19="",0,IF('NOC Services'!E19&gt;='Start Here'!$E$5,0,(('Start Here'!$E$5-'NOC Services'!E19)*100000)+IF('NOC Services'!J19="High",3000,IF('NOC Services'!J19="Medium",2000,IF('NOC Services'!J19="Low",1000,0)))+(1000-ROW())))</f>
        <v>0</v>
      </c>
      <c r="Q82" t="s">
        <v>67</v>
      </c>
    </row>
    <row r="83" spans="12:17">
      <c r="L83" t="s">
        <v>371</v>
      </c>
      <c r="M83" t="s">
        <v>68</v>
      </c>
      <c r="N83" t="s">
        <v>372</v>
      </c>
      <c r="O83">
        <v>9</v>
      </c>
      <c r="P83">
        <f>IF('External Relations'!D9="",0,IF('External Relations'!E9&gt;='Start Here'!$E$5,0,(('Start Here'!$E$5-'External Relations'!E9)*100000)+IF('External Relations'!J9="High",3000,IF('External Relations'!J9="Medium",2000,IF('External Relations'!J9="Low",1000,0)))+(1000-ROW())))</f>
        <v>0</v>
      </c>
      <c r="Q83" t="s">
        <v>68</v>
      </c>
    </row>
    <row r="84" spans="12:17">
      <c r="L84" t="s">
        <v>374</v>
      </c>
      <c r="M84" t="s">
        <v>68</v>
      </c>
      <c r="N84" t="s">
        <v>375</v>
      </c>
      <c r="O84">
        <v>10</v>
      </c>
      <c r="P84">
        <f>IF('External Relations'!D10="",0,IF('External Relations'!E10&gt;='Start Here'!$E$5,0,(('Start Here'!$E$5-'External Relations'!E10)*100000)+IF('External Relations'!J10="High",3000,IF('External Relations'!J10="Medium",2000,IF('External Relations'!J10="Low",1000,0)))+(1000-ROW())))</f>
        <v>0</v>
      </c>
      <c r="Q84" t="s">
        <v>68</v>
      </c>
    </row>
    <row r="85" spans="12:17">
      <c r="L85" t="s">
        <v>377</v>
      </c>
      <c r="M85" t="s">
        <v>68</v>
      </c>
      <c r="N85" t="s">
        <v>378</v>
      </c>
      <c r="O85">
        <v>11</v>
      </c>
      <c r="P85">
        <f>IF('External Relations'!D11="",0,IF('External Relations'!E11&gt;='Start Here'!$E$5,0,(('Start Here'!$E$5-'External Relations'!E11)*100000)+IF('External Relations'!J11="High",3000,IF('External Relations'!J11="Medium",2000,IF('External Relations'!J11="Low",1000,0)))+(1000-ROW())))</f>
        <v>0</v>
      </c>
      <c r="Q85" t="s">
        <v>68</v>
      </c>
    </row>
    <row r="86" spans="12:17">
      <c r="L86" t="s">
        <v>380</v>
      </c>
      <c r="M86" t="s">
        <v>68</v>
      </c>
      <c r="N86" t="s">
        <v>381</v>
      </c>
      <c r="O86">
        <v>12</v>
      </c>
      <c r="P86">
        <f>IF('External Relations'!D12="",0,IF('External Relations'!E12&gt;='Start Here'!$E$5,0,(('Start Here'!$E$5-'External Relations'!E12)*100000)+IF('External Relations'!J12="High",3000,IF('External Relations'!J12="Medium",2000,IF('External Relations'!J12="Low",1000,0)))+(1000-ROW())))</f>
        <v>0</v>
      </c>
      <c r="Q86" t="s">
        <v>68</v>
      </c>
    </row>
    <row r="87" spans="12:17">
      <c r="L87" t="s">
        <v>383</v>
      </c>
      <c r="M87" t="s">
        <v>68</v>
      </c>
      <c r="N87" t="s">
        <v>384</v>
      </c>
      <c r="O87">
        <v>13</v>
      </c>
      <c r="P87">
        <f>IF('External Relations'!D13="",0,IF('External Relations'!E13&gt;='Start Here'!$E$5,0,(('Start Here'!$E$5-'External Relations'!E13)*100000)+IF('External Relations'!J13="High",3000,IF('External Relations'!J13="Medium",2000,IF('External Relations'!J13="Low",1000,0)))+(1000-ROW())))</f>
        <v>0</v>
      </c>
      <c r="Q87" t="s">
        <v>68</v>
      </c>
    </row>
    <row r="88" spans="12:17">
      <c r="L88" t="s">
        <v>386</v>
      </c>
      <c r="M88" t="s">
        <v>68</v>
      </c>
      <c r="N88" t="s">
        <v>387</v>
      </c>
      <c r="O88">
        <v>14</v>
      </c>
      <c r="P88">
        <f>IF('External Relations'!D14="",0,IF('External Relations'!E14&gt;='Start Here'!$E$5,0,(('Start Here'!$E$5-'External Relations'!E14)*100000)+IF('External Relations'!J14="High",3000,IF('External Relations'!J14="Medium",2000,IF('External Relations'!J14="Low",1000,0)))+(1000-ROW())))</f>
        <v>0</v>
      </c>
      <c r="Q88" t="s">
        <v>68</v>
      </c>
    </row>
    <row r="89" spans="12:17">
      <c r="L89" t="s">
        <v>389</v>
      </c>
      <c r="M89" t="s">
        <v>68</v>
      </c>
      <c r="N89" t="s">
        <v>390</v>
      </c>
      <c r="O89">
        <v>15</v>
      </c>
      <c r="P89">
        <f>IF('External Relations'!D15="",0,IF('External Relations'!E15&gt;='Start Here'!$E$5,0,(('Start Here'!$E$5-'External Relations'!E15)*100000)+IF('External Relations'!J15="High",3000,IF('External Relations'!J15="Medium",2000,IF('External Relations'!J15="Low",1000,0)))+(1000-ROW())))</f>
        <v>0</v>
      </c>
      <c r="Q89" t="s">
        <v>68</v>
      </c>
    </row>
    <row r="90" spans="12:17">
      <c r="L90" t="s">
        <v>392</v>
      </c>
      <c r="M90" t="s">
        <v>68</v>
      </c>
      <c r="N90" t="s">
        <v>393</v>
      </c>
      <c r="O90">
        <v>16</v>
      </c>
      <c r="P90">
        <f>IF('External Relations'!D16="",0,IF('External Relations'!E16&gt;='Start Here'!$E$5,0,(('Start Here'!$E$5-'External Relations'!E16)*100000)+IF('External Relations'!J16="High",3000,IF('External Relations'!J16="Medium",2000,IF('External Relations'!J16="Low",1000,0)))+(1000-ROW())))</f>
        <v>0</v>
      </c>
      <c r="Q90" t="s">
        <v>68</v>
      </c>
    </row>
    <row r="91" spans="12:17">
      <c r="L91" t="s">
        <v>396</v>
      </c>
      <c r="M91" t="s">
        <v>69</v>
      </c>
      <c r="N91" t="s">
        <v>397</v>
      </c>
      <c r="O91">
        <v>9</v>
      </c>
      <c r="P91">
        <f>IF('Sporting Environment'!D9="",0,IF('Sporting Environment'!E9&gt;='Start Here'!$E$5,0,(('Start Here'!$E$5-'Sporting Environment'!E9)*100000)+IF('Sporting Environment'!J9="High",3000,IF('Sporting Environment'!J9="Medium",2000,IF('Sporting Environment'!J9="Low",1000,0)))+(1000-ROW())))</f>
        <v>0</v>
      </c>
      <c r="Q91" t="s">
        <v>69</v>
      </c>
    </row>
    <row r="92" spans="12:17">
      <c r="L92" t="s">
        <v>399</v>
      </c>
      <c r="M92" t="s">
        <v>69</v>
      </c>
      <c r="N92" t="s">
        <v>400</v>
      </c>
      <c r="O92">
        <v>10</v>
      </c>
      <c r="P92">
        <f>IF('Sporting Environment'!D10="",0,IF('Sporting Environment'!E10&gt;='Start Here'!$E$5,0,(('Start Here'!$E$5-'Sporting Environment'!E10)*100000)+IF('Sporting Environment'!J10="High",3000,IF('Sporting Environment'!J10="Medium",2000,IF('Sporting Environment'!J10="Low",1000,0)))+(1000-ROW())))</f>
        <v>0</v>
      </c>
      <c r="Q92" t="s">
        <v>69</v>
      </c>
    </row>
    <row r="93" spans="12:17">
      <c r="L93" t="s">
        <v>402</v>
      </c>
      <c r="M93" t="s">
        <v>69</v>
      </c>
      <c r="N93" t="s">
        <v>403</v>
      </c>
      <c r="O93">
        <v>11</v>
      </c>
      <c r="P93">
        <f>IF('Sporting Environment'!D11="",0,IF('Sporting Environment'!E11&gt;='Start Here'!$E$5,0,(('Start Here'!$E$5-'Sporting Environment'!E11)*100000)+IF('Sporting Environment'!J11="High",3000,IF('Sporting Environment'!J11="Medium",2000,IF('Sporting Environment'!J11="Low",1000,0)))+(1000-ROW())))</f>
        <v>0</v>
      </c>
      <c r="Q93" t="s">
        <v>69</v>
      </c>
    </row>
    <row r="94" spans="12:17">
      <c r="L94" t="s">
        <v>405</v>
      </c>
      <c r="M94" t="s">
        <v>69</v>
      </c>
      <c r="N94" t="s">
        <v>406</v>
      </c>
      <c r="O94">
        <v>12</v>
      </c>
      <c r="P94">
        <f>IF('Sporting Environment'!D12="",0,IF('Sporting Environment'!E12&gt;='Start Here'!$E$5,0,(('Start Here'!$E$5-'Sporting Environment'!E12)*100000)+IF('Sporting Environment'!J12="High",3000,IF('Sporting Environment'!J12="Medium",2000,IF('Sporting Environment'!J12="Low",1000,0)))+(1000-ROW())))</f>
        <v>0</v>
      </c>
      <c r="Q94" t="s">
        <v>69</v>
      </c>
    </row>
    <row r="95" spans="12:17">
      <c r="L95" t="s">
        <v>408</v>
      </c>
      <c r="M95" t="s">
        <v>69</v>
      </c>
      <c r="N95" t="s">
        <v>409</v>
      </c>
      <c r="O95">
        <v>13</v>
      </c>
      <c r="P95">
        <f>IF('Sporting Environment'!D13="",0,IF('Sporting Environment'!E13&gt;='Start Here'!$E$5,0,(('Start Here'!$E$5-'Sporting Environment'!E13)*100000)+IF('Sporting Environment'!J13="High",3000,IF('Sporting Environment'!J13="Medium",2000,IF('Sporting Environment'!J13="Low",1000,0)))+(1000-ROW())))</f>
        <v>0</v>
      </c>
      <c r="Q95" t="s">
        <v>69</v>
      </c>
    </row>
    <row r="96" spans="12:17">
      <c r="L96" t="s">
        <v>411</v>
      </c>
      <c r="M96" t="s">
        <v>69</v>
      </c>
      <c r="N96" t="s">
        <v>412</v>
      </c>
      <c r="O96">
        <v>14</v>
      </c>
      <c r="P96">
        <f>IF('Sporting Environment'!D14="",0,IF('Sporting Environment'!E14&gt;='Start Here'!$E$5,0,(('Start Here'!$E$5-'Sporting Environment'!E14)*100000)+IF('Sporting Environment'!J14="High",3000,IF('Sporting Environment'!J14="Medium",2000,IF('Sporting Environment'!J14="Low",1000,0)))+(1000-ROW())))</f>
        <v>0</v>
      </c>
      <c r="Q96" t="s">
        <v>69</v>
      </c>
    </row>
    <row r="97" spans="12:17">
      <c r="L97" t="s">
        <v>414</v>
      </c>
      <c r="M97" t="s">
        <v>69</v>
      </c>
      <c r="N97" t="s">
        <v>415</v>
      </c>
      <c r="O97">
        <v>15</v>
      </c>
      <c r="P97">
        <f>IF('Sporting Environment'!D15="",0,IF('Sporting Environment'!E15&gt;='Start Here'!$E$5,0,(('Start Here'!$E$5-'Sporting Environment'!E15)*100000)+IF('Sporting Environment'!J15="High",3000,IF('Sporting Environment'!J15="Medium",2000,IF('Sporting Environment'!J15="Low",1000,0)))+(1000-ROW())))</f>
        <v>0</v>
      </c>
      <c r="Q97" t="s">
        <v>69</v>
      </c>
    </row>
    <row r="98" spans="12:17">
      <c r="L98" t="s">
        <v>417</v>
      </c>
      <c r="M98" t="s">
        <v>69</v>
      </c>
      <c r="N98" t="s">
        <v>64</v>
      </c>
      <c r="O98">
        <v>16</v>
      </c>
      <c r="P98">
        <f>IF('Sporting Environment'!D16="",0,IF('Sporting Environment'!E16&gt;='Start Here'!$E$5,0,(('Start Here'!$E$5-'Sporting Environment'!E16)*100000)+IF('Sporting Environment'!J16="High",3000,IF('Sporting Environment'!J16="Medium",2000,IF('Sporting Environment'!J16="Low",1000,0)))+(1000-ROW())))</f>
        <v>0</v>
      </c>
      <c r="Q98" t="s">
        <v>69</v>
      </c>
    </row>
    <row r="99" spans="12:17">
      <c r="L99" t="s">
        <v>419</v>
      </c>
      <c r="M99" t="s">
        <v>69</v>
      </c>
      <c r="N99" t="s">
        <v>420</v>
      </c>
      <c r="O99">
        <v>17</v>
      </c>
      <c r="P99">
        <f>IF('Sporting Environment'!D17="",0,IF('Sporting Environment'!E17&gt;='Start Here'!$E$5,0,(('Start Here'!$E$5-'Sporting Environment'!E17)*100000)+IF('Sporting Environment'!J17="High",3000,IF('Sporting Environment'!J17="Medium",2000,IF('Sporting Environment'!J17="Low",1000,0)))+(1000-ROW())))</f>
        <v>0</v>
      </c>
      <c r="Q99" t="s">
        <v>69</v>
      </c>
    </row>
  </sheetData>
  <mergeCells count="2">
    <mergeCell ref="A1:J1"/>
    <mergeCell ref="A2:J2"/>
  </mergeCells>
  <conditionalFormatting sqref="E5:E9">
    <cfRule type="colorScale" priority="1">
      <colorScale>
        <cfvo type="min"/>
        <cfvo type="percentile" val="50"/>
        <cfvo type="max"/>
        <color rgb="FFF4CCCC"/>
        <color rgb="FFFCE4D6"/>
        <color rgb="FFE2F0D9"/>
      </colorScale>
    </cfRule>
  </conditionalFormatting>
  <dataValidations count="1">
    <dataValidation type="list" sqref="I5:I9" xr:uid="{00000000-0002-0000-0B00-000000000000}">
      <formula1>"High,Medium,Low,Not Yet Rated"</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71"/>
  <sheetViews>
    <sheetView tabSelected="1" workbookViewId="0">
      <selection sqref="A1:J1"/>
    </sheetView>
  </sheetViews>
  <sheetFormatPr defaultRowHeight="14.25"/>
  <cols>
    <col min="1" max="1" width="12" customWidth="1"/>
    <col min="2" max="2" width="28" customWidth="1"/>
    <col min="3" max="3" width="11" customWidth="1"/>
    <col min="4" max="4" width="10" customWidth="1"/>
    <col min="5" max="5" width="66" customWidth="1"/>
    <col min="6" max="6" width="15" customWidth="1"/>
    <col min="7" max="7" width="22" customWidth="1"/>
    <col min="8" max="8" width="18" customWidth="1"/>
    <col min="9" max="9" width="16" customWidth="1"/>
    <col min="10" max="10" width="34" customWidth="1"/>
    <col min="14" max="16" width="3" customWidth="1"/>
  </cols>
  <sheetData>
    <row r="1" spans="1:16" ht="21.75">
      <c r="A1" s="155" t="s">
        <v>436</v>
      </c>
      <c r="B1" s="155"/>
      <c r="C1" s="155"/>
      <c r="D1" s="155"/>
      <c r="E1" s="155"/>
      <c r="F1" s="155"/>
      <c r="G1" s="155"/>
      <c r="H1" s="155"/>
      <c r="I1" s="155"/>
      <c r="J1" s="155"/>
    </row>
    <row r="2" spans="1:16">
      <c r="A2" s="156" t="s">
        <v>437</v>
      </c>
      <c r="B2" s="157"/>
      <c r="C2" s="157"/>
      <c r="D2" s="157"/>
      <c r="E2" s="157"/>
      <c r="F2" s="157"/>
      <c r="G2" s="157"/>
      <c r="H2" s="157"/>
      <c r="I2" s="157"/>
      <c r="J2" s="158"/>
    </row>
    <row r="4" spans="1:16" ht="15">
      <c r="A4" s="254" t="s">
        <v>2</v>
      </c>
      <c r="B4" s="255"/>
      <c r="C4" s="256"/>
      <c r="D4" s="254" t="s">
        <v>438</v>
      </c>
      <c r="E4" s="255"/>
      <c r="F4" s="256"/>
      <c r="G4" s="254" t="s">
        <v>7</v>
      </c>
      <c r="H4" s="256"/>
      <c r="I4" s="254" t="s">
        <v>439</v>
      </c>
      <c r="J4" s="256"/>
    </row>
    <row r="5" spans="1:16">
      <c r="A5" s="257" t="str">
        <f>IF('Start Here'!B4="","",'Start Here'!B4)</f>
        <v/>
      </c>
      <c r="B5" s="258"/>
      <c r="C5" s="259"/>
      <c r="D5" s="257" t="s">
        <v>440</v>
      </c>
      <c r="E5" s="258"/>
      <c r="F5" s="259"/>
      <c r="G5" s="263">
        <f>'Start Here'!E5</f>
        <v>3</v>
      </c>
      <c r="H5" s="264"/>
      <c r="I5" s="263" t="str">
        <f>TEXT(Dashboard!G5,"0%")&amp;" complete"</f>
        <v>0% complete</v>
      </c>
      <c r="J5" s="264"/>
      <c r="N5" t="s">
        <v>133</v>
      </c>
      <c r="O5">
        <v>9</v>
      </c>
      <c r="P5">
        <f>IF(Governance!D9="",9999,IF(Governance!E9&lt;'Start Here'!$E$5,9,9999))</f>
        <v>9999</v>
      </c>
    </row>
    <row r="6" spans="1:16">
      <c r="A6" s="260"/>
      <c r="B6" s="261"/>
      <c r="C6" s="262"/>
      <c r="D6" s="260"/>
      <c r="E6" s="261"/>
      <c r="F6" s="262"/>
      <c r="G6" s="265"/>
      <c r="H6" s="266"/>
      <c r="I6" s="265"/>
      <c r="J6" s="266"/>
      <c r="N6" t="s">
        <v>136</v>
      </c>
      <c r="O6">
        <v>10</v>
      </c>
      <c r="P6">
        <f>IF(Governance!D10="",9999,IF(Governance!E10&lt;'Start Here'!$E$5,10,9999))</f>
        <v>9999</v>
      </c>
    </row>
    <row r="7" spans="1:16">
      <c r="N7" t="s">
        <v>139</v>
      </c>
      <c r="O7">
        <v>11</v>
      </c>
      <c r="P7">
        <f>IF(Governance!D11="",9999,IF(Governance!E11&lt;'Start Here'!$E$5,11,9999))</f>
        <v>9999</v>
      </c>
    </row>
    <row r="8" spans="1:16" ht="15">
      <c r="A8" s="254" t="s">
        <v>88</v>
      </c>
      <c r="B8" s="256"/>
      <c r="C8" s="254" t="s">
        <v>89</v>
      </c>
      <c r="D8" s="256"/>
      <c r="E8" s="254" t="s">
        <v>91</v>
      </c>
      <c r="F8" s="256"/>
      <c r="G8" s="254" t="s">
        <v>99</v>
      </c>
      <c r="H8" s="256"/>
      <c r="I8" s="254" t="s">
        <v>441</v>
      </c>
      <c r="J8" s="256"/>
      <c r="N8" t="s">
        <v>142</v>
      </c>
      <c r="O8">
        <v>12</v>
      </c>
      <c r="P8">
        <f>IF(Governance!D12="",9999,IF(Governance!E12&lt;'Start Here'!$E$5,12,9999))</f>
        <v>9999</v>
      </c>
    </row>
    <row r="9" spans="1:16">
      <c r="A9" s="268" t="str">
        <f>Dashboard!A5</f>
        <v/>
      </c>
      <c r="B9" s="269"/>
      <c r="C9" s="263" t="str">
        <f>Dashboard!D5</f>
        <v>Not assessed</v>
      </c>
      <c r="D9" s="264"/>
      <c r="E9" s="263" t="str">
        <f>Dashboard!J5</f>
        <v/>
      </c>
      <c r="F9" s="264"/>
      <c r="G9" s="263">
        <f>SUM(Dashboard!F13:F20)</f>
        <v>0</v>
      </c>
      <c r="H9" s="264"/>
      <c r="I9" s="263" t="str">
        <f>IF(Dashboard!G5&lt;1,"Assessment incomplete",IF(G9=0,"Target achieved","Development actions required"))</f>
        <v>Assessment incomplete</v>
      </c>
      <c r="J9" s="264"/>
      <c r="N9" t="s">
        <v>145</v>
      </c>
      <c r="O9">
        <v>13</v>
      </c>
      <c r="P9">
        <f>IF(Governance!D13="",9999,IF(Governance!E13&lt;'Start Here'!$E$5,13,9999))</f>
        <v>9999</v>
      </c>
    </row>
    <row r="10" spans="1:16">
      <c r="A10" s="270"/>
      <c r="B10" s="271"/>
      <c r="C10" s="265"/>
      <c r="D10" s="266"/>
      <c r="E10" s="265"/>
      <c r="F10" s="266"/>
      <c r="G10" s="265"/>
      <c r="H10" s="266"/>
      <c r="I10" s="265"/>
      <c r="J10" s="266"/>
      <c r="N10" t="s">
        <v>148</v>
      </c>
      <c r="O10">
        <v>14</v>
      </c>
      <c r="P10">
        <f>IF(Governance!D14="",9999,IF(Governance!E14&lt;'Start Here'!$E$5,14,9999))</f>
        <v>9999</v>
      </c>
    </row>
    <row r="11" spans="1:16">
      <c r="N11" t="s">
        <v>151</v>
      </c>
      <c r="O11">
        <v>15</v>
      </c>
      <c r="P11">
        <f>IF(Governance!D15="",9999,IF(Governance!E15&lt;'Start Here'!$E$5,15,9999))</f>
        <v>9999</v>
      </c>
    </row>
    <row r="12" spans="1:16">
      <c r="N12" t="s">
        <v>154</v>
      </c>
      <c r="O12">
        <v>16</v>
      </c>
      <c r="P12">
        <f>IF(Governance!D16="",9999,IF(Governance!E16&lt;'Start Here'!$E$5,16,9999))</f>
        <v>9999</v>
      </c>
    </row>
    <row r="13" spans="1:16" ht="15.75">
      <c r="A13" s="267" t="s">
        <v>442</v>
      </c>
      <c r="B13" s="267"/>
      <c r="C13" s="267"/>
      <c r="D13" s="267"/>
      <c r="E13" s="267"/>
      <c r="F13" s="267"/>
      <c r="G13" s="267"/>
      <c r="H13" s="267"/>
      <c r="I13" s="267"/>
      <c r="J13" s="267"/>
      <c r="N13" t="s">
        <v>157</v>
      </c>
      <c r="O13">
        <v>17</v>
      </c>
      <c r="P13">
        <f>IF(Governance!D17="",9999,IF(Governance!E17&lt;'Start Here'!$E$5,17,9999))</f>
        <v>9999</v>
      </c>
    </row>
    <row r="14" spans="1:16">
      <c r="N14" t="s">
        <v>160</v>
      </c>
      <c r="O14">
        <v>18</v>
      </c>
      <c r="P14">
        <f>IF(Governance!D18="",9999,IF(Governance!E18&lt;'Start Here'!$E$5,18,9999))</f>
        <v>9999</v>
      </c>
    </row>
    <row r="15" spans="1:16" ht="15.75">
      <c r="A15" s="267" t="s">
        <v>443</v>
      </c>
      <c r="B15" s="267"/>
      <c r="C15" s="267"/>
      <c r="D15" s="267"/>
      <c r="E15" s="267"/>
      <c r="F15" s="267"/>
      <c r="G15" s="267"/>
      <c r="H15" s="267"/>
      <c r="I15" s="267"/>
      <c r="J15" s="267"/>
      <c r="N15" t="s">
        <v>163</v>
      </c>
      <c r="O15">
        <v>19</v>
      </c>
      <c r="P15">
        <f>IF(Governance!D19="",9999,IF(Governance!E19&lt;'Start Here'!$E$5,19,9999))</f>
        <v>9999</v>
      </c>
    </row>
    <row r="16" spans="1:16">
      <c r="A16" s="1" t="s">
        <v>122</v>
      </c>
      <c r="B16" s="2"/>
      <c r="C16" s="2" t="s">
        <v>96</v>
      </c>
      <c r="D16" s="2"/>
      <c r="E16" s="2" t="s">
        <v>99</v>
      </c>
      <c r="F16" s="2"/>
      <c r="G16" s="2" t="s">
        <v>444</v>
      </c>
      <c r="H16" s="2"/>
      <c r="I16" s="2"/>
      <c r="J16" s="3"/>
      <c r="N16" t="s">
        <v>166</v>
      </c>
      <c r="O16">
        <v>20</v>
      </c>
      <c r="P16">
        <f>IF(Governance!D20="",9999,IF(Governance!E20&lt;'Start Here'!$E$5,20,9999))</f>
        <v>9999</v>
      </c>
    </row>
    <row r="17" spans="1:16" ht="28.5">
      <c r="A17" s="19" t="str">
        <f>Dashboard!B13</f>
        <v/>
      </c>
      <c r="B17" s="14"/>
      <c r="C17" s="14" t="str">
        <f>Dashboard!C13</f>
        <v>Not assessed</v>
      </c>
      <c r="D17" s="14"/>
      <c r="E17" s="14">
        <f>Dashboard!F13</f>
        <v>0</v>
      </c>
      <c r="F17" s="14"/>
      <c r="G17" s="272" t="s">
        <v>445</v>
      </c>
      <c r="H17" s="272"/>
      <c r="I17" s="272"/>
      <c r="J17" s="273"/>
      <c r="N17" t="s">
        <v>169</v>
      </c>
      <c r="O17">
        <v>21</v>
      </c>
      <c r="P17">
        <f>IF(Governance!D21="",9999,IF(Governance!E21&lt;'Start Here'!$E$5,21,9999))</f>
        <v>9999</v>
      </c>
    </row>
    <row r="18" spans="1:16">
      <c r="N18" t="s">
        <v>172</v>
      </c>
      <c r="O18">
        <v>22</v>
      </c>
      <c r="P18">
        <f>IF(Governance!D22="",9999,IF(Governance!E22&lt;'Start Here'!$E$5,22,9999))</f>
        <v>9999</v>
      </c>
    </row>
    <row r="19" spans="1:16">
      <c r="A19" s="1" t="s">
        <v>446</v>
      </c>
      <c r="B19" s="2" t="s">
        <v>425</v>
      </c>
      <c r="C19" s="2" t="s">
        <v>447</v>
      </c>
      <c r="D19" s="2" t="s">
        <v>448</v>
      </c>
      <c r="E19" s="2" t="s">
        <v>449</v>
      </c>
      <c r="F19" s="2" t="s">
        <v>450</v>
      </c>
      <c r="G19" s="2" t="s">
        <v>451</v>
      </c>
      <c r="H19" s="2" t="s">
        <v>452</v>
      </c>
      <c r="I19" s="2" t="s">
        <v>55</v>
      </c>
      <c r="J19" s="3" t="s">
        <v>453</v>
      </c>
      <c r="N19" t="s">
        <v>175</v>
      </c>
      <c r="O19">
        <v>23</v>
      </c>
      <c r="P19">
        <f>IF(Governance!D23="",9999,IF(Governance!E23&lt;'Start Here'!$E$5,23,9999))</f>
        <v>9999</v>
      </c>
    </row>
    <row r="20" spans="1:16" ht="54" customHeight="1">
      <c r="A20" s="13" t="str">
        <f>IF(SMALL($P$5:$P$20,1)=9999,"",INDEX(Governance!$A:$A,SMALL($P$5:$P$20,1)))</f>
        <v/>
      </c>
      <c r="B20" s="14" t="str">
        <f>IF(A20="","",INDEX(Governance!$B:$B,SMALL($P$5:$P$20,1)))</f>
        <v/>
      </c>
      <c r="C20" s="14" t="str">
        <f>IF(A20="","",INDEX(Governance!$E:$E,SMALL($P$5:$P$20,1)))</f>
        <v/>
      </c>
      <c r="D20" s="14" t="str">
        <f>IF(A20="","",'Start Here'!$E$5)</f>
        <v/>
      </c>
      <c r="E20" s="14" t="str">
        <f>IF(A20="","",INDEX(Governance!$G:$G,SMALL($P$5:$P$20,1)))</f>
        <v/>
      </c>
      <c r="F20" s="15" t="str">
        <f t="shared" ref="F20:F35" si="0">IF(A20="","",IF(D20-C20&gt;=2,"High","Medium"))</f>
        <v/>
      </c>
      <c r="G20" s="16"/>
      <c r="H20" s="17"/>
      <c r="I20" s="17"/>
      <c r="J20" s="18"/>
      <c r="N20" t="s">
        <v>178</v>
      </c>
      <c r="O20">
        <v>24</v>
      </c>
      <c r="P20">
        <f>IF(Governance!D24="",9999,IF(Governance!E24&lt;'Start Here'!$E$5,24,9999))</f>
        <v>9999</v>
      </c>
    </row>
    <row r="21" spans="1:16" ht="54" customHeight="1">
      <c r="A21" s="13" t="str">
        <f>IF(SMALL($P$5:$P$20,2)=9999,"",INDEX(Governance!$A:$A,SMALL($P$5:$P$20,2)))</f>
        <v/>
      </c>
      <c r="B21" s="14" t="str">
        <f>IF(A21="","",INDEX(Governance!$B:$B,SMALL($P$5:$P$20,2)))</f>
        <v/>
      </c>
      <c r="C21" s="14" t="str">
        <f>IF(A21="","",INDEX(Governance!$E:$E,SMALL($P$5:$P$20,2)))</f>
        <v/>
      </c>
      <c r="D21" s="14" t="str">
        <f>IF(A21="","",'Start Here'!$E$5)</f>
        <v/>
      </c>
      <c r="E21" s="14" t="str">
        <f>IF(A21="","",INDEX(Governance!$G:$G,SMALL($P$5:$P$20,2)))</f>
        <v/>
      </c>
      <c r="F21" s="15" t="str">
        <f t="shared" si="0"/>
        <v/>
      </c>
      <c r="G21" s="16"/>
      <c r="H21" s="17"/>
      <c r="I21" s="17"/>
      <c r="J21" s="18"/>
    </row>
    <row r="22" spans="1:16" ht="54" customHeight="1">
      <c r="A22" s="13" t="str">
        <f>IF(SMALL($P$5:$P$20,3)=9999,"",INDEX(Governance!$A:$A,SMALL($P$5:$P$20,3)))</f>
        <v/>
      </c>
      <c r="B22" s="14" t="str">
        <f>IF(A22="","",INDEX(Governance!$B:$B,SMALL($P$5:$P$20,3)))</f>
        <v/>
      </c>
      <c r="C22" s="14" t="str">
        <f>IF(A22="","",INDEX(Governance!$E:$E,SMALL($P$5:$P$20,3)))</f>
        <v/>
      </c>
      <c r="D22" s="14" t="str">
        <f>IF(A22="","",'Start Here'!$E$5)</f>
        <v/>
      </c>
      <c r="E22" s="14" t="str">
        <f>IF(A22="","",INDEX(Governance!$G:$G,SMALL($P$5:$P$20,3)))</f>
        <v/>
      </c>
      <c r="F22" s="15" t="str">
        <f t="shared" si="0"/>
        <v/>
      </c>
      <c r="G22" s="16"/>
      <c r="H22" s="17"/>
      <c r="I22" s="17"/>
      <c r="J22" s="18"/>
      <c r="N22" t="s">
        <v>182</v>
      </c>
      <c r="O22">
        <v>9</v>
      </c>
      <c r="P22">
        <f>IF(Management!D9="",9999,IF(Management!E9&lt;'Start Here'!$E$5,9,9999))</f>
        <v>9999</v>
      </c>
    </row>
    <row r="23" spans="1:16" ht="54" customHeight="1">
      <c r="A23" s="13" t="str">
        <f>IF(SMALL($P$5:$P$20,4)=9999,"",INDEX(Governance!$A:$A,SMALL($P$5:$P$20,4)))</f>
        <v/>
      </c>
      <c r="B23" s="14" t="str">
        <f>IF(A23="","",INDEX(Governance!$B:$B,SMALL($P$5:$P$20,4)))</f>
        <v/>
      </c>
      <c r="C23" s="14" t="str">
        <f>IF(A23="","",INDEX(Governance!$E:$E,SMALL($P$5:$P$20,4)))</f>
        <v/>
      </c>
      <c r="D23" s="14" t="str">
        <f>IF(A23="","",'Start Here'!$E$5)</f>
        <v/>
      </c>
      <c r="E23" s="14" t="str">
        <f>IF(A23="","",INDEX(Governance!$G:$G,SMALL($P$5:$P$20,4)))</f>
        <v/>
      </c>
      <c r="F23" s="15" t="str">
        <f t="shared" si="0"/>
        <v/>
      </c>
      <c r="G23" s="16"/>
      <c r="H23" s="17"/>
      <c r="I23" s="17"/>
      <c r="J23" s="18"/>
      <c r="N23" t="s">
        <v>185</v>
      </c>
      <c r="O23">
        <v>10</v>
      </c>
      <c r="P23">
        <f>IF(Management!D10="",9999,IF(Management!E10&lt;'Start Here'!$E$5,10,9999))</f>
        <v>9999</v>
      </c>
    </row>
    <row r="24" spans="1:16" ht="54" customHeight="1">
      <c r="A24" s="13" t="str">
        <f>IF(SMALL($P$5:$P$20,5)=9999,"",INDEX(Governance!$A:$A,SMALL($P$5:$P$20,5)))</f>
        <v/>
      </c>
      <c r="B24" s="14" t="str">
        <f>IF(A24="","",INDEX(Governance!$B:$B,SMALL($P$5:$P$20,5)))</f>
        <v/>
      </c>
      <c r="C24" s="14" t="str">
        <f>IF(A24="","",INDEX(Governance!$E:$E,SMALL($P$5:$P$20,5)))</f>
        <v/>
      </c>
      <c r="D24" s="14" t="str">
        <f>IF(A24="","",'Start Here'!$E$5)</f>
        <v/>
      </c>
      <c r="E24" s="14" t="str">
        <f>IF(A24="","",INDEX(Governance!$G:$G,SMALL($P$5:$P$20,5)))</f>
        <v/>
      </c>
      <c r="F24" s="15" t="str">
        <f t="shared" si="0"/>
        <v/>
      </c>
      <c r="G24" s="16"/>
      <c r="H24" s="17"/>
      <c r="I24" s="17"/>
      <c r="J24" s="18"/>
      <c r="N24" t="s">
        <v>188</v>
      </c>
      <c r="O24">
        <v>11</v>
      </c>
      <c r="P24">
        <f>IF(Management!D11="",9999,IF(Management!E11&lt;'Start Here'!$E$5,11,9999))</f>
        <v>9999</v>
      </c>
    </row>
    <row r="25" spans="1:16" ht="54" customHeight="1">
      <c r="A25" s="13" t="str">
        <f>IF(SMALL($P$5:$P$20,6)=9999,"",INDEX(Governance!$A:$A,SMALL($P$5:$P$20,6)))</f>
        <v/>
      </c>
      <c r="B25" s="14" t="str">
        <f>IF(A25="","",INDEX(Governance!$B:$B,SMALL($P$5:$P$20,6)))</f>
        <v/>
      </c>
      <c r="C25" s="14" t="str">
        <f>IF(A25="","",INDEX(Governance!$E:$E,SMALL($P$5:$P$20,6)))</f>
        <v/>
      </c>
      <c r="D25" s="14" t="str">
        <f>IF(A25="","",'Start Here'!$E$5)</f>
        <v/>
      </c>
      <c r="E25" s="14" t="str">
        <f>IF(A25="","",INDEX(Governance!$G:$G,SMALL($P$5:$P$20,6)))</f>
        <v/>
      </c>
      <c r="F25" s="15" t="str">
        <f t="shared" si="0"/>
        <v/>
      </c>
      <c r="G25" s="16"/>
      <c r="H25" s="17"/>
      <c r="I25" s="17"/>
      <c r="J25" s="18"/>
      <c r="N25" t="s">
        <v>191</v>
      </c>
      <c r="O25">
        <v>12</v>
      </c>
      <c r="P25">
        <f>IF(Management!D12="",9999,IF(Management!E12&lt;'Start Here'!$E$5,12,9999))</f>
        <v>9999</v>
      </c>
    </row>
    <row r="26" spans="1:16" ht="54" customHeight="1">
      <c r="A26" s="13" t="str">
        <f>IF(SMALL($P$5:$P$20,7)=9999,"",INDEX(Governance!$A:$A,SMALL($P$5:$P$20,7)))</f>
        <v/>
      </c>
      <c r="B26" s="14" t="str">
        <f>IF(A26="","",INDEX(Governance!$B:$B,SMALL($P$5:$P$20,7)))</f>
        <v/>
      </c>
      <c r="C26" s="14" t="str">
        <f>IF(A26="","",INDEX(Governance!$E:$E,SMALL($P$5:$P$20,7)))</f>
        <v/>
      </c>
      <c r="D26" s="14" t="str">
        <f>IF(A26="","",'Start Here'!$E$5)</f>
        <v/>
      </c>
      <c r="E26" s="14" t="str">
        <f>IF(A26="","",INDEX(Governance!$G:$G,SMALL($P$5:$P$20,7)))</f>
        <v/>
      </c>
      <c r="F26" s="15" t="str">
        <f t="shared" si="0"/>
        <v/>
      </c>
      <c r="G26" s="16"/>
      <c r="H26" s="17"/>
      <c r="I26" s="17"/>
      <c r="J26" s="18"/>
      <c r="N26" t="s">
        <v>194</v>
      </c>
      <c r="O26">
        <v>13</v>
      </c>
      <c r="P26">
        <f>IF(Management!D13="",9999,IF(Management!E13&lt;'Start Here'!$E$5,13,9999))</f>
        <v>9999</v>
      </c>
    </row>
    <row r="27" spans="1:16" ht="54" customHeight="1">
      <c r="A27" s="13" t="str">
        <f>IF(SMALL($P$5:$P$20,8)=9999,"",INDEX(Governance!$A:$A,SMALL($P$5:$P$20,8)))</f>
        <v/>
      </c>
      <c r="B27" s="14" t="str">
        <f>IF(A27="","",INDEX(Governance!$B:$B,SMALL($P$5:$P$20,8)))</f>
        <v/>
      </c>
      <c r="C27" s="14" t="str">
        <f>IF(A27="","",INDEX(Governance!$E:$E,SMALL($P$5:$P$20,8)))</f>
        <v/>
      </c>
      <c r="D27" s="14" t="str">
        <f>IF(A27="","",'Start Here'!$E$5)</f>
        <v/>
      </c>
      <c r="E27" s="14" t="str">
        <f>IF(A27="","",INDEX(Governance!$G:$G,SMALL($P$5:$P$20,8)))</f>
        <v/>
      </c>
      <c r="F27" s="15" t="str">
        <f t="shared" si="0"/>
        <v/>
      </c>
      <c r="G27" s="16"/>
      <c r="H27" s="17"/>
      <c r="I27" s="17"/>
      <c r="J27" s="18"/>
      <c r="N27" t="s">
        <v>197</v>
      </c>
      <c r="O27">
        <v>14</v>
      </c>
      <c r="P27">
        <f>IF(Management!D14="",9999,IF(Management!E14&lt;'Start Here'!$E$5,14,9999))</f>
        <v>9999</v>
      </c>
    </row>
    <row r="28" spans="1:16" ht="54" customHeight="1">
      <c r="A28" s="13" t="str">
        <f>IF(SMALL($P$5:$P$20,9)=9999,"",INDEX(Governance!$A:$A,SMALL($P$5:$P$20,9)))</f>
        <v/>
      </c>
      <c r="B28" s="14" t="str">
        <f>IF(A28="","",INDEX(Governance!$B:$B,SMALL($P$5:$P$20,9)))</f>
        <v/>
      </c>
      <c r="C28" s="14" t="str">
        <f>IF(A28="","",INDEX(Governance!$E:$E,SMALL($P$5:$P$20,9)))</f>
        <v/>
      </c>
      <c r="D28" s="14" t="str">
        <f>IF(A28="","",'Start Here'!$E$5)</f>
        <v/>
      </c>
      <c r="E28" s="14" t="str">
        <f>IF(A28="","",INDEX(Governance!$G:$G,SMALL($P$5:$P$20,9)))</f>
        <v/>
      </c>
      <c r="F28" s="15" t="str">
        <f t="shared" si="0"/>
        <v/>
      </c>
      <c r="G28" s="16"/>
      <c r="H28" s="17"/>
      <c r="I28" s="17"/>
      <c r="J28" s="18"/>
      <c r="N28" t="s">
        <v>200</v>
      </c>
      <c r="O28">
        <v>15</v>
      </c>
      <c r="P28">
        <f>IF(Management!D15="",9999,IF(Management!E15&lt;'Start Here'!$E$5,15,9999))</f>
        <v>9999</v>
      </c>
    </row>
    <row r="29" spans="1:16" ht="54" customHeight="1">
      <c r="A29" s="13" t="str">
        <f>IF(SMALL($P$5:$P$20,10)=9999,"",INDEX(Governance!$A:$A,SMALL($P$5:$P$20,10)))</f>
        <v/>
      </c>
      <c r="B29" s="14" t="str">
        <f>IF(A29="","",INDEX(Governance!$B:$B,SMALL($P$5:$P$20,10)))</f>
        <v/>
      </c>
      <c r="C29" s="14" t="str">
        <f>IF(A29="","",INDEX(Governance!$E:$E,SMALL($P$5:$P$20,10)))</f>
        <v/>
      </c>
      <c r="D29" s="14" t="str">
        <f>IF(A29="","",'Start Here'!$E$5)</f>
        <v/>
      </c>
      <c r="E29" s="14" t="str">
        <f>IF(A29="","",INDEX(Governance!$G:$G,SMALL($P$5:$P$20,10)))</f>
        <v/>
      </c>
      <c r="F29" s="15" t="str">
        <f t="shared" si="0"/>
        <v/>
      </c>
      <c r="G29" s="16"/>
      <c r="H29" s="17"/>
      <c r="I29" s="17"/>
      <c r="J29" s="18"/>
      <c r="N29" t="s">
        <v>203</v>
      </c>
      <c r="O29">
        <v>16</v>
      </c>
      <c r="P29">
        <f>IF(Management!D16="",9999,IF(Management!E16&lt;'Start Here'!$E$5,16,9999))</f>
        <v>9999</v>
      </c>
    </row>
    <row r="30" spans="1:16" ht="54" customHeight="1">
      <c r="A30" s="13" t="str">
        <f>IF(SMALL($P$5:$P$20,11)=9999,"",INDEX(Governance!$A:$A,SMALL($P$5:$P$20,11)))</f>
        <v/>
      </c>
      <c r="B30" s="14" t="str">
        <f>IF(A30="","",INDEX(Governance!$B:$B,SMALL($P$5:$P$20,11)))</f>
        <v/>
      </c>
      <c r="C30" s="14" t="str">
        <f>IF(A30="","",INDEX(Governance!$E:$E,SMALL($P$5:$P$20,11)))</f>
        <v/>
      </c>
      <c r="D30" s="14" t="str">
        <f>IF(A30="","",'Start Here'!$E$5)</f>
        <v/>
      </c>
      <c r="E30" s="14" t="str">
        <f>IF(A30="","",INDEX(Governance!$G:$G,SMALL($P$5:$P$20,11)))</f>
        <v/>
      </c>
      <c r="F30" s="15" t="str">
        <f t="shared" si="0"/>
        <v/>
      </c>
      <c r="G30" s="16"/>
      <c r="H30" s="17"/>
      <c r="I30" s="17"/>
      <c r="J30" s="18"/>
      <c r="N30" t="s">
        <v>206</v>
      </c>
      <c r="O30">
        <v>17</v>
      </c>
      <c r="P30">
        <f>IF(Management!D17="",9999,IF(Management!E17&lt;'Start Here'!$E$5,17,9999))</f>
        <v>9999</v>
      </c>
    </row>
    <row r="31" spans="1:16" ht="54" customHeight="1">
      <c r="A31" s="13" t="str">
        <f>IF(SMALL($P$5:$P$20,12)=9999,"",INDEX(Governance!$A:$A,SMALL($P$5:$P$20,12)))</f>
        <v/>
      </c>
      <c r="B31" s="14" t="str">
        <f>IF(A31="","",INDEX(Governance!$B:$B,SMALL($P$5:$P$20,12)))</f>
        <v/>
      </c>
      <c r="C31" s="14" t="str">
        <f>IF(A31="","",INDEX(Governance!$E:$E,SMALL($P$5:$P$20,12)))</f>
        <v/>
      </c>
      <c r="D31" s="14" t="str">
        <f>IF(A31="","",'Start Here'!$E$5)</f>
        <v/>
      </c>
      <c r="E31" s="14" t="str">
        <f>IF(A31="","",INDEX(Governance!$G:$G,SMALL($P$5:$P$20,12)))</f>
        <v/>
      </c>
      <c r="F31" s="15" t="str">
        <f t="shared" si="0"/>
        <v/>
      </c>
      <c r="G31" s="16"/>
      <c r="H31" s="17"/>
      <c r="I31" s="17"/>
      <c r="J31" s="18"/>
      <c r="N31" t="s">
        <v>209</v>
      </c>
      <c r="O31">
        <v>18</v>
      </c>
      <c r="P31">
        <f>IF(Management!D18="",9999,IF(Management!E18&lt;'Start Here'!$E$5,18,9999))</f>
        <v>9999</v>
      </c>
    </row>
    <row r="32" spans="1:16" ht="54" customHeight="1">
      <c r="A32" s="13" t="str">
        <f>IF(SMALL($P$5:$P$20,13)=9999,"",INDEX(Governance!$A:$A,SMALL($P$5:$P$20,13)))</f>
        <v/>
      </c>
      <c r="B32" s="14" t="str">
        <f>IF(A32="","",INDEX(Governance!$B:$B,SMALL($P$5:$P$20,13)))</f>
        <v/>
      </c>
      <c r="C32" s="14" t="str">
        <f>IF(A32="","",INDEX(Governance!$E:$E,SMALL($P$5:$P$20,13)))</f>
        <v/>
      </c>
      <c r="D32" s="14" t="str">
        <f>IF(A32="","",'Start Here'!$E$5)</f>
        <v/>
      </c>
      <c r="E32" s="14" t="str">
        <f>IF(A32="","",INDEX(Governance!$G:$G,SMALL($P$5:$P$20,13)))</f>
        <v/>
      </c>
      <c r="F32" s="15" t="str">
        <f t="shared" si="0"/>
        <v/>
      </c>
      <c r="G32" s="16"/>
      <c r="H32" s="17"/>
      <c r="I32" s="17"/>
      <c r="J32" s="18"/>
      <c r="N32" t="s">
        <v>212</v>
      </c>
      <c r="O32">
        <v>19</v>
      </c>
      <c r="P32">
        <f>IF(Management!D19="",9999,IF(Management!E19&lt;'Start Here'!$E$5,19,9999))</f>
        <v>9999</v>
      </c>
    </row>
    <row r="33" spans="1:16" ht="54" customHeight="1">
      <c r="A33" s="13" t="str">
        <f>IF(SMALL($P$5:$P$20,14)=9999,"",INDEX(Governance!$A:$A,SMALL($P$5:$P$20,14)))</f>
        <v/>
      </c>
      <c r="B33" s="14" t="str">
        <f>IF(A33="","",INDEX(Governance!$B:$B,SMALL($P$5:$P$20,14)))</f>
        <v/>
      </c>
      <c r="C33" s="14" t="str">
        <f>IF(A33="","",INDEX(Governance!$E:$E,SMALL($P$5:$P$20,14)))</f>
        <v/>
      </c>
      <c r="D33" s="14" t="str">
        <f>IF(A33="","",'Start Here'!$E$5)</f>
        <v/>
      </c>
      <c r="E33" s="14" t="str">
        <f>IF(A33="","",INDEX(Governance!$G:$G,SMALL($P$5:$P$20,14)))</f>
        <v/>
      </c>
      <c r="F33" s="15" t="str">
        <f t="shared" si="0"/>
        <v/>
      </c>
      <c r="G33" s="16"/>
      <c r="H33" s="17"/>
      <c r="I33" s="17"/>
      <c r="J33" s="18"/>
      <c r="N33" t="s">
        <v>215</v>
      </c>
      <c r="O33">
        <v>20</v>
      </c>
      <c r="P33">
        <f>IF(Management!D20="",9999,IF(Management!E20&lt;'Start Here'!$E$5,20,9999))</f>
        <v>9999</v>
      </c>
    </row>
    <row r="34" spans="1:16" ht="54" customHeight="1">
      <c r="A34" s="13" t="str">
        <f>IF(SMALL($P$5:$P$20,15)=9999,"",INDEX(Governance!$A:$A,SMALL($P$5:$P$20,15)))</f>
        <v/>
      </c>
      <c r="B34" s="14" t="str">
        <f>IF(A34="","",INDEX(Governance!$B:$B,SMALL($P$5:$P$20,15)))</f>
        <v/>
      </c>
      <c r="C34" s="14" t="str">
        <f>IF(A34="","",INDEX(Governance!$E:$E,SMALL($P$5:$P$20,15)))</f>
        <v/>
      </c>
      <c r="D34" s="14" t="str">
        <f>IF(A34="","",'Start Here'!$E$5)</f>
        <v/>
      </c>
      <c r="E34" s="14" t="str">
        <f>IF(A34="","",INDEX(Governance!$G:$G,SMALL($P$5:$P$20,15)))</f>
        <v/>
      </c>
      <c r="F34" s="15" t="str">
        <f t="shared" si="0"/>
        <v/>
      </c>
      <c r="G34" s="16"/>
      <c r="H34" s="17"/>
      <c r="I34" s="17"/>
      <c r="J34" s="18"/>
      <c r="N34" t="s">
        <v>218</v>
      </c>
      <c r="O34">
        <v>21</v>
      </c>
      <c r="P34">
        <f>IF(Management!D21="",9999,IF(Management!E21&lt;'Start Here'!$E$5,21,9999))</f>
        <v>9999</v>
      </c>
    </row>
    <row r="35" spans="1:16" ht="54" customHeight="1">
      <c r="A35" s="13" t="str">
        <f>IF(SMALL($P$5:$P$20,16)=9999,"",INDEX(Governance!$A:$A,SMALL($P$5:$P$20,16)))</f>
        <v/>
      </c>
      <c r="B35" s="14" t="str">
        <f>IF(A35="","",INDEX(Governance!$B:$B,SMALL($P$5:$P$20,16)))</f>
        <v/>
      </c>
      <c r="C35" s="14" t="str">
        <f>IF(A35="","",INDEX(Governance!$E:$E,SMALL($P$5:$P$20,16)))</f>
        <v/>
      </c>
      <c r="D35" s="14" t="str">
        <f>IF(A35="","",'Start Here'!$E$5)</f>
        <v/>
      </c>
      <c r="E35" s="14" t="str">
        <f>IF(A35="","",INDEX(Governance!$G:$G,SMALL($P$5:$P$20,16)))</f>
        <v/>
      </c>
      <c r="F35" s="15" t="str">
        <f t="shared" si="0"/>
        <v/>
      </c>
      <c r="G35" s="16"/>
      <c r="H35" s="17"/>
      <c r="I35" s="17"/>
      <c r="J35" s="18"/>
      <c r="N35" t="s">
        <v>221</v>
      </c>
      <c r="O35">
        <v>22</v>
      </c>
      <c r="P35">
        <f>IF(Management!D22="",9999,IF(Management!E22&lt;'Start Here'!$E$5,22,9999))</f>
        <v>9999</v>
      </c>
    </row>
    <row r="37" spans="1:16">
      <c r="N37" t="s">
        <v>225</v>
      </c>
      <c r="O37">
        <v>9</v>
      </c>
      <c r="P37">
        <f>IF('Human Resources'!D9="",9999,IF('Human Resources'!E9&lt;'Start Here'!$E$5,9,9999))</f>
        <v>9999</v>
      </c>
    </row>
    <row r="38" spans="1:16" ht="15.75">
      <c r="A38" s="267" t="s">
        <v>454</v>
      </c>
      <c r="B38" s="267"/>
      <c r="C38" s="267"/>
      <c r="D38" s="267"/>
      <c r="E38" s="267"/>
      <c r="F38" s="267"/>
      <c r="G38" s="267"/>
      <c r="H38" s="267"/>
      <c r="I38" s="267"/>
      <c r="J38" s="267"/>
      <c r="N38" t="s">
        <v>228</v>
      </c>
      <c r="O38">
        <v>10</v>
      </c>
      <c r="P38">
        <f>IF('Human Resources'!D10="",9999,IF('Human Resources'!E10&lt;'Start Here'!$E$5,10,9999))</f>
        <v>9999</v>
      </c>
    </row>
    <row r="39" spans="1:16">
      <c r="A39" s="1" t="s">
        <v>122</v>
      </c>
      <c r="B39" s="2"/>
      <c r="C39" s="2" t="s">
        <v>96</v>
      </c>
      <c r="D39" s="2"/>
      <c r="E39" s="2" t="s">
        <v>99</v>
      </c>
      <c r="F39" s="2"/>
      <c r="G39" s="2" t="s">
        <v>444</v>
      </c>
      <c r="H39" s="2"/>
      <c r="I39" s="2"/>
      <c r="J39" s="3"/>
      <c r="N39" t="s">
        <v>231</v>
      </c>
      <c r="O39">
        <v>11</v>
      </c>
      <c r="P39">
        <f>IF('Human Resources'!D11="",9999,IF('Human Resources'!E11&lt;'Start Here'!$E$5,11,9999))</f>
        <v>9999</v>
      </c>
    </row>
    <row r="40" spans="1:16" ht="28.5">
      <c r="A40" s="19" t="str">
        <f>Dashboard!B14</f>
        <v/>
      </c>
      <c r="B40" s="14"/>
      <c r="C40" s="14" t="str">
        <f>Dashboard!C14</f>
        <v>Not assessed</v>
      </c>
      <c r="D40" s="14"/>
      <c r="E40" s="14">
        <f>Dashboard!F14</f>
        <v>0</v>
      </c>
      <c r="F40" s="14"/>
      <c r="G40" s="272" t="s">
        <v>455</v>
      </c>
      <c r="H40" s="272"/>
      <c r="I40" s="272"/>
      <c r="J40" s="273"/>
      <c r="N40" t="s">
        <v>234</v>
      </c>
      <c r="O40">
        <v>12</v>
      </c>
      <c r="P40">
        <f>IF('Human Resources'!D12="",9999,IF('Human Resources'!E12&lt;'Start Here'!$E$5,12,9999))</f>
        <v>9999</v>
      </c>
    </row>
    <row r="41" spans="1:16">
      <c r="N41" t="s">
        <v>237</v>
      </c>
      <c r="O41">
        <v>13</v>
      </c>
      <c r="P41">
        <f>IF('Human Resources'!D13="",9999,IF('Human Resources'!E13&lt;'Start Here'!$E$5,13,9999))</f>
        <v>9999</v>
      </c>
    </row>
    <row r="42" spans="1:16">
      <c r="A42" s="1" t="s">
        <v>446</v>
      </c>
      <c r="B42" s="2" t="s">
        <v>425</v>
      </c>
      <c r="C42" s="2" t="s">
        <v>447</v>
      </c>
      <c r="D42" s="2" t="s">
        <v>448</v>
      </c>
      <c r="E42" s="2" t="s">
        <v>449</v>
      </c>
      <c r="F42" s="2" t="s">
        <v>450</v>
      </c>
      <c r="G42" s="2" t="s">
        <v>451</v>
      </c>
      <c r="H42" s="2" t="s">
        <v>452</v>
      </c>
      <c r="I42" s="2" t="s">
        <v>55</v>
      </c>
      <c r="J42" s="3" t="s">
        <v>453</v>
      </c>
      <c r="N42" t="s">
        <v>240</v>
      </c>
      <c r="O42">
        <v>14</v>
      </c>
      <c r="P42">
        <f>IF('Human Resources'!D14="",9999,IF('Human Resources'!E14&lt;'Start Here'!$E$5,14,9999))</f>
        <v>9999</v>
      </c>
    </row>
    <row r="43" spans="1:16" ht="54" customHeight="1">
      <c r="A43" s="13" t="str">
        <f>IF(SMALL($P$22:$P$35,1)=9999,"",INDEX(Management!$A:$A,SMALL($P$22:$P$35,1)))</f>
        <v/>
      </c>
      <c r="B43" s="14" t="str">
        <f>IF(A43="","",INDEX(Management!$B:$B,SMALL($P$22:$P$35,1)))</f>
        <v/>
      </c>
      <c r="C43" s="14" t="str">
        <f>IF(A43="","",INDEX(Management!$E:$E,SMALL($P$22:$P$35,1)))</f>
        <v/>
      </c>
      <c r="D43" s="14" t="str">
        <f>IF(A43="","",'Start Here'!$E$5)</f>
        <v/>
      </c>
      <c r="E43" s="14" t="str">
        <f>IF(A43="","",INDEX(Management!$G:$G,SMALL($P$22:$P$35,1)))</f>
        <v/>
      </c>
      <c r="F43" s="15" t="str">
        <f t="shared" ref="F43:F56" si="1">IF(A43="","",IF(D43-C43&gt;=2,"High","Medium"))</f>
        <v/>
      </c>
      <c r="G43" s="16"/>
      <c r="H43" s="17"/>
      <c r="I43" s="17"/>
      <c r="J43" s="18"/>
      <c r="N43" t="s">
        <v>243</v>
      </c>
      <c r="O43">
        <v>15</v>
      </c>
      <c r="P43">
        <f>IF('Human Resources'!D15="",9999,IF('Human Resources'!E15&lt;'Start Here'!$E$5,15,9999))</f>
        <v>9999</v>
      </c>
    </row>
    <row r="44" spans="1:16" ht="54" customHeight="1">
      <c r="A44" s="13" t="str">
        <f>IF(SMALL($P$22:$P$35,2)=9999,"",INDEX(Management!$A:$A,SMALL($P$22:$P$35,2)))</f>
        <v/>
      </c>
      <c r="B44" s="14" t="str">
        <f>IF(A44="","",INDEX(Management!$B:$B,SMALL($P$22:$P$35,2)))</f>
        <v/>
      </c>
      <c r="C44" s="14" t="str">
        <f>IF(A44="","",INDEX(Management!$E:$E,SMALL($P$22:$P$35,2)))</f>
        <v/>
      </c>
      <c r="D44" s="14" t="str">
        <f>IF(A44="","",'Start Here'!$E$5)</f>
        <v/>
      </c>
      <c r="E44" s="14" t="str">
        <f>IF(A44="","",INDEX(Management!$G:$G,SMALL($P$22:$P$35,2)))</f>
        <v/>
      </c>
      <c r="F44" s="15" t="str">
        <f t="shared" si="1"/>
        <v/>
      </c>
      <c r="G44" s="16"/>
      <c r="H44" s="17"/>
      <c r="I44" s="17"/>
      <c r="J44" s="18"/>
      <c r="N44" t="s">
        <v>246</v>
      </c>
      <c r="O44">
        <v>16</v>
      </c>
      <c r="P44">
        <f>IF('Human Resources'!D16="",9999,IF('Human Resources'!E16&lt;'Start Here'!$E$5,16,9999))</f>
        <v>9999</v>
      </c>
    </row>
    <row r="45" spans="1:16" ht="54" customHeight="1">
      <c r="A45" s="13" t="str">
        <f>IF(SMALL($P$22:$P$35,3)=9999,"",INDEX(Management!$A:$A,SMALL($P$22:$P$35,3)))</f>
        <v/>
      </c>
      <c r="B45" s="14" t="str">
        <f>IF(A45="","",INDEX(Management!$B:$B,SMALL($P$22:$P$35,3)))</f>
        <v/>
      </c>
      <c r="C45" s="14" t="str">
        <f>IF(A45="","",INDEX(Management!$E:$E,SMALL($P$22:$P$35,3)))</f>
        <v/>
      </c>
      <c r="D45" s="14" t="str">
        <f>IF(A45="","",'Start Here'!$E$5)</f>
        <v/>
      </c>
      <c r="E45" s="14" t="str">
        <f>IF(A45="","",INDEX(Management!$G:$G,SMALL($P$22:$P$35,3)))</f>
        <v/>
      </c>
      <c r="F45" s="15" t="str">
        <f t="shared" si="1"/>
        <v/>
      </c>
      <c r="G45" s="16"/>
      <c r="H45" s="17"/>
      <c r="I45" s="17"/>
      <c r="J45" s="18"/>
      <c r="N45" t="s">
        <v>249</v>
      </c>
      <c r="O45">
        <v>17</v>
      </c>
      <c r="P45">
        <f>IF('Human Resources'!D17="",9999,IF('Human Resources'!E17&lt;'Start Here'!$E$5,17,9999))</f>
        <v>9999</v>
      </c>
    </row>
    <row r="46" spans="1:16" ht="54" customHeight="1">
      <c r="A46" s="13" t="str">
        <f>IF(SMALL($P$22:$P$35,4)=9999,"",INDEX(Management!$A:$A,SMALL($P$22:$P$35,4)))</f>
        <v/>
      </c>
      <c r="B46" s="14" t="str">
        <f>IF(A46="","",INDEX(Management!$B:$B,SMALL($P$22:$P$35,4)))</f>
        <v/>
      </c>
      <c r="C46" s="14" t="str">
        <f>IF(A46="","",INDEX(Management!$E:$E,SMALL($P$22:$P$35,4)))</f>
        <v/>
      </c>
      <c r="D46" s="14" t="str">
        <f>IF(A46="","",'Start Here'!$E$5)</f>
        <v/>
      </c>
      <c r="E46" s="14" t="str">
        <f>IF(A46="","",INDEX(Management!$G:$G,SMALL($P$22:$P$35,4)))</f>
        <v/>
      </c>
      <c r="F46" s="15" t="str">
        <f t="shared" si="1"/>
        <v/>
      </c>
      <c r="G46" s="16"/>
      <c r="H46" s="17"/>
      <c r="I46" s="17"/>
      <c r="J46" s="18"/>
      <c r="N46" t="s">
        <v>252</v>
      </c>
      <c r="O46">
        <v>18</v>
      </c>
      <c r="P46">
        <f>IF('Human Resources'!D18="",9999,IF('Human Resources'!E18&lt;'Start Here'!$E$5,18,9999))</f>
        <v>9999</v>
      </c>
    </row>
    <row r="47" spans="1:16" ht="54" customHeight="1">
      <c r="A47" s="13" t="str">
        <f>IF(SMALL($P$22:$P$35,5)=9999,"",INDEX(Management!$A:$A,SMALL($P$22:$P$35,5)))</f>
        <v/>
      </c>
      <c r="B47" s="14" t="str">
        <f>IF(A47="","",INDEX(Management!$B:$B,SMALL($P$22:$P$35,5)))</f>
        <v/>
      </c>
      <c r="C47" s="14" t="str">
        <f>IF(A47="","",INDEX(Management!$E:$E,SMALL($P$22:$P$35,5)))</f>
        <v/>
      </c>
      <c r="D47" s="14" t="str">
        <f>IF(A47="","",'Start Here'!$E$5)</f>
        <v/>
      </c>
      <c r="E47" s="14" t="str">
        <f>IF(A47="","",INDEX(Management!$G:$G,SMALL($P$22:$P$35,5)))</f>
        <v/>
      </c>
      <c r="F47" s="15" t="str">
        <f t="shared" si="1"/>
        <v/>
      </c>
      <c r="G47" s="16"/>
      <c r="H47" s="17"/>
      <c r="I47" s="17"/>
      <c r="J47" s="18"/>
      <c r="N47" t="s">
        <v>255</v>
      </c>
      <c r="O47">
        <v>19</v>
      </c>
      <c r="P47">
        <f>IF('Human Resources'!D19="",9999,IF('Human Resources'!E19&lt;'Start Here'!$E$5,19,9999))</f>
        <v>9999</v>
      </c>
    </row>
    <row r="48" spans="1:16" ht="54" customHeight="1">
      <c r="A48" s="13" t="str">
        <f>IF(SMALL($P$22:$P$35,6)=9999,"",INDEX(Management!$A:$A,SMALL($P$22:$P$35,6)))</f>
        <v/>
      </c>
      <c r="B48" s="14" t="str">
        <f>IF(A48="","",INDEX(Management!$B:$B,SMALL($P$22:$P$35,6)))</f>
        <v/>
      </c>
      <c r="C48" s="14" t="str">
        <f>IF(A48="","",INDEX(Management!$E:$E,SMALL($P$22:$P$35,6)))</f>
        <v/>
      </c>
      <c r="D48" s="14" t="str">
        <f>IF(A48="","",'Start Here'!$E$5)</f>
        <v/>
      </c>
      <c r="E48" s="14" t="str">
        <f>IF(A48="","",INDEX(Management!$G:$G,SMALL($P$22:$P$35,6)))</f>
        <v/>
      </c>
      <c r="F48" s="15" t="str">
        <f t="shared" si="1"/>
        <v/>
      </c>
      <c r="G48" s="16"/>
      <c r="H48" s="17"/>
      <c r="I48" s="17"/>
      <c r="J48" s="18"/>
      <c r="N48" t="s">
        <v>258</v>
      </c>
      <c r="O48">
        <v>20</v>
      </c>
      <c r="P48">
        <f>IF('Human Resources'!D20="",9999,IF('Human Resources'!E20&lt;'Start Here'!$E$5,20,9999))</f>
        <v>9999</v>
      </c>
    </row>
    <row r="49" spans="1:16" ht="54" customHeight="1">
      <c r="A49" s="13" t="str">
        <f>IF(SMALL($P$22:$P$35,7)=9999,"",INDEX(Management!$A:$A,SMALL($P$22:$P$35,7)))</f>
        <v/>
      </c>
      <c r="B49" s="14" t="str">
        <f>IF(A49="","",INDEX(Management!$B:$B,SMALL($P$22:$P$35,7)))</f>
        <v/>
      </c>
      <c r="C49" s="14" t="str">
        <f>IF(A49="","",INDEX(Management!$E:$E,SMALL($P$22:$P$35,7)))</f>
        <v/>
      </c>
      <c r="D49" s="14" t="str">
        <f>IF(A49="","",'Start Here'!$E$5)</f>
        <v/>
      </c>
      <c r="E49" s="14" t="str">
        <f>IF(A49="","",INDEX(Management!$G:$G,SMALL($P$22:$P$35,7)))</f>
        <v/>
      </c>
      <c r="F49" s="15" t="str">
        <f t="shared" si="1"/>
        <v/>
      </c>
      <c r="G49" s="16"/>
      <c r="H49" s="17"/>
      <c r="I49" s="17"/>
      <c r="J49" s="18"/>
    </row>
    <row r="50" spans="1:16" ht="54" customHeight="1">
      <c r="A50" s="13" t="str">
        <f>IF(SMALL($P$22:$P$35,8)=9999,"",INDEX(Management!$A:$A,SMALL($P$22:$P$35,8)))</f>
        <v/>
      </c>
      <c r="B50" s="14" t="str">
        <f>IF(A50="","",INDEX(Management!$B:$B,SMALL($P$22:$P$35,8)))</f>
        <v/>
      </c>
      <c r="C50" s="14" t="str">
        <f>IF(A50="","",INDEX(Management!$E:$E,SMALL($P$22:$P$35,8)))</f>
        <v/>
      </c>
      <c r="D50" s="14" t="str">
        <f>IF(A50="","",'Start Here'!$E$5)</f>
        <v/>
      </c>
      <c r="E50" s="14" t="str">
        <f>IF(A50="","",INDEX(Management!$G:$G,SMALL($P$22:$P$35,8)))</f>
        <v/>
      </c>
      <c r="F50" s="15" t="str">
        <f t="shared" si="1"/>
        <v/>
      </c>
      <c r="G50" s="16"/>
      <c r="H50" s="17"/>
      <c r="I50" s="17"/>
      <c r="J50" s="18"/>
      <c r="N50" t="s">
        <v>262</v>
      </c>
      <c r="O50">
        <v>9</v>
      </c>
      <c r="P50">
        <f>IF(Finance!D9="",9999,IF(Finance!E9&lt;'Start Here'!$E$5,9,9999))</f>
        <v>9999</v>
      </c>
    </row>
    <row r="51" spans="1:16" ht="54" customHeight="1">
      <c r="A51" s="13" t="str">
        <f>IF(SMALL($P$22:$P$35,9)=9999,"",INDEX(Management!$A:$A,SMALL($P$22:$P$35,9)))</f>
        <v/>
      </c>
      <c r="B51" s="14" t="str">
        <f>IF(A51="","",INDEX(Management!$B:$B,SMALL($P$22:$P$35,9)))</f>
        <v/>
      </c>
      <c r="C51" s="14" t="str">
        <f>IF(A51="","",INDEX(Management!$E:$E,SMALL($P$22:$P$35,9)))</f>
        <v/>
      </c>
      <c r="D51" s="14" t="str">
        <f>IF(A51="","",'Start Here'!$E$5)</f>
        <v/>
      </c>
      <c r="E51" s="14" t="str">
        <f>IF(A51="","",INDEX(Management!$G:$G,SMALL($P$22:$P$35,9)))</f>
        <v/>
      </c>
      <c r="F51" s="15" t="str">
        <f t="shared" si="1"/>
        <v/>
      </c>
      <c r="G51" s="16"/>
      <c r="H51" s="17"/>
      <c r="I51" s="17"/>
      <c r="J51" s="18"/>
      <c r="N51" t="s">
        <v>265</v>
      </c>
      <c r="O51">
        <v>10</v>
      </c>
      <c r="P51">
        <f>IF(Finance!D10="",9999,IF(Finance!E10&lt;'Start Here'!$E$5,10,9999))</f>
        <v>9999</v>
      </c>
    </row>
    <row r="52" spans="1:16" ht="54" customHeight="1">
      <c r="A52" s="13" t="str">
        <f>IF(SMALL($P$22:$P$35,10)=9999,"",INDEX(Management!$A:$A,SMALL($P$22:$P$35,10)))</f>
        <v/>
      </c>
      <c r="B52" s="14" t="str">
        <f>IF(A52="","",INDEX(Management!$B:$B,SMALL($P$22:$P$35,10)))</f>
        <v/>
      </c>
      <c r="C52" s="14" t="str">
        <f>IF(A52="","",INDEX(Management!$E:$E,SMALL($P$22:$P$35,10)))</f>
        <v/>
      </c>
      <c r="D52" s="14" t="str">
        <f>IF(A52="","",'Start Here'!$E$5)</f>
        <v/>
      </c>
      <c r="E52" s="14" t="str">
        <f>IF(A52="","",INDEX(Management!$G:$G,SMALL($P$22:$P$35,10)))</f>
        <v/>
      </c>
      <c r="F52" s="15" t="str">
        <f t="shared" si="1"/>
        <v/>
      </c>
      <c r="G52" s="16"/>
      <c r="H52" s="17"/>
      <c r="I52" s="17"/>
      <c r="J52" s="18"/>
      <c r="N52" t="s">
        <v>268</v>
      </c>
      <c r="O52">
        <v>11</v>
      </c>
      <c r="P52">
        <f>IF(Finance!D11="",9999,IF(Finance!E11&lt;'Start Here'!$E$5,11,9999))</f>
        <v>9999</v>
      </c>
    </row>
    <row r="53" spans="1:16" ht="54" customHeight="1">
      <c r="A53" s="13" t="str">
        <f>IF(SMALL($P$22:$P$35,11)=9999,"",INDEX(Management!$A:$A,SMALL($P$22:$P$35,11)))</f>
        <v/>
      </c>
      <c r="B53" s="14" t="str">
        <f>IF(A53="","",INDEX(Management!$B:$B,SMALL($P$22:$P$35,11)))</f>
        <v/>
      </c>
      <c r="C53" s="14" t="str">
        <f>IF(A53="","",INDEX(Management!$E:$E,SMALL($P$22:$P$35,11)))</f>
        <v/>
      </c>
      <c r="D53" s="14" t="str">
        <f>IF(A53="","",'Start Here'!$E$5)</f>
        <v/>
      </c>
      <c r="E53" s="14" t="str">
        <f>IF(A53="","",INDEX(Management!$G:$G,SMALL($P$22:$P$35,11)))</f>
        <v/>
      </c>
      <c r="F53" s="15" t="str">
        <f t="shared" si="1"/>
        <v/>
      </c>
      <c r="G53" s="16"/>
      <c r="H53" s="17"/>
      <c r="I53" s="17"/>
      <c r="J53" s="18"/>
      <c r="N53" t="s">
        <v>271</v>
      </c>
      <c r="O53">
        <v>12</v>
      </c>
      <c r="P53">
        <f>IF(Finance!D12="",9999,IF(Finance!E12&lt;'Start Here'!$E$5,12,9999))</f>
        <v>9999</v>
      </c>
    </row>
    <row r="54" spans="1:16" ht="54" customHeight="1">
      <c r="A54" s="13" t="str">
        <f>IF(SMALL($P$22:$P$35,12)=9999,"",INDEX(Management!$A:$A,SMALL($P$22:$P$35,12)))</f>
        <v/>
      </c>
      <c r="B54" s="14" t="str">
        <f>IF(A54="","",INDEX(Management!$B:$B,SMALL($P$22:$P$35,12)))</f>
        <v/>
      </c>
      <c r="C54" s="14" t="str">
        <f>IF(A54="","",INDEX(Management!$E:$E,SMALL($P$22:$P$35,12)))</f>
        <v/>
      </c>
      <c r="D54" s="14" t="str">
        <f>IF(A54="","",'Start Here'!$E$5)</f>
        <v/>
      </c>
      <c r="E54" s="14" t="str">
        <f>IF(A54="","",INDEX(Management!$G:$G,SMALL($P$22:$P$35,12)))</f>
        <v/>
      </c>
      <c r="F54" s="15" t="str">
        <f t="shared" si="1"/>
        <v/>
      </c>
      <c r="G54" s="16"/>
      <c r="H54" s="17"/>
      <c r="I54" s="17"/>
      <c r="J54" s="18"/>
      <c r="N54" t="s">
        <v>273</v>
      </c>
      <c r="O54">
        <v>13</v>
      </c>
      <c r="P54">
        <f>IF(Finance!D13="",9999,IF(Finance!E13&lt;'Start Here'!$E$5,13,9999))</f>
        <v>9999</v>
      </c>
    </row>
    <row r="55" spans="1:16" ht="54" customHeight="1">
      <c r="A55" s="13" t="str">
        <f>IF(SMALL($P$22:$P$35,13)=9999,"",INDEX(Management!$A:$A,SMALL($P$22:$P$35,13)))</f>
        <v/>
      </c>
      <c r="B55" s="14" t="str">
        <f>IF(A55="","",INDEX(Management!$B:$B,SMALL($P$22:$P$35,13)))</f>
        <v/>
      </c>
      <c r="C55" s="14" t="str">
        <f>IF(A55="","",INDEX(Management!$E:$E,SMALL($P$22:$P$35,13)))</f>
        <v/>
      </c>
      <c r="D55" s="14" t="str">
        <f>IF(A55="","",'Start Here'!$E$5)</f>
        <v/>
      </c>
      <c r="E55" s="14" t="str">
        <f>IF(A55="","",INDEX(Management!$G:$G,SMALL($P$22:$P$35,13)))</f>
        <v/>
      </c>
      <c r="F55" s="15" t="str">
        <f t="shared" si="1"/>
        <v/>
      </c>
      <c r="G55" s="16"/>
      <c r="H55" s="17"/>
      <c r="I55" s="17"/>
      <c r="J55" s="18"/>
      <c r="N55" t="s">
        <v>276</v>
      </c>
      <c r="O55">
        <v>14</v>
      </c>
      <c r="P55">
        <f>IF(Finance!D14="",9999,IF(Finance!E14&lt;'Start Here'!$E$5,14,9999))</f>
        <v>9999</v>
      </c>
    </row>
    <row r="56" spans="1:16" ht="54" customHeight="1">
      <c r="A56" s="13" t="str">
        <f>IF(SMALL($P$22:$P$35,14)=9999,"",INDEX(Management!$A:$A,SMALL($P$22:$P$35,14)))</f>
        <v/>
      </c>
      <c r="B56" s="14" t="str">
        <f>IF(A56="","",INDEX(Management!$B:$B,SMALL($P$22:$P$35,14)))</f>
        <v/>
      </c>
      <c r="C56" s="14" t="str">
        <f>IF(A56="","",INDEX(Management!$E:$E,SMALL($P$22:$P$35,14)))</f>
        <v/>
      </c>
      <c r="D56" s="14" t="str">
        <f>IF(A56="","",'Start Here'!$E$5)</f>
        <v/>
      </c>
      <c r="E56" s="14" t="str">
        <f>IF(A56="","",INDEX(Management!$G:$G,SMALL($P$22:$P$35,14)))</f>
        <v/>
      </c>
      <c r="F56" s="15" t="str">
        <f t="shared" si="1"/>
        <v/>
      </c>
      <c r="G56" s="16"/>
      <c r="H56" s="17"/>
      <c r="I56" s="17"/>
      <c r="J56" s="18"/>
      <c r="N56" t="s">
        <v>279</v>
      </c>
      <c r="O56">
        <v>15</v>
      </c>
      <c r="P56">
        <f>IF(Finance!D15="",9999,IF(Finance!E15&lt;'Start Here'!$E$5,15,9999))</f>
        <v>9999</v>
      </c>
    </row>
    <row r="57" spans="1:16">
      <c r="N57" t="s">
        <v>282</v>
      </c>
      <c r="O57">
        <v>16</v>
      </c>
      <c r="P57">
        <f>IF(Finance!D16="",9999,IF(Finance!E16&lt;'Start Here'!$E$5,16,9999))</f>
        <v>9999</v>
      </c>
    </row>
    <row r="58" spans="1:16">
      <c r="N58" t="s">
        <v>285</v>
      </c>
      <c r="O58">
        <v>17</v>
      </c>
      <c r="P58">
        <f>IF(Finance!D17="",9999,IF(Finance!E17&lt;'Start Here'!$E$5,17,9999))</f>
        <v>9999</v>
      </c>
    </row>
    <row r="59" spans="1:16" ht="15.75">
      <c r="A59" s="267" t="s">
        <v>456</v>
      </c>
      <c r="B59" s="267"/>
      <c r="C59" s="267"/>
      <c r="D59" s="267"/>
      <c r="E59" s="267"/>
      <c r="F59" s="267"/>
      <c r="G59" s="267"/>
      <c r="H59" s="267"/>
      <c r="I59" s="267"/>
      <c r="J59" s="267"/>
      <c r="N59" t="s">
        <v>288</v>
      </c>
      <c r="O59">
        <v>18</v>
      </c>
      <c r="P59">
        <f>IF(Finance!D18="",9999,IF(Finance!E18&lt;'Start Here'!$E$5,18,9999))</f>
        <v>9999</v>
      </c>
    </row>
    <row r="60" spans="1:16">
      <c r="A60" s="1" t="s">
        <v>122</v>
      </c>
      <c r="B60" s="2"/>
      <c r="C60" s="2" t="s">
        <v>96</v>
      </c>
      <c r="D60" s="2"/>
      <c r="E60" s="2" t="s">
        <v>99</v>
      </c>
      <c r="F60" s="2"/>
      <c r="G60" s="2" t="s">
        <v>444</v>
      </c>
      <c r="H60" s="2"/>
      <c r="I60" s="2"/>
      <c r="J60" s="3"/>
      <c r="N60" t="s">
        <v>291</v>
      </c>
      <c r="O60">
        <v>19</v>
      </c>
      <c r="P60">
        <f>IF(Finance!D19="",9999,IF(Finance!E19&lt;'Start Here'!$E$5,19,9999))</f>
        <v>9999</v>
      </c>
    </row>
    <row r="61" spans="1:16" ht="28.5">
      <c r="A61" s="19" t="str">
        <f>Dashboard!B15</f>
        <v/>
      </c>
      <c r="B61" s="14"/>
      <c r="C61" s="14" t="str">
        <f>Dashboard!C15</f>
        <v>Not assessed</v>
      </c>
      <c r="D61" s="14"/>
      <c r="E61" s="14">
        <f>Dashboard!F15</f>
        <v>0</v>
      </c>
      <c r="F61" s="14"/>
      <c r="G61" s="272" t="s">
        <v>457</v>
      </c>
      <c r="H61" s="272"/>
      <c r="I61" s="272"/>
      <c r="J61" s="273"/>
      <c r="N61" t="s">
        <v>294</v>
      </c>
      <c r="O61">
        <v>20</v>
      </c>
      <c r="P61">
        <f>IF(Finance!D20="",9999,IF(Finance!E20&lt;'Start Here'!$E$5,20,9999))</f>
        <v>9999</v>
      </c>
    </row>
    <row r="63" spans="1:16">
      <c r="A63" s="1" t="s">
        <v>446</v>
      </c>
      <c r="B63" s="2" t="s">
        <v>425</v>
      </c>
      <c r="C63" s="2" t="s">
        <v>447</v>
      </c>
      <c r="D63" s="2" t="s">
        <v>448</v>
      </c>
      <c r="E63" s="2" t="s">
        <v>449</v>
      </c>
      <c r="F63" s="2" t="s">
        <v>450</v>
      </c>
      <c r="G63" s="2" t="s">
        <v>451</v>
      </c>
      <c r="H63" s="2" t="s">
        <v>452</v>
      </c>
      <c r="I63" s="2" t="s">
        <v>55</v>
      </c>
      <c r="J63" s="3" t="s">
        <v>453</v>
      </c>
      <c r="N63" t="s">
        <v>298</v>
      </c>
      <c r="O63">
        <v>9</v>
      </c>
      <c r="P63">
        <f>IF('Marketing &amp; Communications'!D9="",9999,IF('Marketing &amp; Communications'!E9&lt;'Start Here'!$E$5,9,9999))</f>
        <v>9999</v>
      </c>
    </row>
    <row r="64" spans="1:16" ht="54" customHeight="1">
      <c r="A64" s="13" t="str">
        <f>IF(SMALL($P$37:$P$48,1)=9999,"",INDEX('Human Resources'!$A:$A,SMALL($P$37:$P$48,1)))</f>
        <v/>
      </c>
      <c r="B64" s="14" t="str">
        <f>IF(A64="","",INDEX('Human Resources'!$B:$B,SMALL($P$37:$P$48,1)))</f>
        <v/>
      </c>
      <c r="C64" s="14" t="str">
        <f>IF(A64="","",INDEX('Human Resources'!$E:$E,SMALL($P$37:$P$48,1)))</f>
        <v/>
      </c>
      <c r="D64" s="14" t="str">
        <f>IF(A64="","",'Start Here'!$E$5)</f>
        <v/>
      </c>
      <c r="E64" s="14" t="str">
        <f>IF(A64="","",INDEX('Human Resources'!$G:$G,SMALL($P$37:$P$48,1)))</f>
        <v/>
      </c>
      <c r="F64" s="15" t="str">
        <f t="shared" ref="F64:F75" si="2">IF(A64="","",IF(D64-C64&gt;=2,"High","Medium"))</f>
        <v/>
      </c>
      <c r="G64" s="16"/>
      <c r="H64" s="17"/>
      <c r="I64" s="17"/>
      <c r="J64" s="18"/>
      <c r="N64" t="s">
        <v>301</v>
      </c>
      <c r="O64">
        <v>10</v>
      </c>
      <c r="P64">
        <f>IF('Marketing &amp; Communications'!D10="",9999,IF('Marketing &amp; Communications'!E10&lt;'Start Here'!$E$5,10,9999))</f>
        <v>9999</v>
      </c>
    </row>
    <row r="65" spans="1:16" ht="54" customHeight="1">
      <c r="A65" s="13" t="str">
        <f>IF(SMALL($P$37:$P$48,2)=9999,"",INDEX('Human Resources'!$A:$A,SMALL($P$37:$P$48,2)))</f>
        <v/>
      </c>
      <c r="B65" s="14" t="str">
        <f>IF(A65="","",INDEX('Human Resources'!$B:$B,SMALL($P$37:$P$48,2)))</f>
        <v/>
      </c>
      <c r="C65" s="14" t="str">
        <f>IF(A65="","",INDEX('Human Resources'!$E:$E,SMALL($P$37:$P$48,2)))</f>
        <v/>
      </c>
      <c r="D65" s="14" t="str">
        <f>IF(A65="","",'Start Here'!$E$5)</f>
        <v/>
      </c>
      <c r="E65" s="14" t="str">
        <f>IF(A65="","",INDEX('Human Resources'!$G:$G,SMALL($P$37:$P$48,2)))</f>
        <v/>
      </c>
      <c r="F65" s="15" t="str">
        <f t="shared" si="2"/>
        <v/>
      </c>
      <c r="G65" s="16"/>
      <c r="H65" s="17"/>
      <c r="I65" s="17"/>
      <c r="J65" s="18"/>
      <c r="N65" t="s">
        <v>303</v>
      </c>
      <c r="O65">
        <v>11</v>
      </c>
      <c r="P65">
        <f>IF('Marketing &amp; Communications'!D11="",9999,IF('Marketing &amp; Communications'!E11&lt;'Start Here'!$E$5,11,9999))</f>
        <v>9999</v>
      </c>
    </row>
    <row r="66" spans="1:16" ht="54" customHeight="1">
      <c r="A66" s="13" t="str">
        <f>IF(SMALL($P$37:$P$48,3)=9999,"",INDEX('Human Resources'!$A:$A,SMALL($P$37:$P$48,3)))</f>
        <v/>
      </c>
      <c r="B66" s="14" t="str">
        <f>IF(A66="","",INDEX('Human Resources'!$B:$B,SMALL($P$37:$P$48,3)))</f>
        <v/>
      </c>
      <c r="C66" s="14" t="str">
        <f>IF(A66="","",INDEX('Human Resources'!$E:$E,SMALL($P$37:$P$48,3)))</f>
        <v/>
      </c>
      <c r="D66" s="14" t="str">
        <f>IF(A66="","",'Start Here'!$E$5)</f>
        <v/>
      </c>
      <c r="E66" s="14" t="str">
        <f>IF(A66="","",INDEX('Human Resources'!$G:$G,SMALL($P$37:$P$48,3)))</f>
        <v/>
      </c>
      <c r="F66" s="15" t="str">
        <f t="shared" si="2"/>
        <v/>
      </c>
      <c r="G66" s="16"/>
      <c r="H66" s="17"/>
      <c r="I66" s="17"/>
      <c r="J66" s="18"/>
      <c r="N66" t="s">
        <v>306</v>
      </c>
      <c r="O66">
        <v>12</v>
      </c>
      <c r="P66">
        <f>IF('Marketing &amp; Communications'!D12="",9999,IF('Marketing &amp; Communications'!E12&lt;'Start Here'!$E$5,12,9999))</f>
        <v>9999</v>
      </c>
    </row>
    <row r="67" spans="1:16" ht="54" customHeight="1">
      <c r="A67" s="13" t="str">
        <f>IF(SMALL($P$37:$P$48,4)=9999,"",INDEX('Human Resources'!$A:$A,SMALL($P$37:$P$48,4)))</f>
        <v/>
      </c>
      <c r="B67" s="14" t="str">
        <f>IF(A67="","",INDEX('Human Resources'!$B:$B,SMALL($P$37:$P$48,4)))</f>
        <v/>
      </c>
      <c r="C67" s="14" t="str">
        <f>IF(A67="","",INDEX('Human Resources'!$E:$E,SMALL($P$37:$P$48,4)))</f>
        <v/>
      </c>
      <c r="D67" s="14" t="str">
        <f>IF(A67="","",'Start Here'!$E$5)</f>
        <v/>
      </c>
      <c r="E67" s="14" t="str">
        <f>IF(A67="","",INDEX('Human Resources'!$G:$G,SMALL($P$37:$P$48,4)))</f>
        <v/>
      </c>
      <c r="F67" s="15" t="str">
        <f t="shared" si="2"/>
        <v/>
      </c>
      <c r="G67" s="16"/>
      <c r="H67" s="17"/>
      <c r="I67" s="17"/>
      <c r="J67" s="18"/>
      <c r="N67" t="s">
        <v>309</v>
      </c>
      <c r="O67">
        <v>13</v>
      </c>
      <c r="P67">
        <f>IF('Marketing &amp; Communications'!D13="",9999,IF('Marketing &amp; Communications'!E13&lt;'Start Here'!$E$5,13,9999))</f>
        <v>9999</v>
      </c>
    </row>
    <row r="68" spans="1:16" ht="54" customHeight="1">
      <c r="A68" s="13" t="str">
        <f>IF(SMALL($P$37:$P$48,5)=9999,"",INDEX('Human Resources'!$A:$A,SMALL($P$37:$P$48,5)))</f>
        <v/>
      </c>
      <c r="B68" s="14" t="str">
        <f>IF(A68="","",INDEX('Human Resources'!$B:$B,SMALL($P$37:$P$48,5)))</f>
        <v/>
      </c>
      <c r="C68" s="14" t="str">
        <f>IF(A68="","",INDEX('Human Resources'!$E:$E,SMALL($P$37:$P$48,5)))</f>
        <v/>
      </c>
      <c r="D68" s="14" t="str">
        <f>IF(A68="","",'Start Here'!$E$5)</f>
        <v/>
      </c>
      <c r="E68" s="14" t="str">
        <f>IF(A68="","",INDEX('Human Resources'!$G:$G,SMALL($P$37:$P$48,5)))</f>
        <v/>
      </c>
      <c r="F68" s="15" t="str">
        <f t="shared" si="2"/>
        <v/>
      </c>
      <c r="G68" s="16"/>
      <c r="H68" s="17"/>
      <c r="I68" s="17"/>
      <c r="J68" s="18"/>
      <c r="N68" t="s">
        <v>312</v>
      </c>
      <c r="O68">
        <v>14</v>
      </c>
      <c r="P68">
        <f>IF('Marketing &amp; Communications'!D14="",9999,IF('Marketing &amp; Communications'!E14&lt;'Start Here'!$E$5,14,9999))</f>
        <v>9999</v>
      </c>
    </row>
    <row r="69" spans="1:16" ht="54" customHeight="1">
      <c r="A69" s="13" t="str">
        <f>IF(SMALL($P$37:$P$48,6)=9999,"",INDEX('Human Resources'!$A:$A,SMALL($P$37:$P$48,6)))</f>
        <v/>
      </c>
      <c r="B69" s="14" t="str">
        <f>IF(A69="","",INDEX('Human Resources'!$B:$B,SMALL($P$37:$P$48,6)))</f>
        <v/>
      </c>
      <c r="C69" s="14" t="str">
        <f>IF(A69="","",INDEX('Human Resources'!$E:$E,SMALL($P$37:$P$48,6)))</f>
        <v/>
      </c>
      <c r="D69" s="14" t="str">
        <f>IF(A69="","",'Start Here'!$E$5)</f>
        <v/>
      </c>
      <c r="E69" s="14" t="str">
        <f>IF(A69="","",INDEX('Human Resources'!$G:$G,SMALL($P$37:$P$48,6)))</f>
        <v/>
      </c>
      <c r="F69" s="15" t="str">
        <f t="shared" si="2"/>
        <v/>
      </c>
      <c r="G69" s="16"/>
      <c r="H69" s="17"/>
      <c r="I69" s="17"/>
      <c r="J69" s="18"/>
      <c r="N69" t="s">
        <v>315</v>
      </c>
      <c r="O69">
        <v>15</v>
      </c>
      <c r="P69">
        <f>IF('Marketing &amp; Communications'!D15="",9999,IF('Marketing &amp; Communications'!E15&lt;'Start Here'!$E$5,15,9999))</f>
        <v>9999</v>
      </c>
    </row>
    <row r="70" spans="1:16" ht="54" customHeight="1">
      <c r="A70" s="13" t="str">
        <f>IF(SMALL($P$37:$P$48,7)=9999,"",INDEX('Human Resources'!$A:$A,SMALL($P$37:$P$48,7)))</f>
        <v/>
      </c>
      <c r="B70" s="14" t="str">
        <f>IF(A70="","",INDEX('Human Resources'!$B:$B,SMALL($P$37:$P$48,7)))</f>
        <v/>
      </c>
      <c r="C70" s="14" t="str">
        <f>IF(A70="","",INDEX('Human Resources'!$E:$E,SMALL($P$37:$P$48,7)))</f>
        <v/>
      </c>
      <c r="D70" s="14" t="str">
        <f>IF(A70="","",'Start Here'!$E$5)</f>
        <v/>
      </c>
      <c r="E70" s="14" t="str">
        <f>IF(A70="","",INDEX('Human Resources'!$G:$G,SMALL($P$37:$P$48,7)))</f>
        <v/>
      </c>
      <c r="F70" s="15" t="str">
        <f t="shared" si="2"/>
        <v/>
      </c>
      <c r="G70" s="16"/>
      <c r="H70" s="17"/>
      <c r="I70" s="17"/>
      <c r="J70" s="18"/>
      <c r="N70" t="s">
        <v>318</v>
      </c>
      <c r="O70">
        <v>16</v>
      </c>
      <c r="P70">
        <f>IF('Marketing &amp; Communications'!D16="",9999,IF('Marketing &amp; Communications'!E16&lt;'Start Here'!$E$5,16,9999))</f>
        <v>9999</v>
      </c>
    </row>
    <row r="71" spans="1:16" ht="54" customHeight="1">
      <c r="A71" s="13" t="str">
        <f>IF(SMALL($P$37:$P$48,8)=9999,"",INDEX('Human Resources'!$A:$A,SMALL($P$37:$P$48,8)))</f>
        <v/>
      </c>
      <c r="B71" s="14" t="str">
        <f>IF(A71="","",INDEX('Human Resources'!$B:$B,SMALL($P$37:$P$48,8)))</f>
        <v/>
      </c>
      <c r="C71" s="14" t="str">
        <f>IF(A71="","",INDEX('Human Resources'!$E:$E,SMALL($P$37:$P$48,8)))</f>
        <v/>
      </c>
      <c r="D71" s="14" t="str">
        <f>IF(A71="","",'Start Here'!$E$5)</f>
        <v/>
      </c>
      <c r="E71" s="14" t="str">
        <f>IF(A71="","",INDEX('Human Resources'!$G:$G,SMALL($P$37:$P$48,8)))</f>
        <v/>
      </c>
      <c r="F71" s="15" t="str">
        <f t="shared" si="2"/>
        <v/>
      </c>
      <c r="G71" s="16"/>
      <c r="H71" s="17"/>
      <c r="I71" s="17"/>
      <c r="J71" s="18"/>
      <c r="N71" t="s">
        <v>321</v>
      </c>
      <c r="O71">
        <v>17</v>
      </c>
      <c r="P71">
        <f>IF('Marketing &amp; Communications'!D17="",9999,IF('Marketing &amp; Communications'!E17&lt;'Start Here'!$E$5,17,9999))</f>
        <v>9999</v>
      </c>
    </row>
    <row r="72" spans="1:16" ht="54" customHeight="1">
      <c r="A72" s="13" t="str">
        <f>IF(SMALL($P$37:$P$48,9)=9999,"",INDEX('Human Resources'!$A:$A,SMALL($P$37:$P$48,9)))</f>
        <v/>
      </c>
      <c r="B72" s="14" t="str">
        <f>IF(A72="","",INDEX('Human Resources'!$B:$B,SMALL($P$37:$P$48,9)))</f>
        <v/>
      </c>
      <c r="C72" s="14" t="str">
        <f>IF(A72="","",INDEX('Human Resources'!$E:$E,SMALL($P$37:$P$48,9)))</f>
        <v/>
      </c>
      <c r="D72" s="14" t="str">
        <f>IF(A72="","",'Start Here'!$E$5)</f>
        <v/>
      </c>
      <c r="E72" s="14" t="str">
        <f>IF(A72="","",INDEX('Human Resources'!$G:$G,SMALL($P$37:$P$48,9)))</f>
        <v/>
      </c>
      <c r="F72" s="15" t="str">
        <f t="shared" si="2"/>
        <v/>
      </c>
      <c r="G72" s="16"/>
      <c r="H72" s="17"/>
      <c r="I72" s="17"/>
      <c r="J72" s="18"/>
      <c r="N72" t="s">
        <v>324</v>
      </c>
      <c r="O72">
        <v>18</v>
      </c>
      <c r="P72">
        <f>IF('Marketing &amp; Communications'!D18="",9999,IF('Marketing &amp; Communications'!E18&lt;'Start Here'!$E$5,18,9999))</f>
        <v>9999</v>
      </c>
    </row>
    <row r="73" spans="1:16" ht="54" customHeight="1">
      <c r="A73" s="13" t="str">
        <f>IF(SMALL($P$37:$P$48,10)=9999,"",INDEX('Human Resources'!$A:$A,SMALL($P$37:$P$48,10)))</f>
        <v/>
      </c>
      <c r="B73" s="14" t="str">
        <f>IF(A73="","",INDEX('Human Resources'!$B:$B,SMALL($P$37:$P$48,10)))</f>
        <v/>
      </c>
      <c r="C73" s="14" t="str">
        <f>IF(A73="","",INDEX('Human Resources'!$E:$E,SMALL($P$37:$P$48,10)))</f>
        <v/>
      </c>
      <c r="D73" s="14" t="str">
        <f>IF(A73="","",'Start Here'!$E$5)</f>
        <v/>
      </c>
      <c r="E73" s="14" t="str">
        <f>IF(A73="","",INDEX('Human Resources'!$G:$G,SMALL($P$37:$P$48,10)))</f>
        <v/>
      </c>
      <c r="F73" s="15" t="str">
        <f t="shared" si="2"/>
        <v/>
      </c>
      <c r="G73" s="16"/>
      <c r="H73" s="17"/>
      <c r="I73" s="17"/>
      <c r="J73" s="18"/>
      <c r="N73" t="s">
        <v>327</v>
      </c>
      <c r="O73">
        <v>19</v>
      </c>
      <c r="P73">
        <f>IF('Marketing &amp; Communications'!D19="",9999,IF('Marketing &amp; Communications'!E19&lt;'Start Here'!$E$5,19,9999))</f>
        <v>9999</v>
      </c>
    </row>
    <row r="74" spans="1:16" ht="54" customHeight="1">
      <c r="A74" s="13" t="str">
        <f>IF(SMALL($P$37:$P$48,11)=9999,"",INDEX('Human Resources'!$A:$A,SMALL($P$37:$P$48,11)))</f>
        <v/>
      </c>
      <c r="B74" s="14" t="str">
        <f>IF(A74="","",INDEX('Human Resources'!$B:$B,SMALL($P$37:$P$48,11)))</f>
        <v/>
      </c>
      <c r="C74" s="14" t="str">
        <f>IF(A74="","",INDEX('Human Resources'!$E:$E,SMALL($P$37:$P$48,11)))</f>
        <v/>
      </c>
      <c r="D74" s="14" t="str">
        <f>IF(A74="","",'Start Here'!$E$5)</f>
        <v/>
      </c>
      <c r="E74" s="14" t="str">
        <f>IF(A74="","",INDEX('Human Resources'!$G:$G,SMALL($P$37:$P$48,11)))</f>
        <v/>
      </c>
      <c r="F74" s="15" t="str">
        <f t="shared" si="2"/>
        <v/>
      </c>
      <c r="G74" s="16"/>
      <c r="H74" s="17"/>
      <c r="I74" s="17"/>
      <c r="J74" s="18"/>
      <c r="N74" t="s">
        <v>330</v>
      </c>
      <c r="O74">
        <v>20</v>
      </c>
      <c r="P74">
        <f>IF('Marketing &amp; Communications'!D20="",9999,IF('Marketing &amp; Communications'!E20&lt;'Start Here'!$E$5,20,9999))</f>
        <v>9999</v>
      </c>
    </row>
    <row r="75" spans="1:16" ht="54" customHeight="1">
      <c r="A75" s="13" t="str">
        <f>IF(SMALL($P$37:$P$48,12)=9999,"",INDEX('Human Resources'!$A:$A,SMALL($P$37:$P$48,12)))</f>
        <v/>
      </c>
      <c r="B75" s="14" t="str">
        <f>IF(A75="","",INDEX('Human Resources'!$B:$B,SMALL($P$37:$P$48,12)))</f>
        <v/>
      </c>
      <c r="C75" s="14" t="str">
        <f>IF(A75="","",INDEX('Human Resources'!$E:$E,SMALL($P$37:$P$48,12)))</f>
        <v/>
      </c>
      <c r="D75" s="14" t="str">
        <f>IF(A75="","",'Start Here'!$E$5)</f>
        <v/>
      </c>
      <c r="E75" s="14" t="str">
        <f>IF(A75="","",INDEX('Human Resources'!$G:$G,SMALL($P$37:$P$48,12)))</f>
        <v/>
      </c>
      <c r="F75" s="15" t="str">
        <f t="shared" si="2"/>
        <v/>
      </c>
      <c r="G75" s="16"/>
      <c r="H75" s="17"/>
      <c r="I75" s="17"/>
      <c r="J75" s="18"/>
      <c r="N75" t="s">
        <v>333</v>
      </c>
      <c r="O75">
        <v>21</v>
      </c>
      <c r="P75">
        <f>IF('Marketing &amp; Communications'!D21="",9999,IF('Marketing &amp; Communications'!E21&lt;'Start Here'!$E$5,21,9999))</f>
        <v>9999</v>
      </c>
    </row>
    <row r="77" spans="1:16">
      <c r="N77" t="s">
        <v>337</v>
      </c>
      <c r="O77">
        <v>9</v>
      </c>
      <c r="P77">
        <f>IF('NOC Services'!D9="",9999,IF('NOC Services'!E9&lt;'Start Here'!$E$5,9,9999))</f>
        <v>9999</v>
      </c>
    </row>
    <row r="78" spans="1:16" ht="15.75">
      <c r="A78" s="267" t="s">
        <v>458</v>
      </c>
      <c r="B78" s="267"/>
      <c r="C78" s="267"/>
      <c r="D78" s="267"/>
      <c r="E78" s="267"/>
      <c r="F78" s="267"/>
      <c r="G78" s="267"/>
      <c r="H78" s="267"/>
      <c r="I78" s="267"/>
      <c r="J78" s="267"/>
      <c r="N78" t="s">
        <v>340</v>
      </c>
      <c r="O78">
        <v>10</v>
      </c>
      <c r="P78">
        <f>IF('NOC Services'!D10="",9999,IF('NOC Services'!E10&lt;'Start Here'!$E$5,10,9999))</f>
        <v>9999</v>
      </c>
    </row>
    <row r="79" spans="1:16">
      <c r="A79" s="1" t="s">
        <v>122</v>
      </c>
      <c r="B79" s="2"/>
      <c r="C79" s="2" t="s">
        <v>96</v>
      </c>
      <c r="D79" s="2"/>
      <c r="E79" s="2" t="s">
        <v>99</v>
      </c>
      <c r="F79" s="2"/>
      <c r="G79" s="2" t="s">
        <v>444</v>
      </c>
      <c r="H79" s="2"/>
      <c r="I79" s="2"/>
      <c r="J79" s="3"/>
      <c r="N79" t="s">
        <v>343</v>
      </c>
      <c r="O79">
        <v>11</v>
      </c>
      <c r="P79">
        <f>IF('NOC Services'!D11="",9999,IF('NOC Services'!E11&lt;'Start Here'!$E$5,11,9999))</f>
        <v>9999</v>
      </c>
    </row>
    <row r="80" spans="1:16" ht="28.5">
      <c r="A80" s="19" t="str">
        <f>Dashboard!B16</f>
        <v/>
      </c>
      <c r="B80" s="14"/>
      <c r="C80" s="14" t="str">
        <f>Dashboard!C16</f>
        <v>Not assessed</v>
      </c>
      <c r="D80" s="14"/>
      <c r="E80" s="14">
        <f>Dashboard!F16</f>
        <v>0</v>
      </c>
      <c r="F80" s="14"/>
      <c r="G80" s="272" t="s">
        <v>459</v>
      </c>
      <c r="H80" s="272"/>
      <c r="I80" s="272"/>
      <c r="J80" s="273"/>
      <c r="N80" t="s">
        <v>346</v>
      </c>
      <c r="O80">
        <v>12</v>
      </c>
      <c r="P80">
        <f>IF('NOC Services'!D12="",9999,IF('NOC Services'!E12&lt;'Start Here'!$E$5,12,9999))</f>
        <v>9999</v>
      </c>
    </row>
    <row r="81" spans="1:16">
      <c r="N81" t="s">
        <v>349</v>
      </c>
      <c r="O81">
        <v>13</v>
      </c>
      <c r="P81">
        <f>IF('NOC Services'!D13="",9999,IF('NOC Services'!E13&lt;'Start Here'!$E$5,13,9999))</f>
        <v>9999</v>
      </c>
    </row>
    <row r="82" spans="1:16">
      <c r="A82" s="1" t="s">
        <v>446</v>
      </c>
      <c r="B82" s="2" t="s">
        <v>425</v>
      </c>
      <c r="C82" s="2" t="s">
        <v>447</v>
      </c>
      <c r="D82" s="2" t="s">
        <v>448</v>
      </c>
      <c r="E82" s="2" t="s">
        <v>449</v>
      </c>
      <c r="F82" s="2" t="s">
        <v>450</v>
      </c>
      <c r="G82" s="2" t="s">
        <v>451</v>
      </c>
      <c r="H82" s="2" t="s">
        <v>452</v>
      </c>
      <c r="I82" s="2" t="s">
        <v>55</v>
      </c>
      <c r="J82" s="3" t="s">
        <v>453</v>
      </c>
      <c r="N82" t="s">
        <v>352</v>
      </c>
      <c r="O82">
        <v>14</v>
      </c>
      <c r="P82">
        <f>IF('NOC Services'!D14="",9999,IF('NOC Services'!E14&lt;'Start Here'!$E$5,14,9999))</f>
        <v>9999</v>
      </c>
    </row>
    <row r="83" spans="1:16" ht="54" customHeight="1">
      <c r="A83" s="13" t="str">
        <f>IF(SMALL($P$50:$P$61,1)=9999,"",INDEX(Finance!$A:$A,SMALL($P$50:$P$61,1)))</f>
        <v/>
      </c>
      <c r="B83" s="14" t="str">
        <f>IF(A83="","",INDEX(Finance!$B:$B,SMALL($P$50:$P$61,1)))</f>
        <v/>
      </c>
      <c r="C83" s="14" t="str">
        <f>IF(A83="","",INDEX(Finance!$E:$E,SMALL($P$50:$P$61,1)))</f>
        <v/>
      </c>
      <c r="D83" s="14" t="str">
        <f>IF(A83="","",'Start Here'!$E$5)</f>
        <v/>
      </c>
      <c r="E83" s="14" t="str">
        <f>IF(A83="","",INDEX(Finance!$G:$G,SMALL($P$50:$P$61,1)))</f>
        <v/>
      </c>
      <c r="F83" s="15" t="str">
        <f t="shared" ref="F83:F94" si="3">IF(A83="","",IF(D83-C83&gt;=2,"High","Medium"))</f>
        <v/>
      </c>
      <c r="G83" s="16"/>
      <c r="H83" s="17"/>
      <c r="I83" s="17"/>
      <c r="J83" s="18"/>
      <c r="N83" t="s">
        <v>355</v>
      </c>
      <c r="O83">
        <v>15</v>
      </c>
      <c r="P83">
        <f>IF('NOC Services'!D15="",9999,IF('NOC Services'!E15&lt;'Start Here'!$E$5,15,9999))</f>
        <v>9999</v>
      </c>
    </row>
    <row r="84" spans="1:16" ht="54" customHeight="1">
      <c r="A84" s="13" t="str">
        <f>IF(SMALL($P$50:$P$61,2)=9999,"",INDEX(Finance!$A:$A,SMALL($P$50:$P$61,2)))</f>
        <v/>
      </c>
      <c r="B84" s="14" t="str">
        <f>IF(A84="","",INDEX(Finance!$B:$B,SMALL($P$50:$P$61,2)))</f>
        <v/>
      </c>
      <c r="C84" s="14" t="str">
        <f>IF(A84="","",INDEX(Finance!$E:$E,SMALL($P$50:$P$61,2)))</f>
        <v/>
      </c>
      <c r="D84" s="14" t="str">
        <f>IF(A84="","",'Start Here'!$E$5)</f>
        <v/>
      </c>
      <c r="E84" s="14" t="str">
        <f>IF(A84="","",INDEX(Finance!$G:$G,SMALL($P$50:$P$61,2)))</f>
        <v/>
      </c>
      <c r="F84" s="15" t="str">
        <f t="shared" si="3"/>
        <v/>
      </c>
      <c r="G84" s="16"/>
      <c r="H84" s="17"/>
      <c r="I84" s="17"/>
      <c r="J84" s="18"/>
      <c r="N84" t="s">
        <v>358</v>
      </c>
      <c r="O84">
        <v>16</v>
      </c>
      <c r="P84">
        <f>IF('NOC Services'!D16="",9999,IF('NOC Services'!E16&lt;'Start Here'!$E$5,16,9999))</f>
        <v>9999</v>
      </c>
    </row>
    <row r="85" spans="1:16" ht="54" customHeight="1">
      <c r="A85" s="13" t="str">
        <f>IF(SMALL($P$50:$P$61,3)=9999,"",INDEX(Finance!$A:$A,SMALL($P$50:$P$61,3)))</f>
        <v/>
      </c>
      <c r="B85" s="14" t="str">
        <f>IF(A85="","",INDEX(Finance!$B:$B,SMALL($P$50:$P$61,3)))</f>
        <v/>
      </c>
      <c r="C85" s="14" t="str">
        <f>IF(A85="","",INDEX(Finance!$E:$E,SMALL($P$50:$P$61,3)))</f>
        <v/>
      </c>
      <c r="D85" s="14" t="str">
        <f>IF(A85="","",'Start Here'!$E$5)</f>
        <v/>
      </c>
      <c r="E85" s="14" t="str">
        <f>IF(A85="","",INDEX(Finance!$G:$G,SMALL($P$50:$P$61,3)))</f>
        <v/>
      </c>
      <c r="F85" s="15" t="str">
        <f t="shared" si="3"/>
        <v/>
      </c>
      <c r="G85" s="16"/>
      <c r="H85" s="17"/>
      <c r="I85" s="17"/>
      <c r="J85" s="18"/>
      <c r="N85" t="s">
        <v>361</v>
      </c>
      <c r="O85">
        <v>17</v>
      </c>
      <c r="P85">
        <f>IF('NOC Services'!D17="",9999,IF('NOC Services'!E17&lt;'Start Here'!$E$5,17,9999))</f>
        <v>9999</v>
      </c>
    </row>
    <row r="86" spans="1:16" ht="54" customHeight="1">
      <c r="A86" s="13" t="str">
        <f>IF(SMALL($P$50:$P$61,4)=9999,"",INDEX(Finance!$A:$A,SMALL($P$50:$P$61,4)))</f>
        <v/>
      </c>
      <c r="B86" s="14" t="str">
        <f>IF(A86="","",INDEX(Finance!$B:$B,SMALL($P$50:$P$61,4)))</f>
        <v/>
      </c>
      <c r="C86" s="14" t="str">
        <f>IF(A86="","",INDEX(Finance!$E:$E,SMALL($P$50:$P$61,4)))</f>
        <v/>
      </c>
      <c r="D86" s="14" t="str">
        <f>IF(A86="","",'Start Here'!$E$5)</f>
        <v/>
      </c>
      <c r="E86" s="14" t="str">
        <f>IF(A86="","",INDEX(Finance!$G:$G,SMALL($P$50:$P$61,4)))</f>
        <v/>
      </c>
      <c r="F86" s="15" t="str">
        <f t="shared" si="3"/>
        <v/>
      </c>
      <c r="G86" s="16"/>
      <c r="H86" s="17"/>
      <c r="I86" s="17"/>
      <c r="J86" s="18"/>
      <c r="N86" t="s">
        <v>364</v>
      </c>
      <c r="O86">
        <v>18</v>
      </c>
      <c r="P86">
        <f>IF('NOC Services'!D18="",9999,IF('NOC Services'!E18&lt;'Start Here'!$E$5,18,9999))</f>
        <v>9999</v>
      </c>
    </row>
    <row r="87" spans="1:16" ht="54" customHeight="1">
      <c r="A87" s="13" t="str">
        <f>IF(SMALL($P$50:$P$61,5)=9999,"",INDEX(Finance!$A:$A,SMALL($P$50:$P$61,5)))</f>
        <v/>
      </c>
      <c r="B87" s="14" t="str">
        <f>IF(A87="","",INDEX(Finance!$B:$B,SMALL($P$50:$P$61,5)))</f>
        <v/>
      </c>
      <c r="C87" s="14" t="str">
        <f>IF(A87="","",INDEX(Finance!$E:$E,SMALL($P$50:$P$61,5)))</f>
        <v/>
      </c>
      <c r="D87" s="14" t="str">
        <f>IF(A87="","",'Start Here'!$E$5)</f>
        <v/>
      </c>
      <c r="E87" s="14" t="str">
        <f>IF(A87="","",INDEX(Finance!$G:$G,SMALL($P$50:$P$61,5)))</f>
        <v/>
      </c>
      <c r="F87" s="15" t="str">
        <f t="shared" si="3"/>
        <v/>
      </c>
      <c r="G87" s="16"/>
      <c r="H87" s="17"/>
      <c r="I87" s="17"/>
      <c r="J87" s="18"/>
      <c r="N87" t="s">
        <v>367</v>
      </c>
      <c r="O87">
        <v>19</v>
      </c>
      <c r="P87">
        <f>IF('NOC Services'!D19="",9999,IF('NOC Services'!E19&lt;'Start Here'!$E$5,19,9999))</f>
        <v>9999</v>
      </c>
    </row>
    <row r="88" spans="1:16" ht="54" customHeight="1">
      <c r="A88" s="13" t="str">
        <f>IF(SMALL($P$50:$P$61,6)=9999,"",INDEX(Finance!$A:$A,SMALL($P$50:$P$61,6)))</f>
        <v/>
      </c>
      <c r="B88" s="14" t="str">
        <f>IF(A88="","",INDEX(Finance!$B:$B,SMALL($P$50:$P$61,6)))</f>
        <v/>
      </c>
      <c r="C88" s="14" t="str">
        <f>IF(A88="","",INDEX(Finance!$E:$E,SMALL($P$50:$P$61,6)))</f>
        <v/>
      </c>
      <c r="D88" s="14" t="str">
        <f>IF(A88="","",'Start Here'!$E$5)</f>
        <v/>
      </c>
      <c r="E88" s="14" t="str">
        <f>IF(A88="","",INDEX(Finance!$G:$G,SMALL($P$50:$P$61,6)))</f>
        <v/>
      </c>
      <c r="F88" s="15" t="str">
        <f t="shared" si="3"/>
        <v/>
      </c>
      <c r="G88" s="16"/>
      <c r="H88" s="17"/>
      <c r="I88" s="17"/>
      <c r="J88" s="18"/>
    </row>
    <row r="89" spans="1:16" ht="54" customHeight="1">
      <c r="A89" s="13" t="str">
        <f>IF(SMALL($P$50:$P$61,7)=9999,"",INDEX(Finance!$A:$A,SMALL($P$50:$P$61,7)))</f>
        <v/>
      </c>
      <c r="B89" s="14" t="str">
        <f>IF(A89="","",INDEX(Finance!$B:$B,SMALL($P$50:$P$61,7)))</f>
        <v/>
      </c>
      <c r="C89" s="14" t="str">
        <f>IF(A89="","",INDEX(Finance!$E:$E,SMALL($P$50:$P$61,7)))</f>
        <v/>
      </c>
      <c r="D89" s="14" t="str">
        <f>IF(A89="","",'Start Here'!$E$5)</f>
        <v/>
      </c>
      <c r="E89" s="14" t="str">
        <f>IF(A89="","",INDEX(Finance!$G:$G,SMALL($P$50:$P$61,7)))</f>
        <v/>
      </c>
      <c r="F89" s="15" t="str">
        <f t="shared" si="3"/>
        <v/>
      </c>
      <c r="G89" s="16"/>
      <c r="H89" s="17"/>
      <c r="I89" s="17"/>
      <c r="J89" s="18"/>
      <c r="N89" t="s">
        <v>371</v>
      </c>
      <c r="O89">
        <v>9</v>
      </c>
      <c r="P89">
        <f>IF('External Relations'!D9="",9999,IF('External Relations'!E9&lt;'Start Here'!$E$5,9,9999))</f>
        <v>9999</v>
      </c>
    </row>
    <row r="90" spans="1:16" ht="54" customHeight="1">
      <c r="A90" s="13" t="str">
        <f>IF(SMALL($P$50:$P$61,8)=9999,"",INDEX(Finance!$A:$A,SMALL($P$50:$P$61,8)))</f>
        <v/>
      </c>
      <c r="B90" s="14" t="str">
        <f>IF(A90="","",INDEX(Finance!$B:$B,SMALL($P$50:$P$61,8)))</f>
        <v/>
      </c>
      <c r="C90" s="14" t="str">
        <f>IF(A90="","",INDEX(Finance!$E:$E,SMALL($P$50:$P$61,8)))</f>
        <v/>
      </c>
      <c r="D90" s="14" t="str">
        <f>IF(A90="","",'Start Here'!$E$5)</f>
        <v/>
      </c>
      <c r="E90" s="14" t="str">
        <f>IF(A90="","",INDEX(Finance!$G:$G,SMALL($P$50:$P$61,8)))</f>
        <v/>
      </c>
      <c r="F90" s="15" t="str">
        <f t="shared" si="3"/>
        <v/>
      </c>
      <c r="G90" s="16"/>
      <c r="H90" s="17"/>
      <c r="I90" s="17"/>
      <c r="J90" s="18"/>
      <c r="N90" t="s">
        <v>374</v>
      </c>
      <c r="O90">
        <v>10</v>
      </c>
      <c r="P90">
        <f>IF('External Relations'!D10="",9999,IF('External Relations'!E10&lt;'Start Here'!$E$5,10,9999))</f>
        <v>9999</v>
      </c>
    </row>
    <row r="91" spans="1:16" ht="54" customHeight="1">
      <c r="A91" s="13" t="str">
        <f>IF(SMALL($P$50:$P$61,9)=9999,"",INDEX(Finance!$A:$A,SMALL($P$50:$P$61,9)))</f>
        <v/>
      </c>
      <c r="B91" s="14" t="str">
        <f>IF(A91="","",INDEX(Finance!$B:$B,SMALL($P$50:$P$61,9)))</f>
        <v/>
      </c>
      <c r="C91" s="14" t="str">
        <f>IF(A91="","",INDEX(Finance!$E:$E,SMALL($P$50:$P$61,9)))</f>
        <v/>
      </c>
      <c r="D91" s="14" t="str">
        <f>IF(A91="","",'Start Here'!$E$5)</f>
        <v/>
      </c>
      <c r="E91" s="14" t="str">
        <f>IF(A91="","",INDEX(Finance!$G:$G,SMALL($P$50:$P$61,9)))</f>
        <v/>
      </c>
      <c r="F91" s="15" t="str">
        <f t="shared" si="3"/>
        <v/>
      </c>
      <c r="G91" s="16"/>
      <c r="H91" s="17"/>
      <c r="I91" s="17"/>
      <c r="J91" s="18"/>
      <c r="N91" t="s">
        <v>377</v>
      </c>
      <c r="O91">
        <v>11</v>
      </c>
      <c r="P91">
        <f>IF('External Relations'!D11="",9999,IF('External Relations'!E11&lt;'Start Here'!$E$5,11,9999))</f>
        <v>9999</v>
      </c>
    </row>
    <row r="92" spans="1:16" ht="54" customHeight="1">
      <c r="A92" s="13" t="str">
        <f>IF(SMALL($P$50:$P$61,10)=9999,"",INDEX(Finance!$A:$A,SMALL($P$50:$P$61,10)))</f>
        <v/>
      </c>
      <c r="B92" s="14" t="str">
        <f>IF(A92="","",INDEX(Finance!$B:$B,SMALL($P$50:$P$61,10)))</f>
        <v/>
      </c>
      <c r="C92" s="14" t="str">
        <f>IF(A92="","",INDEX(Finance!$E:$E,SMALL($P$50:$P$61,10)))</f>
        <v/>
      </c>
      <c r="D92" s="14" t="str">
        <f>IF(A92="","",'Start Here'!$E$5)</f>
        <v/>
      </c>
      <c r="E92" s="14" t="str">
        <f>IF(A92="","",INDEX(Finance!$G:$G,SMALL($P$50:$P$61,10)))</f>
        <v/>
      </c>
      <c r="F92" s="15" t="str">
        <f t="shared" si="3"/>
        <v/>
      </c>
      <c r="G92" s="16"/>
      <c r="H92" s="17"/>
      <c r="I92" s="17"/>
      <c r="J92" s="18"/>
      <c r="N92" t="s">
        <v>380</v>
      </c>
      <c r="O92">
        <v>12</v>
      </c>
      <c r="P92">
        <f>IF('External Relations'!D12="",9999,IF('External Relations'!E12&lt;'Start Here'!$E$5,12,9999))</f>
        <v>9999</v>
      </c>
    </row>
    <row r="93" spans="1:16" ht="54" customHeight="1">
      <c r="A93" s="13" t="str">
        <f>IF(SMALL($P$50:$P$61,11)=9999,"",INDEX(Finance!$A:$A,SMALL($P$50:$P$61,11)))</f>
        <v/>
      </c>
      <c r="B93" s="14" t="str">
        <f>IF(A93="","",INDEX(Finance!$B:$B,SMALL($P$50:$P$61,11)))</f>
        <v/>
      </c>
      <c r="C93" s="14" t="str">
        <f>IF(A93="","",INDEX(Finance!$E:$E,SMALL($P$50:$P$61,11)))</f>
        <v/>
      </c>
      <c r="D93" s="14" t="str">
        <f>IF(A93="","",'Start Here'!$E$5)</f>
        <v/>
      </c>
      <c r="E93" s="14" t="str">
        <f>IF(A93="","",INDEX(Finance!$G:$G,SMALL($P$50:$P$61,11)))</f>
        <v/>
      </c>
      <c r="F93" s="15" t="str">
        <f t="shared" si="3"/>
        <v/>
      </c>
      <c r="G93" s="16"/>
      <c r="H93" s="17"/>
      <c r="I93" s="17"/>
      <c r="J93" s="18"/>
      <c r="N93" t="s">
        <v>383</v>
      </c>
      <c r="O93">
        <v>13</v>
      </c>
      <c r="P93">
        <f>IF('External Relations'!D13="",9999,IF('External Relations'!E13&lt;'Start Here'!$E$5,13,9999))</f>
        <v>9999</v>
      </c>
    </row>
    <row r="94" spans="1:16" ht="54" customHeight="1">
      <c r="A94" s="13" t="str">
        <f>IF(SMALL($P$50:$P$61,12)=9999,"",INDEX(Finance!$A:$A,SMALL($P$50:$P$61,12)))</f>
        <v/>
      </c>
      <c r="B94" s="14" t="str">
        <f>IF(A94="","",INDEX(Finance!$B:$B,SMALL($P$50:$P$61,12)))</f>
        <v/>
      </c>
      <c r="C94" s="14" t="str">
        <f>IF(A94="","",INDEX(Finance!$E:$E,SMALL($P$50:$P$61,12)))</f>
        <v/>
      </c>
      <c r="D94" s="14" t="str">
        <f>IF(A94="","",'Start Here'!$E$5)</f>
        <v/>
      </c>
      <c r="E94" s="14" t="str">
        <f>IF(A94="","",INDEX(Finance!$G:$G,SMALL($P$50:$P$61,12)))</f>
        <v/>
      </c>
      <c r="F94" s="15" t="str">
        <f t="shared" si="3"/>
        <v/>
      </c>
      <c r="G94" s="16"/>
      <c r="H94" s="17"/>
      <c r="I94" s="17"/>
      <c r="J94" s="18"/>
      <c r="N94" t="s">
        <v>386</v>
      </c>
      <c r="O94">
        <v>14</v>
      </c>
      <c r="P94">
        <f>IF('External Relations'!D14="",9999,IF('External Relations'!E14&lt;'Start Here'!$E$5,14,9999))</f>
        <v>9999</v>
      </c>
    </row>
    <row r="95" spans="1:16">
      <c r="N95" t="s">
        <v>389</v>
      </c>
      <c r="O95">
        <v>15</v>
      </c>
      <c r="P95">
        <f>IF('External Relations'!D15="",9999,IF('External Relations'!E15&lt;'Start Here'!$E$5,15,9999))</f>
        <v>9999</v>
      </c>
    </row>
    <row r="96" spans="1:16">
      <c r="N96" t="s">
        <v>392</v>
      </c>
      <c r="O96">
        <v>16</v>
      </c>
      <c r="P96">
        <f>IF('External Relations'!D16="",9999,IF('External Relations'!E16&lt;'Start Here'!$E$5,16,9999))</f>
        <v>9999</v>
      </c>
    </row>
    <row r="97" spans="1:16" ht="15.75">
      <c r="A97" s="267" t="s">
        <v>460</v>
      </c>
      <c r="B97" s="267"/>
      <c r="C97" s="267"/>
      <c r="D97" s="267"/>
      <c r="E97" s="267"/>
      <c r="F97" s="267"/>
      <c r="G97" s="267"/>
      <c r="H97" s="267"/>
      <c r="I97" s="267"/>
      <c r="J97" s="267"/>
    </row>
    <row r="98" spans="1:16">
      <c r="A98" s="1" t="s">
        <v>122</v>
      </c>
      <c r="B98" s="2"/>
      <c r="C98" s="2" t="s">
        <v>96</v>
      </c>
      <c r="D98" s="2"/>
      <c r="E98" s="2" t="s">
        <v>99</v>
      </c>
      <c r="F98" s="2"/>
      <c r="G98" s="2" t="s">
        <v>444</v>
      </c>
      <c r="H98" s="2"/>
      <c r="I98" s="2"/>
      <c r="J98" s="3"/>
      <c r="N98" t="s">
        <v>396</v>
      </c>
      <c r="O98">
        <v>9</v>
      </c>
      <c r="P98">
        <f>IF('Sporting Environment'!D9="",9999,IF('Sporting Environment'!E9&lt;'Start Here'!$E$5,9,9999))</f>
        <v>9999</v>
      </c>
    </row>
    <row r="99" spans="1:16" ht="28.5">
      <c r="A99" s="19" t="str">
        <f>Dashboard!B17</f>
        <v/>
      </c>
      <c r="B99" s="14"/>
      <c r="C99" s="14" t="str">
        <f>Dashboard!C17</f>
        <v>Not assessed</v>
      </c>
      <c r="D99" s="14"/>
      <c r="E99" s="14">
        <f>Dashboard!F17</f>
        <v>0</v>
      </c>
      <c r="F99" s="14"/>
      <c r="G99" s="272" t="s">
        <v>461</v>
      </c>
      <c r="H99" s="272"/>
      <c r="I99" s="272"/>
      <c r="J99" s="273"/>
      <c r="N99" t="s">
        <v>399</v>
      </c>
      <c r="O99">
        <v>10</v>
      </c>
      <c r="P99">
        <f>IF('Sporting Environment'!D10="",9999,IF('Sporting Environment'!E10&lt;'Start Here'!$E$5,10,9999))</f>
        <v>9999</v>
      </c>
    </row>
    <row r="100" spans="1:16">
      <c r="N100" t="s">
        <v>402</v>
      </c>
      <c r="O100">
        <v>11</v>
      </c>
      <c r="P100">
        <f>IF('Sporting Environment'!D11="",9999,IF('Sporting Environment'!E11&lt;'Start Here'!$E$5,11,9999))</f>
        <v>9999</v>
      </c>
    </row>
    <row r="101" spans="1:16">
      <c r="A101" s="1" t="s">
        <v>446</v>
      </c>
      <c r="B101" s="2" t="s">
        <v>425</v>
      </c>
      <c r="C101" s="2" t="s">
        <v>447</v>
      </c>
      <c r="D101" s="2" t="s">
        <v>448</v>
      </c>
      <c r="E101" s="2" t="s">
        <v>449</v>
      </c>
      <c r="F101" s="2" t="s">
        <v>450</v>
      </c>
      <c r="G101" s="2" t="s">
        <v>451</v>
      </c>
      <c r="H101" s="2" t="s">
        <v>452</v>
      </c>
      <c r="I101" s="2" t="s">
        <v>55</v>
      </c>
      <c r="J101" s="3" t="s">
        <v>453</v>
      </c>
      <c r="N101" t="s">
        <v>405</v>
      </c>
      <c r="O101">
        <v>12</v>
      </c>
      <c r="P101">
        <f>IF('Sporting Environment'!D12="",9999,IF('Sporting Environment'!E12&lt;'Start Here'!$E$5,12,9999))</f>
        <v>9999</v>
      </c>
    </row>
    <row r="102" spans="1:16" ht="54" customHeight="1">
      <c r="A102" s="13" t="str">
        <f>IF(SMALL($P$63:$P$75,1)=9999,"",INDEX('Marketing &amp; Communications'!$A:$A,SMALL($P$63:$P$75,1)))</f>
        <v/>
      </c>
      <c r="B102" s="14" t="str">
        <f>IF(A102="","",INDEX('Marketing &amp; Communications'!$B:$B,SMALL($P$63:$P$75,1)))</f>
        <v/>
      </c>
      <c r="C102" s="14" t="str">
        <f>IF(A102="","",INDEX('Marketing &amp; Communications'!$E:$E,SMALL($P$63:$P$75,1)))</f>
        <v/>
      </c>
      <c r="D102" s="14" t="str">
        <f>IF(A102="","",'Start Here'!$E$5)</f>
        <v/>
      </c>
      <c r="E102" s="14" t="str">
        <f>IF(A102="","",INDEX('Marketing &amp; Communications'!$G:$G,SMALL($P$63:$P$75,1)))</f>
        <v/>
      </c>
      <c r="F102" s="15" t="str">
        <f t="shared" ref="F102:F114" si="4">IF(A102="","",IF(D102-C102&gt;=2,"High","Medium"))</f>
        <v/>
      </c>
      <c r="G102" s="16"/>
      <c r="H102" s="17"/>
      <c r="I102" s="17"/>
      <c r="J102" s="18"/>
      <c r="N102" t="s">
        <v>408</v>
      </c>
      <c r="O102">
        <v>13</v>
      </c>
      <c r="P102">
        <f>IF('Sporting Environment'!D13="",9999,IF('Sporting Environment'!E13&lt;'Start Here'!$E$5,13,9999))</f>
        <v>9999</v>
      </c>
    </row>
    <row r="103" spans="1:16" ht="54" customHeight="1">
      <c r="A103" s="13" t="str">
        <f>IF(SMALL($P$63:$P$75,2)=9999,"",INDEX('Marketing &amp; Communications'!$A:$A,SMALL($P$63:$P$75,2)))</f>
        <v/>
      </c>
      <c r="B103" s="14" t="str">
        <f>IF(A103="","",INDEX('Marketing &amp; Communications'!$B:$B,SMALL($P$63:$P$75,2)))</f>
        <v/>
      </c>
      <c r="C103" s="14" t="str">
        <f>IF(A103="","",INDEX('Marketing &amp; Communications'!$E:$E,SMALL($P$63:$P$75,2)))</f>
        <v/>
      </c>
      <c r="D103" s="14" t="str">
        <f>IF(A103="","",'Start Here'!$E$5)</f>
        <v/>
      </c>
      <c r="E103" s="14" t="str">
        <f>IF(A103="","",INDEX('Marketing &amp; Communications'!$G:$G,SMALL($P$63:$P$75,2)))</f>
        <v/>
      </c>
      <c r="F103" s="15" t="str">
        <f t="shared" si="4"/>
        <v/>
      </c>
      <c r="G103" s="16"/>
      <c r="H103" s="17"/>
      <c r="I103" s="17"/>
      <c r="J103" s="18"/>
      <c r="N103" t="s">
        <v>411</v>
      </c>
      <c r="O103">
        <v>14</v>
      </c>
      <c r="P103">
        <f>IF('Sporting Environment'!D14="",9999,IF('Sporting Environment'!E14&lt;'Start Here'!$E$5,14,9999))</f>
        <v>9999</v>
      </c>
    </row>
    <row r="104" spans="1:16" ht="54" customHeight="1">
      <c r="A104" s="13" t="str">
        <f>IF(SMALL($P$63:$P$75,3)=9999,"",INDEX('Marketing &amp; Communications'!$A:$A,SMALL($P$63:$P$75,3)))</f>
        <v/>
      </c>
      <c r="B104" s="14" t="str">
        <f>IF(A104="","",INDEX('Marketing &amp; Communications'!$B:$B,SMALL($P$63:$P$75,3)))</f>
        <v/>
      </c>
      <c r="C104" s="14" t="str">
        <f>IF(A104="","",INDEX('Marketing &amp; Communications'!$E:$E,SMALL($P$63:$P$75,3)))</f>
        <v/>
      </c>
      <c r="D104" s="14" t="str">
        <f>IF(A104="","",'Start Here'!$E$5)</f>
        <v/>
      </c>
      <c r="E104" s="14" t="str">
        <f>IF(A104="","",INDEX('Marketing &amp; Communications'!$G:$G,SMALL($P$63:$P$75,3)))</f>
        <v/>
      </c>
      <c r="F104" s="15" t="str">
        <f t="shared" si="4"/>
        <v/>
      </c>
      <c r="G104" s="16"/>
      <c r="H104" s="17"/>
      <c r="I104" s="17"/>
      <c r="J104" s="18"/>
      <c r="N104" t="s">
        <v>414</v>
      </c>
      <c r="O104">
        <v>15</v>
      </c>
      <c r="P104">
        <f>IF('Sporting Environment'!D15="",9999,IF('Sporting Environment'!E15&lt;'Start Here'!$E$5,15,9999))</f>
        <v>9999</v>
      </c>
    </row>
    <row r="105" spans="1:16" ht="54" customHeight="1">
      <c r="A105" s="13" t="str">
        <f>IF(SMALL($P$63:$P$75,4)=9999,"",INDEX('Marketing &amp; Communications'!$A:$A,SMALL($P$63:$P$75,4)))</f>
        <v/>
      </c>
      <c r="B105" s="14" t="str">
        <f>IF(A105="","",INDEX('Marketing &amp; Communications'!$B:$B,SMALL($P$63:$P$75,4)))</f>
        <v/>
      </c>
      <c r="C105" s="14" t="str">
        <f>IF(A105="","",INDEX('Marketing &amp; Communications'!$E:$E,SMALL($P$63:$P$75,4)))</f>
        <v/>
      </c>
      <c r="D105" s="14" t="str">
        <f>IF(A105="","",'Start Here'!$E$5)</f>
        <v/>
      </c>
      <c r="E105" s="14" t="str">
        <f>IF(A105="","",INDEX('Marketing &amp; Communications'!$G:$G,SMALL($P$63:$P$75,4)))</f>
        <v/>
      </c>
      <c r="F105" s="15" t="str">
        <f t="shared" si="4"/>
        <v/>
      </c>
      <c r="G105" s="16"/>
      <c r="H105" s="17"/>
      <c r="I105" s="17"/>
      <c r="J105" s="18"/>
      <c r="N105" t="s">
        <v>417</v>
      </c>
      <c r="O105">
        <v>16</v>
      </c>
      <c r="P105">
        <f>IF('Sporting Environment'!D16="",9999,IF('Sporting Environment'!E16&lt;'Start Here'!$E$5,16,9999))</f>
        <v>9999</v>
      </c>
    </row>
    <row r="106" spans="1:16" ht="54" customHeight="1">
      <c r="A106" s="13" t="str">
        <f>IF(SMALL($P$63:$P$75,5)=9999,"",INDEX('Marketing &amp; Communications'!$A:$A,SMALL($P$63:$P$75,5)))</f>
        <v/>
      </c>
      <c r="B106" s="14" t="str">
        <f>IF(A106="","",INDEX('Marketing &amp; Communications'!$B:$B,SMALL($P$63:$P$75,5)))</f>
        <v/>
      </c>
      <c r="C106" s="14" t="str">
        <f>IF(A106="","",INDEX('Marketing &amp; Communications'!$E:$E,SMALL($P$63:$P$75,5)))</f>
        <v/>
      </c>
      <c r="D106" s="14" t="str">
        <f>IF(A106="","",'Start Here'!$E$5)</f>
        <v/>
      </c>
      <c r="E106" s="14" t="str">
        <f>IF(A106="","",INDEX('Marketing &amp; Communications'!$G:$G,SMALL($P$63:$P$75,5)))</f>
        <v/>
      </c>
      <c r="F106" s="15" t="str">
        <f t="shared" si="4"/>
        <v/>
      </c>
      <c r="G106" s="16"/>
      <c r="H106" s="17"/>
      <c r="I106" s="17"/>
      <c r="J106" s="18"/>
      <c r="N106" t="s">
        <v>419</v>
      </c>
      <c r="O106">
        <v>17</v>
      </c>
      <c r="P106">
        <f>IF('Sporting Environment'!D17="",9999,IF('Sporting Environment'!E17&lt;'Start Here'!$E$5,17,9999))</f>
        <v>9999</v>
      </c>
    </row>
    <row r="107" spans="1:16" ht="54" customHeight="1">
      <c r="A107" s="13" t="str">
        <f>IF(SMALL($P$63:$P$75,6)=9999,"",INDEX('Marketing &amp; Communications'!$A:$A,SMALL($P$63:$P$75,6)))</f>
        <v/>
      </c>
      <c r="B107" s="14" t="str">
        <f>IF(A107="","",INDEX('Marketing &amp; Communications'!$B:$B,SMALL($P$63:$P$75,6)))</f>
        <v/>
      </c>
      <c r="C107" s="14" t="str">
        <f>IF(A107="","",INDEX('Marketing &amp; Communications'!$E:$E,SMALL($P$63:$P$75,6)))</f>
        <v/>
      </c>
      <c r="D107" s="14" t="str">
        <f>IF(A107="","",'Start Here'!$E$5)</f>
        <v/>
      </c>
      <c r="E107" s="14" t="str">
        <f>IF(A107="","",INDEX('Marketing &amp; Communications'!$G:$G,SMALL($P$63:$P$75,6)))</f>
        <v/>
      </c>
      <c r="F107" s="15" t="str">
        <f t="shared" si="4"/>
        <v/>
      </c>
      <c r="G107" s="16"/>
      <c r="H107" s="17"/>
      <c r="I107" s="17"/>
      <c r="J107" s="18"/>
    </row>
    <row r="108" spans="1:16" ht="54" customHeight="1">
      <c r="A108" s="13" t="str">
        <f>IF(SMALL($P$63:$P$75,7)=9999,"",INDEX('Marketing &amp; Communications'!$A:$A,SMALL($P$63:$P$75,7)))</f>
        <v/>
      </c>
      <c r="B108" s="14" t="str">
        <f>IF(A108="","",INDEX('Marketing &amp; Communications'!$B:$B,SMALL($P$63:$P$75,7)))</f>
        <v/>
      </c>
      <c r="C108" s="14" t="str">
        <f>IF(A108="","",INDEX('Marketing &amp; Communications'!$E:$E,SMALL($P$63:$P$75,7)))</f>
        <v/>
      </c>
      <c r="D108" s="14" t="str">
        <f>IF(A108="","",'Start Here'!$E$5)</f>
        <v/>
      </c>
      <c r="E108" s="14" t="str">
        <f>IF(A108="","",INDEX('Marketing &amp; Communications'!$G:$G,SMALL($P$63:$P$75,7)))</f>
        <v/>
      </c>
      <c r="F108" s="15" t="str">
        <f t="shared" si="4"/>
        <v/>
      </c>
      <c r="G108" s="16"/>
      <c r="H108" s="17"/>
      <c r="I108" s="17"/>
      <c r="J108" s="18"/>
    </row>
    <row r="109" spans="1:16" ht="54" customHeight="1">
      <c r="A109" s="13" t="str">
        <f>IF(SMALL($P$63:$P$75,8)=9999,"",INDEX('Marketing &amp; Communications'!$A:$A,SMALL($P$63:$P$75,8)))</f>
        <v/>
      </c>
      <c r="B109" s="14" t="str">
        <f>IF(A109="","",INDEX('Marketing &amp; Communications'!$B:$B,SMALL($P$63:$P$75,8)))</f>
        <v/>
      </c>
      <c r="C109" s="14" t="str">
        <f>IF(A109="","",INDEX('Marketing &amp; Communications'!$E:$E,SMALL($P$63:$P$75,8)))</f>
        <v/>
      </c>
      <c r="D109" s="14" t="str">
        <f>IF(A109="","",'Start Here'!$E$5)</f>
        <v/>
      </c>
      <c r="E109" s="14" t="str">
        <f>IF(A109="","",INDEX('Marketing &amp; Communications'!$G:$G,SMALL($P$63:$P$75,8)))</f>
        <v/>
      </c>
      <c r="F109" s="15" t="str">
        <f t="shared" si="4"/>
        <v/>
      </c>
      <c r="G109" s="16"/>
      <c r="H109" s="17"/>
      <c r="I109" s="17"/>
      <c r="J109" s="18"/>
    </row>
    <row r="110" spans="1:16" ht="54" customHeight="1">
      <c r="A110" s="13" t="str">
        <f>IF(SMALL($P$63:$P$75,9)=9999,"",INDEX('Marketing &amp; Communications'!$A:$A,SMALL($P$63:$P$75,9)))</f>
        <v/>
      </c>
      <c r="B110" s="14" t="str">
        <f>IF(A110="","",INDEX('Marketing &amp; Communications'!$B:$B,SMALL($P$63:$P$75,9)))</f>
        <v/>
      </c>
      <c r="C110" s="14" t="str">
        <f>IF(A110="","",INDEX('Marketing &amp; Communications'!$E:$E,SMALL($P$63:$P$75,9)))</f>
        <v/>
      </c>
      <c r="D110" s="14" t="str">
        <f>IF(A110="","",'Start Here'!$E$5)</f>
        <v/>
      </c>
      <c r="E110" s="14" t="str">
        <f>IF(A110="","",INDEX('Marketing &amp; Communications'!$G:$G,SMALL($P$63:$P$75,9)))</f>
        <v/>
      </c>
      <c r="F110" s="15" t="str">
        <f t="shared" si="4"/>
        <v/>
      </c>
      <c r="G110" s="16"/>
      <c r="H110" s="17"/>
      <c r="I110" s="17"/>
      <c r="J110" s="18"/>
    </row>
    <row r="111" spans="1:16" ht="54" customHeight="1">
      <c r="A111" s="13" t="str">
        <f>IF(SMALL($P$63:$P$75,10)=9999,"",INDEX('Marketing &amp; Communications'!$A:$A,SMALL($P$63:$P$75,10)))</f>
        <v/>
      </c>
      <c r="B111" s="14" t="str">
        <f>IF(A111="","",INDEX('Marketing &amp; Communications'!$B:$B,SMALL($P$63:$P$75,10)))</f>
        <v/>
      </c>
      <c r="C111" s="14" t="str">
        <f>IF(A111="","",INDEX('Marketing &amp; Communications'!$E:$E,SMALL($P$63:$P$75,10)))</f>
        <v/>
      </c>
      <c r="D111" s="14" t="str">
        <f>IF(A111="","",'Start Here'!$E$5)</f>
        <v/>
      </c>
      <c r="E111" s="14" t="str">
        <f>IF(A111="","",INDEX('Marketing &amp; Communications'!$G:$G,SMALL($P$63:$P$75,10)))</f>
        <v/>
      </c>
      <c r="F111" s="15" t="str">
        <f t="shared" si="4"/>
        <v/>
      </c>
      <c r="G111" s="16"/>
      <c r="H111" s="17"/>
      <c r="I111" s="17"/>
      <c r="J111" s="18"/>
    </row>
    <row r="112" spans="1:16" ht="54" customHeight="1">
      <c r="A112" s="13" t="str">
        <f>IF(SMALL($P$63:$P$75,11)=9999,"",INDEX('Marketing &amp; Communications'!$A:$A,SMALL($P$63:$P$75,11)))</f>
        <v/>
      </c>
      <c r="B112" s="14" t="str">
        <f>IF(A112="","",INDEX('Marketing &amp; Communications'!$B:$B,SMALL($P$63:$P$75,11)))</f>
        <v/>
      </c>
      <c r="C112" s="14" t="str">
        <f>IF(A112="","",INDEX('Marketing &amp; Communications'!$E:$E,SMALL($P$63:$P$75,11)))</f>
        <v/>
      </c>
      <c r="D112" s="14" t="str">
        <f>IF(A112="","",'Start Here'!$E$5)</f>
        <v/>
      </c>
      <c r="E112" s="14" t="str">
        <f>IF(A112="","",INDEX('Marketing &amp; Communications'!$G:$G,SMALL($P$63:$P$75,11)))</f>
        <v/>
      </c>
      <c r="F112" s="15" t="str">
        <f t="shared" si="4"/>
        <v/>
      </c>
      <c r="G112" s="16"/>
      <c r="H112" s="17"/>
      <c r="I112" s="17"/>
      <c r="J112" s="18"/>
    </row>
    <row r="113" spans="1:10" ht="54" customHeight="1">
      <c r="A113" s="13" t="str">
        <f>IF(SMALL($P$63:$P$75,12)=9999,"",INDEX('Marketing &amp; Communications'!$A:$A,SMALL($P$63:$P$75,12)))</f>
        <v/>
      </c>
      <c r="B113" s="14" t="str">
        <f>IF(A113="","",INDEX('Marketing &amp; Communications'!$B:$B,SMALL($P$63:$P$75,12)))</f>
        <v/>
      </c>
      <c r="C113" s="14" t="str">
        <f>IF(A113="","",INDEX('Marketing &amp; Communications'!$E:$E,SMALL($P$63:$P$75,12)))</f>
        <v/>
      </c>
      <c r="D113" s="14" t="str">
        <f>IF(A113="","",'Start Here'!$E$5)</f>
        <v/>
      </c>
      <c r="E113" s="14" t="str">
        <f>IF(A113="","",INDEX('Marketing &amp; Communications'!$G:$G,SMALL($P$63:$P$75,12)))</f>
        <v/>
      </c>
      <c r="F113" s="15" t="str">
        <f t="shared" si="4"/>
        <v/>
      </c>
      <c r="G113" s="16"/>
      <c r="H113" s="17"/>
      <c r="I113" s="17"/>
      <c r="J113" s="18"/>
    </row>
    <row r="114" spans="1:10" ht="54" customHeight="1">
      <c r="A114" s="13" t="str">
        <f>IF(SMALL($P$63:$P$75,13)=9999,"",INDEX('Marketing &amp; Communications'!$A:$A,SMALL($P$63:$P$75,13)))</f>
        <v/>
      </c>
      <c r="B114" s="14" t="str">
        <f>IF(A114="","",INDEX('Marketing &amp; Communications'!$B:$B,SMALL($P$63:$P$75,13)))</f>
        <v/>
      </c>
      <c r="C114" s="14" t="str">
        <f>IF(A114="","",INDEX('Marketing &amp; Communications'!$E:$E,SMALL($P$63:$P$75,13)))</f>
        <v/>
      </c>
      <c r="D114" s="14" t="str">
        <f>IF(A114="","",'Start Here'!$E$5)</f>
        <v/>
      </c>
      <c r="E114" s="14" t="str">
        <f>IF(A114="","",INDEX('Marketing &amp; Communications'!$G:$G,SMALL($P$63:$P$75,13)))</f>
        <v/>
      </c>
      <c r="F114" s="15" t="str">
        <f t="shared" si="4"/>
        <v/>
      </c>
      <c r="G114" s="16"/>
      <c r="H114" s="17"/>
      <c r="I114" s="17"/>
      <c r="J114" s="18"/>
    </row>
    <row r="117" spans="1:10" ht="15.75">
      <c r="A117" s="267" t="s">
        <v>462</v>
      </c>
      <c r="B117" s="267"/>
      <c r="C117" s="267"/>
      <c r="D117" s="267"/>
      <c r="E117" s="267"/>
      <c r="F117" s="267"/>
      <c r="G117" s="267"/>
      <c r="H117" s="267"/>
      <c r="I117" s="267"/>
      <c r="J117" s="267"/>
    </row>
    <row r="118" spans="1:10">
      <c r="A118" s="1" t="s">
        <v>122</v>
      </c>
      <c r="B118" s="2"/>
      <c r="C118" s="2" t="s">
        <v>96</v>
      </c>
      <c r="D118" s="2"/>
      <c r="E118" s="2" t="s">
        <v>99</v>
      </c>
      <c r="F118" s="2"/>
      <c r="G118" s="2" t="s">
        <v>444</v>
      </c>
      <c r="H118" s="2"/>
      <c r="I118" s="2"/>
      <c r="J118" s="3"/>
    </row>
    <row r="119" spans="1:10" ht="28.5">
      <c r="A119" s="19" t="str">
        <f>Dashboard!B18</f>
        <v/>
      </c>
      <c r="B119" s="14"/>
      <c r="C119" s="14" t="str">
        <f>Dashboard!C18</f>
        <v>Not assessed</v>
      </c>
      <c r="D119" s="14"/>
      <c r="E119" s="14">
        <f>Dashboard!F18</f>
        <v>0</v>
      </c>
      <c r="F119" s="14"/>
      <c r="G119" s="272" t="s">
        <v>463</v>
      </c>
      <c r="H119" s="272"/>
      <c r="I119" s="272"/>
      <c r="J119" s="273"/>
    </row>
    <row r="121" spans="1:10">
      <c r="A121" s="1" t="s">
        <v>446</v>
      </c>
      <c r="B121" s="2" t="s">
        <v>425</v>
      </c>
      <c r="C121" s="2" t="s">
        <v>447</v>
      </c>
      <c r="D121" s="2" t="s">
        <v>448</v>
      </c>
      <c r="E121" s="2" t="s">
        <v>449</v>
      </c>
      <c r="F121" s="2" t="s">
        <v>450</v>
      </c>
      <c r="G121" s="2" t="s">
        <v>451</v>
      </c>
      <c r="H121" s="2" t="s">
        <v>452</v>
      </c>
      <c r="I121" s="2" t="s">
        <v>55</v>
      </c>
      <c r="J121" s="3" t="s">
        <v>453</v>
      </c>
    </row>
    <row r="122" spans="1:10" ht="54" customHeight="1">
      <c r="A122" s="13" t="str">
        <f>IF(SMALL($P$77:$P$87,1)=9999,"",INDEX('NOC Services'!$A:$A,SMALL($P$77:$P$87,1)))</f>
        <v/>
      </c>
      <c r="B122" s="14" t="str">
        <f>IF(A122="","",INDEX('NOC Services'!$B:$B,SMALL($P$77:$P$87,1)))</f>
        <v/>
      </c>
      <c r="C122" s="14" t="str">
        <f>IF(A122="","",INDEX('NOC Services'!$E:$E,SMALL($P$77:$P$87,1)))</f>
        <v/>
      </c>
      <c r="D122" s="14" t="str">
        <f>IF(A122="","",'Start Here'!$E$5)</f>
        <v/>
      </c>
      <c r="E122" s="14" t="str">
        <f>IF(A122="","",INDEX('NOC Services'!$G:$G,SMALL($P$77:$P$87,1)))</f>
        <v/>
      </c>
      <c r="F122" s="15" t="str">
        <f t="shared" ref="F122:F132" si="5">IF(A122="","",IF(D122-C122&gt;=2,"High","Medium"))</f>
        <v/>
      </c>
      <c r="G122" s="16"/>
      <c r="H122" s="17"/>
      <c r="I122" s="17"/>
      <c r="J122" s="18"/>
    </row>
    <row r="123" spans="1:10" ht="54" customHeight="1">
      <c r="A123" s="13" t="str">
        <f>IF(SMALL($P$77:$P$87,2)=9999,"",INDEX('NOC Services'!$A:$A,SMALL($P$77:$P$87,2)))</f>
        <v/>
      </c>
      <c r="B123" s="14" t="str">
        <f>IF(A123="","",INDEX('NOC Services'!$B:$B,SMALL($P$77:$P$87,2)))</f>
        <v/>
      </c>
      <c r="C123" s="14" t="str">
        <f>IF(A123="","",INDEX('NOC Services'!$E:$E,SMALL($P$77:$P$87,2)))</f>
        <v/>
      </c>
      <c r="D123" s="14" t="str">
        <f>IF(A123="","",'Start Here'!$E$5)</f>
        <v/>
      </c>
      <c r="E123" s="14" t="str">
        <f>IF(A123="","",INDEX('NOC Services'!$G:$G,SMALL($P$77:$P$87,2)))</f>
        <v/>
      </c>
      <c r="F123" s="15" t="str">
        <f t="shared" si="5"/>
        <v/>
      </c>
      <c r="G123" s="16"/>
      <c r="H123" s="17"/>
      <c r="I123" s="17"/>
      <c r="J123" s="18"/>
    </row>
    <row r="124" spans="1:10" ht="54" customHeight="1">
      <c r="A124" s="13" t="str">
        <f>IF(SMALL($P$77:$P$87,3)=9999,"",INDEX('NOC Services'!$A:$A,SMALL($P$77:$P$87,3)))</f>
        <v/>
      </c>
      <c r="B124" s="14" t="str">
        <f>IF(A124="","",INDEX('NOC Services'!$B:$B,SMALL($P$77:$P$87,3)))</f>
        <v/>
      </c>
      <c r="C124" s="14" t="str">
        <f>IF(A124="","",INDEX('NOC Services'!$E:$E,SMALL($P$77:$P$87,3)))</f>
        <v/>
      </c>
      <c r="D124" s="14" t="str">
        <f>IF(A124="","",'Start Here'!$E$5)</f>
        <v/>
      </c>
      <c r="E124" s="14" t="str">
        <f>IF(A124="","",INDEX('NOC Services'!$G:$G,SMALL($P$77:$P$87,3)))</f>
        <v/>
      </c>
      <c r="F124" s="15" t="str">
        <f t="shared" si="5"/>
        <v/>
      </c>
      <c r="G124" s="16"/>
      <c r="H124" s="17"/>
      <c r="I124" s="17"/>
      <c r="J124" s="18"/>
    </row>
    <row r="125" spans="1:10" ht="54" customHeight="1">
      <c r="A125" s="13" t="str">
        <f>IF(SMALL($P$77:$P$87,4)=9999,"",INDEX('NOC Services'!$A:$A,SMALL($P$77:$P$87,4)))</f>
        <v/>
      </c>
      <c r="B125" s="14" t="str">
        <f>IF(A125="","",INDEX('NOC Services'!$B:$B,SMALL($P$77:$P$87,4)))</f>
        <v/>
      </c>
      <c r="C125" s="14" t="str">
        <f>IF(A125="","",INDEX('NOC Services'!$E:$E,SMALL($P$77:$P$87,4)))</f>
        <v/>
      </c>
      <c r="D125" s="14" t="str">
        <f>IF(A125="","",'Start Here'!$E$5)</f>
        <v/>
      </c>
      <c r="E125" s="14" t="str">
        <f>IF(A125="","",INDEX('NOC Services'!$G:$G,SMALL($P$77:$P$87,4)))</f>
        <v/>
      </c>
      <c r="F125" s="15" t="str">
        <f t="shared" si="5"/>
        <v/>
      </c>
      <c r="G125" s="16"/>
      <c r="H125" s="17"/>
      <c r="I125" s="17"/>
      <c r="J125" s="18"/>
    </row>
    <row r="126" spans="1:10" ht="54" customHeight="1">
      <c r="A126" s="13" t="str">
        <f>IF(SMALL($P$77:$P$87,5)=9999,"",INDEX('NOC Services'!$A:$A,SMALL($P$77:$P$87,5)))</f>
        <v/>
      </c>
      <c r="B126" s="14" t="str">
        <f>IF(A126="","",INDEX('NOC Services'!$B:$B,SMALL($P$77:$P$87,5)))</f>
        <v/>
      </c>
      <c r="C126" s="14" t="str">
        <f>IF(A126="","",INDEX('NOC Services'!$E:$E,SMALL($P$77:$P$87,5)))</f>
        <v/>
      </c>
      <c r="D126" s="14" t="str">
        <f>IF(A126="","",'Start Here'!$E$5)</f>
        <v/>
      </c>
      <c r="E126" s="14" t="str">
        <f>IF(A126="","",INDEX('NOC Services'!$G:$G,SMALL($P$77:$P$87,5)))</f>
        <v/>
      </c>
      <c r="F126" s="15" t="str">
        <f t="shared" si="5"/>
        <v/>
      </c>
      <c r="G126" s="16"/>
      <c r="H126" s="17"/>
      <c r="I126" s="17"/>
      <c r="J126" s="18"/>
    </row>
    <row r="127" spans="1:10" ht="54" customHeight="1">
      <c r="A127" s="13" t="str">
        <f>IF(SMALL($P$77:$P$87,6)=9999,"",INDEX('NOC Services'!$A:$A,SMALL($P$77:$P$87,6)))</f>
        <v/>
      </c>
      <c r="B127" s="14" t="str">
        <f>IF(A127="","",INDEX('NOC Services'!$B:$B,SMALL($P$77:$P$87,6)))</f>
        <v/>
      </c>
      <c r="C127" s="14" t="str">
        <f>IF(A127="","",INDEX('NOC Services'!$E:$E,SMALL($P$77:$P$87,6)))</f>
        <v/>
      </c>
      <c r="D127" s="14" t="str">
        <f>IF(A127="","",'Start Here'!$E$5)</f>
        <v/>
      </c>
      <c r="E127" s="14" t="str">
        <f>IF(A127="","",INDEX('NOC Services'!$G:$G,SMALL($P$77:$P$87,6)))</f>
        <v/>
      </c>
      <c r="F127" s="15" t="str">
        <f t="shared" si="5"/>
        <v/>
      </c>
      <c r="G127" s="16"/>
      <c r="H127" s="17"/>
      <c r="I127" s="17"/>
      <c r="J127" s="18"/>
    </row>
    <row r="128" spans="1:10" ht="54" customHeight="1">
      <c r="A128" s="13" t="str">
        <f>IF(SMALL($P$77:$P$87,7)=9999,"",INDEX('NOC Services'!$A:$A,SMALL($P$77:$P$87,7)))</f>
        <v/>
      </c>
      <c r="B128" s="14" t="str">
        <f>IF(A128="","",INDEX('NOC Services'!$B:$B,SMALL($P$77:$P$87,7)))</f>
        <v/>
      </c>
      <c r="C128" s="14" t="str">
        <f>IF(A128="","",INDEX('NOC Services'!$E:$E,SMALL($P$77:$P$87,7)))</f>
        <v/>
      </c>
      <c r="D128" s="14" t="str">
        <f>IF(A128="","",'Start Here'!$E$5)</f>
        <v/>
      </c>
      <c r="E128" s="14" t="str">
        <f>IF(A128="","",INDEX('NOC Services'!$G:$G,SMALL($P$77:$P$87,7)))</f>
        <v/>
      </c>
      <c r="F128" s="15" t="str">
        <f t="shared" si="5"/>
        <v/>
      </c>
      <c r="G128" s="16"/>
      <c r="H128" s="17"/>
      <c r="I128" s="17"/>
      <c r="J128" s="18"/>
    </row>
    <row r="129" spans="1:10" ht="54" customHeight="1">
      <c r="A129" s="13" t="str">
        <f>IF(SMALL($P$77:$P$87,8)=9999,"",INDEX('NOC Services'!$A:$A,SMALL($P$77:$P$87,8)))</f>
        <v/>
      </c>
      <c r="B129" s="14" t="str">
        <f>IF(A129="","",INDEX('NOC Services'!$B:$B,SMALL($P$77:$P$87,8)))</f>
        <v/>
      </c>
      <c r="C129" s="14" t="str">
        <f>IF(A129="","",INDEX('NOC Services'!$E:$E,SMALL($P$77:$P$87,8)))</f>
        <v/>
      </c>
      <c r="D129" s="14" t="str">
        <f>IF(A129="","",'Start Here'!$E$5)</f>
        <v/>
      </c>
      <c r="E129" s="14" t="str">
        <f>IF(A129="","",INDEX('NOC Services'!$G:$G,SMALL($P$77:$P$87,8)))</f>
        <v/>
      </c>
      <c r="F129" s="15" t="str">
        <f t="shared" si="5"/>
        <v/>
      </c>
      <c r="G129" s="16"/>
      <c r="H129" s="17"/>
      <c r="I129" s="17"/>
      <c r="J129" s="18"/>
    </row>
    <row r="130" spans="1:10" ht="54" customHeight="1">
      <c r="A130" s="13" t="str">
        <f>IF(SMALL($P$77:$P$87,9)=9999,"",INDEX('NOC Services'!$A:$A,SMALL($P$77:$P$87,9)))</f>
        <v/>
      </c>
      <c r="B130" s="14" t="str">
        <f>IF(A130="","",INDEX('NOC Services'!$B:$B,SMALL($P$77:$P$87,9)))</f>
        <v/>
      </c>
      <c r="C130" s="14" t="str">
        <f>IF(A130="","",INDEX('NOC Services'!$E:$E,SMALL($P$77:$P$87,9)))</f>
        <v/>
      </c>
      <c r="D130" s="14" t="str">
        <f>IF(A130="","",'Start Here'!$E$5)</f>
        <v/>
      </c>
      <c r="E130" s="14" t="str">
        <f>IF(A130="","",INDEX('NOC Services'!$G:$G,SMALL($P$77:$P$87,9)))</f>
        <v/>
      </c>
      <c r="F130" s="15" t="str">
        <f t="shared" si="5"/>
        <v/>
      </c>
      <c r="G130" s="16"/>
      <c r="H130" s="17"/>
      <c r="I130" s="17"/>
      <c r="J130" s="18"/>
    </row>
    <row r="131" spans="1:10" ht="54" customHeight="1">
      <c r="A131" s="13" t="str">
        <f>IF(SMALL($P$77:$P$87,10)=9999,"",INDEX('NOC Services'!$A:$A,SMALL($P$77:$P$87,10)))</f>
        <v/>
      </c>
      <c r="B131" s="14" t="str">
        <f>IF(A131="","",INDEX('NOC Services'!$B:$B,SMALL($P$77:$P$87,10)))</f>
        <v/>
      </c>
      <c r="C131" s="14" t="str">
        <f>IF(A131="","",INDEX('NOC Services'!$E:$E,SMALL($P$77:$P$87,10)))</f>
        <v/>
      </c>
      <c r="D131" s="14" t="str">
        <f>IF(A131="","",'Start Here'!$E$5)</f>
        <v/>
      </c>
      <c r="E131" s="14" t="str">
        <f>IF(A131="","",INDEX('NOC Services'!$G:$G,SMALL($P$77:$P$87,10)))</f>
        <v/>
      </c>
      <c r="F131" s="15" t="str">
        <f t="shared" si="5"/>
        <v/>
      </c>
      <c r="G131" s="16"/>
      <c r="H131" s="17"/>
      <c r="I131" s="17"/>
      <c r="J131" s="18"/>
    </row>
    <row r="132" spans="1:10" ht="54" customHeight="1">
      <c r="A132" s="13" t="str">
        <f>IF(SMALL($P$77:$P$87,11)=9999,"",INDEX('NOC Services'!$A:$A,SMALL($P$77:$P$87,11)))</f>
        <v/>
      </c>
      <c r="B132" s="14" t="str">
        <f>IF(A132="","",INDEX('NOC Services'!$B:$B,SMALL($P$77:$P$87,11)))</f>
        <v/>
      </c>
      <c r="C132" s="14" t="str">
        <f>IF(A132="","",INDEX('NOC Services'!$E:$E,SMALL($P$77:$P$87,11)))</f>
        <v/>
      </c>
      <c r="D132" s="14" t="str">
        <f>IF(A132="","",'Start Here'!$E$5)</f>
        <v/>
      </c>
      <c r="E132" s="14" t="str">
        <f>IF(A132="","",INDEX('NOC Services'!$G:$G,SMALL($P$77:$P$87,11)))</f>
        <v/>
      </c>
      <c r="F132" s="15" t="str">
        <f t="shared" si="5"/>
        <v/>
      </c>
      <c r="G132" s="16"/>
      <c r="H132" s="17"/>
      <c r="I132" s="17"/>
      <c r="J132" s="18"/>
    </row>
    <row r="135" spans="1:10" ht="15.75">
      <c r="A135" s="267" t="s">
        <v>464</v>
      </c>
      <c r="B135" s="267"/>
      <c r="C135" s="267"/>
      <c r="D135" s="267"/>
      <c r="E135" s="267"/>
      <c r="F135" s="267"/>
      <c r="G135" s="267"/>
      <c r="H135" s="267"/>
      <c r="I135" s="267"/>
      <c r="J135" s="267"/>
    </row>
    <row r="136" spans="1:10">
      <c r="A136" s="1" t="s">
        <v>122</v>
      </c>
      <c r="B136" s="2"/>
      <c r="C136" s="2" t="s">
        <v>96</v>
      </c>
      <c r="D136" s="2"/>
      <c r="E136" s="2" t="s">
        <v>99</v>
      </c>
      <c r="F136" s="2"/>
      <c r="G136" s="2" t="s">
        <v>444</v>
      </c>
      <c r="H136" s="2"/>
      <c r="I136" s="2"/>
      <c r="J136" s="3"/>
    </row>
    <row r="137" spans="1:10" ht="28.5">
      <c r="A137" s="19" t="str">
        <f>Dashboard!B19</f>
        <v/>
      </c>
      <c r="B137" s="14"/>
      <c r="C137" s="14" t="str">
        <f>Dashboard!C19</f>
        <v>Not assessed</v>
      </c>
      <c r="D137" s="14"/>
      <c r="E137" s="14">
        <f>Dashboard!F19</f>
        <v>0</v>
      </c>
      <c r="F137" s="14"/>
      <c r="G137" s="272" t="s">
        <v>465</v>
      </c>
      <c r="H137" s="272"/>
      <c r="I137" s="272"/>
      <c r="J137" s="273"/>
    </row>
    <row r="139" spans="1:10">
      <c r="A139" s="1" t="s">
        <v>446</v>
      </c>
      <c r="B139" s="2" t="s">
        <v>425</v>
      </c>
      <c r="C139" s="2" t="s">
        <v>447</v>
      </c>
      <c r="D139" s="2" t="s">
        <v>448</v>
      </c>
      <c r="E139" s="2" t="s">
        <v>449</v>
      </c>
      <c r="F139" s="2" t="s">
        <v>450</v>
      </c>
      <c r="G139" s="2" t="s">
        <v>451</v>
      </c>
      <c r="H139" s="2" t="s">
        <v>452</v>
      </c>
      <c r="I139" s="2" t="s">
        <v>55</v>
      </c>
      <c r="J139" s="3" t="s">
        <v>453</v>
      </c>
    </row>
    <row r="140" spans="1:10" ht="54" customHeight="1">
      <c r="A140" s="13" t="str">
        <f>IF(SMALL($P$89:$P$96,1)=9999,"",INDEX('External Relations'!$A:$A,SMALL($P$89:$P$96,1)))</f>
        <v/>
      </c>
      <c r="B140" s="14" t="str">
        <f>IF(A140="","",INDEX('External Relations'!$B:$B,SMALL($P$89:$P$96,1)))</f>
        <v/>
      </c>
      <c r="C140" s="14" t="str">
        <f>IF(A140="","",INDEX('External Relations'!$E:$E,SMALL($P$89:$P$96,1)))</f>
        <v/>
      </c>
      <c r="D140" s="14" t="str">
        <f>IF(A140="","",'Start Here'!$E$5)</f>
        <v/>
      </c>
      <c r="E140" s="14" t="str">
        <f>IF(A140="","",INDEX('External Relations'!$G:$G,SMALL($P$89:$P$96,1)))</f>
        <v/>
      </c>
      <c r="F140" s="15" t="str">
        <f t="shared" ref="F140:F147" si="6">IF(A140="","",IF(D140-C140&gt;=2,"High","Medium"))</f>
        <v/>
      </c>
      <c r="G140" s="16"/>
      <c r="H140" s="17"/>
      <c r="I140" s="17"/>
      <c r="J140" s="18"/>
    </row>
    <row r="141" spans="1:10" ht="54" customHeight="1">
      <c r="A141" s="13" t="str">
        <f>IF(SMALL($P$89:$P$96,2)=9999,"",INDEX('External Relations'!$A:$A,SMALL($P$89:$P$96,2)))</f>
        <v/>
      </c>
      <c r="B141" s="14" t="str">
        <f>IF(A141="","",INDEX('External Relations'!$B:$B,SMALL($P$89:$P$96,2)))</f>
        <v/>
      </c>
      <c r="C141" s="14" t="str">
        <f>IF(A141="","",INDEX('External Relations'!$E:$E,SMALL($P$89:$P$96,2)))</f>
        <v/>
      </c>
      <c r="D141" s="14" t="str">
        <f>IF(A141="","",'Start Here'!$E$5)</f>
        <v/>
      </c>
      <c r="E141" s="14" t="str">
        <f>IF(A141="","",INDEX('External Relations'!$G:$G,SMALL($P$89:$P$96,2)))</f>
        <v/>
      </c>
      <c r="F141" s="15" t="str">
        <f t="shared" si="6"/>
        <v/>
      </c>
      <c r="G141" s="16"/>
      <c r="H141" s="17"/>
      <c r="I141" s="17"/>
      <c r="J141" s="18"/>
    </row>
    <row r="142" spans="1:10" ht="54" customHeight="1">
      <c r="A142" s="13" t="str">
        <f>IF(SMALL($P$89:$P$96,3)=9999,"",INDEX('External Relations'!$A:$A,SMALL($P$89:$P$96,3)))</f>
        <v/>
      </c>
      <c r="B142" s="14" t="str">
        <f>IF(A142="","",INDEX('External Relations'!$B:$B,SMALL($P$89:$P$96,3)))</f>
        <v/>
      </c>
      <c r="C142" s="14" t="str">
        <f>IF(A142="","",INDEX('External Relations'!$E:$E,SMALL($P$89:$P$96,3)))</f>
        <v/>
      </c>
      <c r="D142" s="14" t="str">
        <f>IF(A142="","",'Start Here'!$E$5)</f>
        <v/>
      </c>
      <c r="E142" s="14" t="str">
        <f>IF(A142="","",INDEX('External Relations'!$G:$G,SMALL($P$89:$P$96,3)))</f>
        <v/>
      </c>
      <c r="F142" s="15" t="str">
        <f t="shared" si="6"/>
        <v/>
      </c>
      <c r="G142" s="16"/>
      <c r="H142" s="17"/>
      <c r="I142" s="17"/>
      <c r="J142" s="18"/>
    </row>
    <row r="143" spans="1:10" ht="54" customHeight="1">
      <c r="A143" s="13" t="str">
        <f>IF(SMALL($P$89:$P$96,4)=9999,"",INDEX('External Relations'!$A:$A,SMALL($P$89:$P$96,4)))</f>
        <v/>
      </c>
      <c r="B143" s="14" t="str">
        <f>IF(A143="","",INDEX('External Relations'!$B:$B,SMALL($P$89:$P$96,4)))</f>
        <v/>
      </c>
      <c r="C143" s="14" t="str">
        <f>IF(A143="","",INDEX('External Relations'!$E:$E,SMALL($P$89:$P$96,4)))</f>
        <v/>
      </c>
      <c r="D143" s="14" t="str">
        <f>IF(A143="","",'Start Here'!$E$5)</f>
        <v/>
      </c>
      <c r="E143" s="14" t="str">
        <f>IF(A143="","",INDEX('External Relations'!$G:$G,SMALL($P$89:$P$96,4)))</f>
        <v/>
      </c>
      <c r="F143" s="15" t="str">
        <f t="shared" si="6"/>
        <v/>
      </c>
      <c r="G143" s="16"/>
      <c r="H143" s="17"/>
      <c r="I143" s="17"/>
      <c r="J143" s="18"/>
    </row>
    <row r="144" spans="1:10" ht="54" customHeight="1">
      <c r="A144" s="13" t="str">
        <f>IF(SMALL($P$89:$P$96,5)=9999,"",INDEX('External Relations'!$A:$A,SMALL($P$89:$P$96,5)))</f>
        <v/>
      </c>
      <c r="B144" s="14" t="str">
        <f>IF(A144="","",INDEX('External Relations'!$B:$B,SMALL($P$89:$P$96,5)))</f>
        <v/>
      </c>
      <c r="C144" s="14" t="str">
        <f>IF(A144="","",INDEX('External Relations'!$E:$E,SMALL($P$89:$P$96,5)))</f>
        <v/>
      </c>
      <c r="D144" s="14" t="str">
        <f>IF(A144="","",'Start Here'!$E$5)</f>
        <v/>
      </c>
      <c r="E144" s="14" t="str">
        <f>IF(A144="","",INDEX('External Relations'!$G:$G,SMALL($P$89:$P$96,5)))</f>
        <v/>
      </c>
      <c r="F144" s="15" t="str">
        <f t="shared" si="6"/>
        <v/>
      </c>
      <c r="G144" s="16"/>
      <c r="H144" s="17"/>
      <c r="I144" s="17"/>
      <c r="J144" s="18"/>
    </row>
    <row r="145" spans="1:10" ht="54" customHeight="1">
      <c r="A145" s="13" t="str">
        <f>IF(SMALL($P$89:$P$96,6)=9999,"",INDEX('External Relations'!$A:$A,SMALL($P$89:$P$96,6)))</f>
        <v/>
      </c>
      <c r="B145" s="14" t="str">
        <f>IF(A145="","",INDEX('External Relations'!$B:$B,SMALL($P$89:$P$96,6)))</f>
        <v/>
      </c>
      <c r="C145" s="14" t="str">
        <f>IF(A145="","",INDEX('External Relations'!$E:$E,SMALL($P$89:$P$96,6)))</f>
        <v/>
      </c>
      <c r="D145" s="14" t="str">
        <f>IF(A145="","",'Start Here'!$E$5)</f>
        <v/>
      </c>
      <c r="E145" s="14" t="str">
        <f>IF(A145="","",INDEX('External Relations'!$G:$G,SMALL($P$89:$P$96,6)))</f>
        <v/>
      </c>
      <c r="F145" s="15" t="str">
        <f t="shared" si="6"/>
        <v/>
      </c>
      <c r="G145" s="16"/>
      <c r="H145" s="17"/>
      <c r="I145" s="17"/>
      <c r="J145" s="18"/>
    </row>
    <row r="146" spans="1:10" ht="54" customHeight="1">
      <c r="A146" s="13" t="str">
        <f>IF(SMALL($P$89:$P$96,7)=9999,"",INDEX('External Relations'!$A:$A,SMALL($P$89:$P$96,7)))</f>
        <v/>
      </c>
      <c r="B146" s="14" t="str">
        <f>IF(A146="","",INDEX('External Relations'!$B:$B,SMALL($P$89:$P$96,7)))</f>
        <v/>
      </c>
      <c r="C146" s="14" t="str">
        <f>IF(A146="","",INDEX('External Relations'!$E:$E,SMALL($P$89:$P$96,7)))</f>
        <v/>
      </c>
      <c r="D146" s="14" t="str">
        <f>IF(A146="","",'Start Here'!$E$5)</f>
        <v/>
      </c>
      <c r="E146" s="14" t="str">
        <f>IF(A146="","",INDEX('External Relations'!$G:$G,SMALL($P$89:$P$96,7)))</f>
        <v/>
      </c>
      <c r="F146" s="15" t="str">
        <f t="shared" si="6"/>
        <v/>
      </c>
      <c r="G146" s="16"/>
      <c r="H146" s="17"/>
      <c r="I146" s="17"/>
      <c r="J146" s="18"/>
    </row>
    <row r="147" spans="1:10" ht="54" customHeight="1">
      <c r="A147" s="13" t="str">
        <f>IF(SMALL($P$89:$P$96,8)=9999,"",INDEX('External Relations'!$A:$A,SMALL($P$89:$P$96,8)))</f>
        <v/>
      </c>
      <c r="B147" s="14" t="str">
        <f>IF(A147="","",INDEX('External Relations'!$B:$B,SMALL($P$89:$P$96,8)))</f>
        <v/>
      </c>
      <c r="C147" s="14" t="str">
        <f>IF(A147="","",INDEX('External Relations'!$E:$E,SMALL($P$89:$P$96,8)))</f>
        <v/>
      </c>
      <c r="D147" s="14" t="str">
        <f>IF(A147="","",'Start Here'!$E$5)</f>
        <v/>
      </c>
      <c r="E147" s="14" t="str">
        <f>IF(A147="","",INDEX('External Relations'!$G:$G,SMALL($P$89:$P$96,8)))</f>
        <v/>
      </c>
      <c r="F147" s="15" t="str">
        <f t="shared" si="6"/>
        <v/>
      </c>
      <c r="G147" s="16"/>
      <c r="H147" s="17"/>
      <c r="I147" s="17"/>
      <c r="J147" s="18"/>
    </row>
    <row r="150" spans="1:10" ht="15.75">
      <c r="A150" s="267" t="s">
        <v>466</v>
      </c>
      <c r="B150" s="267"/>
      <c r="C150" s="267"/>
      <c r="D150" s="267"/>
      <c r="E150" s="267"/>
      <c r="F150" s="267"/>
      <c r="G150" s="267"/>
      <c r="H150" s="267"/>
      <c r="I150" s="267"/>
      <c r="J150" s="267"/>
    </row>
    <row r="151" spans="1:10">
      <c r="A151" s="1" t="s">
        <v>122</v>
      </c>
      <c r="B151" s="2"/>
      <c r="C151" s="2" t="s">
        <v>96</v>
      </c>
      <c r="D151" s="2"/>
      <c r="E151" s="2" t="s">
        <v>99</v>
      </c>
      <c r="F151" s="2"/>
      <c r="G151" s="2" t="s">
        <v>444</v>
      </c>
      <c r="H151" s="2"/>
      <c r="I151" s="2"/>
      <c r="J151" s="3"/>
    </row>
    <row r="152" spans="1:10" ht="28.5">
      <c r="A152" s="19" t="str">
        <f>Dashboard!B20</f>
        <v/>
      </c>
      <c r="B152" s="14"/>
      <c r="C152" s="14" t="str">
        <f>Dashboard!C20</f>
        <v>Not assessed</v>
      </c>
      <c r="D152" s="14"/>
      <c r="E152" s="14">
        <f>Dashboard!F20</f>
        <v>0</v>
      </c>
      <c r="F152" s="14"/>
      <c r="G152" s="272" t="s">
        <v>467</v>
      </c>
      <c r="H152" s="272"/>
      <c r="I152" s="272"/>
      <c r="J152" s="273"/>
    </row>
    <row r="154" spans="1:10">
      <c r="A154" s="1" t="s">
        <v>446</v>
      </c>
      <c r="B154" s="2" t="s">
        <v>425</v>
      </c>
      <c r="C154" s="2" t="s">
        <v>447</v>
      </c>
      <c r="D154" s="2" t="s">
        <v>448</v>
      </c>
      <c r="E154" s="2" t="s">
        <v>449</v>
      </c>
      <c r="F154" s="2" t="s">
        <v>450</v>
      </c>
      <c r="G154" s="2" t="s">
        <v>451</v>
      </c>
      <c r="H154" s="2" t="s">
        <v>452</v>
      </c>
      <c r="I154" s="2" t="s">
        <v>55</v>
      </c>
      <c r="J154" s="3" t="s">
        <v>453</v>
      </c>
    </row>
    <row r="155" spans="1:10" ht="54" customHeight="1">
      <c r="A155" s="13" t="str">
        <f>IF(SMALL($P$98:$P$106,1)=9999,"",INDEX('Sporting Environment'!$A:$A,SMALL($P$98:$P$106,1)))</f>
        <v/>
      </c>
      <c r="B155" s="14" t="str">
        <f>IF(A155="","",INDEX('Sporting Environment'!$B:$B,SMALL($P$98:$P$106,1)))</f>
        <v/>
      </c>
      <c r="C155" s="14" t="str">
        <f>IF(A155="","",INDEX('Sporting Environment'!$E:$E,SMALL($P$98:$P$106,1)))</f>
        <v/>
      </c>
      <c r="D155" s="14" t="str">
        <f>IF(A155="","",'Start Here'!$E$5)</f>
        <v/>
      </c>
      <c r="E155" s="14" t="str">
        <f>IF(A155="","",INDEX('Sporting Environment'!$G:$G,SMALL($P$98:$P$106,1)))</f>
        <v/>
      </c>
      <c r="F155" s="15" t="str">
        <f t="shared" ref="F155:F163" si="7">IF(A155="","",IF(D155-C155&gt;=2,"High","Medium"))</f>
        <v/>
      </c>
      <c r="G155" s="16"/>
      <c r="H155" s="17"/>
      <c r="I155" s="17"/>
      <c r="J155" s="18"/>
    </row>
    <row r="156" spans="1:10" ht="54" customHeight="1">
      <c r="A156" s="13" t="str">
        <f>IF(SMALL($P$98:$P$106,2)=9999,"",INDEX('Sporting Environment'!$A:$A,SMALL($P$98:$P$106,2)))</f>
        <v/>
      </c>
      <c r="B156" s="14" t="str">
        <f>IF(A156="","",INDEX('Sporting Environment'!$B:$B,SMALL($P$98:$P$106,2)))</f>
        <v/>
      </c>
      <c r="C156" s="14" t="str">
        <f>IF(A156="","",INDEX('Sporting Environment'!$E:$E,SMALL($P$98:$P$106,2)))</f>
        <v/>
      </c>
      <c r="D156" s="14" t="str">
        <f>IF(A156="","",'Start Here'!$E$5)</f>
        <v/>
      </c>
      <c r="E156" s="14" t="str">
        <f>IF(A156="","",INDEX('Sporting Environment'!$G:$G,SMALL($P$98:$P$106,2)))</f>
        <v/>
      </c>
      <c r="F156" s="15" t="str">
        <f t="shared" si="7"/>
        <v/>
      </c>
      <c r="G156" s="16"/>
      <c r="H156" s="17"/>
      <c r="I156" s="17"/>
      <c r="J156" s="18"/>
    </row>
    <row r="157" spans="1:10" ht="54" customHeight="1">
      <c r="A157" s="13" t="str">
        <f>IF(SMALL($P$98:$P$106,3)=9999,"",INDEX('Sporting Environment'!$A:$A,SMALL($P$98:$P$106,3)))</f>
        <v/>
      </c>
      <c r="B157" s="14" t="str">
        <f>IF(A157="","",INDEX('Sporting Environment'!$B:$B,SMALL($P$98:$P$106,3)))</f>
        <v/>
      </c>
      <c r="C157" s="14" t="str">
        <f>IF(A157="","",INDEX('Sporting Environment'!$E:$E,SMALL($P$98:$P$106,3)))</f>
        <v/>
      </c>
      <c r="D157" s="14" t="str">
        <f>IF(A157="","",'Start Here'!$E$5)</f>
        <v/>
      </c>
      <c r="E157" s="14" t="str">
        <f>IF(A157="","",INDEX('Sporting Environment'!$G:$G,SMALL($P$98:$P$106,3)))</f>
        <v/>
      </c>
      <c r="F157" s="15" t="str">
        <f t="shared" si="7"/>
        <v/>
      </c>
      <c r="G157" s="16"/>
      <c r="H157" s="17"/>
      <c r="I157" s="17"/>
      <c r="J157" s="18"/>
    </row>
    <row r="158" spans="1:10" ht="54" customHeight="1">
      <c r="A158" s="13" t="str">
        <f>IF(SMALL($P$98:$P$106,4)=9999,"",INDEX('Sporting Environment'!$A:$A,SMALL($P$98:$P$106,4)))</f>
        <v/>
      </c>
      <c r="B158" s="14" t="str">
        <f>IF(A158="","",INDEX('Sporting Environment'!$B:$B,SMALL($P$98:$P$106,4)))</f>
        <v/>
      </c>
      <c r="C158" s="14" t="str">
        <f>IF(A158="","",INDEX('Sporting Environment'!$E:$E,SMALL($P$98:$P$106,4)))</f>
        <v/>
      </c>
      <c r="D158" s="14" t="str">
        <f>IF(A158="","",'Start Here'!$E$5)</f>
        <v/>
      </c>
      <c r="E158" s="14" t="str">
        <f>IF(A158="","",INDEX('Sporting Environment'!$G:$G,SMALL($P$98:$P$106,4)))</f>
        <v/>
      </c>
      <c r="F158" s="15" t="str">
        <f t="shared" si="7"/>
        <v/>
      </c>
      <c r="G158" s="16"/>
      <c r="H158" s="17"/>
      <c r="I158" s="17"/>
      <c r="J158" s="18"/>
    </row>
    <row r="159" spans="1:10" ht="54" customHeight="1">
      <c r="A159" s="13" t="str">
        <f>IF(SMALL($P$98:$P$106,5)=9999,"",INDEX('Sporting Environment'!$A:$A,SMALL($P$98:$P$106,5)))</f>
        <v/>
      </c>
      <c r="B159" s="14" t="str">
        <f>IF(A159="","",INDEX('Sporting Environment'!$B:$B,SMALL($P$98:$P$106,5)))</f>
        <v/>
      </c>
      <c r="C159" s="14" t="str">
        <f>IF(A159="","",INDEX('Sporting Environment'!$E:$E,SMALL($P$98:$P$106,5)))</f>
        <v/>
      </c>
      <c r="D159" s="14" t="str">
        <f>IF(A159="","",'Start Here'!$E$5)</f>
        <v/>
      </c>
      <c r="E159" s="14" t="str">
        <f>IF(A159="","",INDEX('Sporting Environment'!$G:$G,SMALL($P$98:$P$106,5)))</f>
        <v/>
      </c>
      <c r="F159" s="15" t="str">
        <f t="shared" si="7"/>
        <v/>
      </c>
      <c r="G159" s="16"/>
      <c r="H159" s="17"/>
      <c r="I159" s="17"/>
      <c r="J159" s="18"/>
    </row>
    <row r="160" spans="1:10" ht="54" customHeight="1">
      <c r="A160" s="13" t="str">
        <f>IF(SMALL($P$98:$P$106,6)=9999,"",INDEX('Sporting Environment'!$A:$A,SMALL($P$98:$P$106,6)))</f>
        <v/>
      </c>
      <c r="B160" s="14" t="str">
        <f>IF(A160="","",INDEX('Sporting Environment'!$B:$B,SMALL($P$98:$P$106,6)))</f>
        <v/>
      </c>
      <c r="C160" s="14" t="str">
        <f>IF(A160="","",INDEX('Sporting Environment'!$E:$E,SMALL($P$98:$P$106,6)))</f>
        <v/>
      </c>
      <c r="D160" s="14" t="str">
        <f>IF(A160="","",'Start Here'!$E$5)</f>
        <v/>
      </c>
      <c r="E160" s="14" t="str">
        <f>IF(A160="","",INDEX('Sporting Environment'!$G:$G,SMALL($P$98:$P$106,6)))</f>
        <v/>
      </c>
      <c r="F160" s="15" t="str">
        <f t="shared" si="7"/>
        <v/>
      </c>
      <c r="G160" s="16"/>
      <c r="H160" s="17"/>
      <c r="I160" s="17"/>
      <c r="J160" s="18"/>
    </row>
    <row r="161" spans="1:10" ht="54" customHeight="1">
      <c r="A161" s="13" t="str">
        <f>IF(SMALL($P$98:$P$106,7)=9999,"",INDEX('Sporting Environment'!$A:$A,SMALL($P$98:$P$106,7)))</f>
        <v/>
      </c>
      <c r="B161" s="14" t="str">
        <f>IF(A161="","",INDEX('Sporting Environment'!$B:$B,SMALL($P$98:$P$106,7)))</f>
        <v/>
      </c>
      <c r="C161" s="14" t="str">
        <f>IF(A161="","",INDEX('Sporting Environment'!$E:$E,SMALL($P$98:$P$106,7)))</f>
        <v/>
      </c>
      <c r="D161" s="14" t="str">
        <f>IF(A161="","",'Start Here'!$E$5)</f>
        <v/>
      </c>
      <c r="E161" s="14" t="str">
        <f>IF(A161="","",INDEX('Sporting Environment'!$G:$G,SMALL($P$98:$P$106,7)))</f>
        <v/>
      </c>
      <c r="F161" s="15" t="str">
        <f t="shared" si="7"/>
        <v/>
      </c>
      <c r="G161" s="16"/>
      <c r="H161" s="17"/>
      <c r="I161" s="17"/>
      <c r="J161" s="18"/>
    </row>
    <row r="162" spans="1:10" ht="54" customHeight="1">
      <c r="A162" s="13" t="str">
        <f>IF(SMALL($P$98:$P$106,8)=9999,"",INDEX('Sporting Environment'!$A:$A,SMALL($P$98:$P$106,8)))</f>
        <v/>
      </c>
      <c r="B162" s="14" t="str">
        <f>IF(A162="","",INDEX('Sporting Environment'!$B:$B,SMALL($P$98:$P$106,8)))</f>
        <v/>
      </c>
      <c r="C162" s="14" t="str">
        <f>IF(A162="","",INDEX('Sporting Environment'!$E:$E,SMALL($P$98:$P$106,8)))</f>
        <v/>
      </c>
      <c r="D162" s="14" t="str">
        <f>IF(A162="","",'Start Here'!$E$5)</f>
        <v/>
      </c>
      <c r="E162" s="14" t="str">
        <f>IF(A162="","",INDEX('Sporting Environment'!$G:$G,SMALL($P$98:$P$106,8)))</f>
        <v/>
      </c>
      <c r="F162" s="15" t="str">
        <f t="shared" si="7"/>
        <v/>
      </c>
      <c r="G162" s="16"/>
      <c r="H162" s="17"/>
      <c r="I162" s="17"/>
      <c r="J162" s="18"/>
    </row>
    <row r="163" spans="1:10" ht="54" customHeight="1">
      <c r="A163" s="13" t="str">
        <f>IF(SMALL($P$98:$P$106,9)=9999,"",INDEX('Sporting Environment'!$A:$A,SMALL($P$98:$P$106,9)))</f>
        <v/>
      </c>
      <c r="B163" s="14" t="str">
        <f>IF(A163="","",INDEX('Sporting Environment'!$B:$B,SMALL($P$98:$P$106,9)))</f>
        <v/>
      </c>
      <c r="C163" s="14" t="str">
        <f>IF(A163="","",INDEX('Sporting Environment'!$E:$E,SMALL($P$98:$P$106,9)))</f>
        <v/>
      </c>
      <c r="D163" s="14" t="str">
        <f>IF(A163="","",'Start Here'!$E$5)</f>
        <v/>
      </c>
      <c r="E163" s="14" t="str">
        <f>IF(A163="","",INDEX('Sporting Environment'!$G:$G,SMALL($P$98:$P$106,9)))</f>
        <v/>
      </c>
      <c r="F163" s="15" t="str">
        <f t="shared" si="7"/>
        <v/>
      </c>
      <c r="G163" s="16"/>
      <c r="H163" s="17"/>
      <c r="I163" s="17"/>
      <c r="J163" s="18"/>
    </row>
    <row r="166" spans="1:10" ht="15.75">
      <c r="A166" s="267" t="s">
        <v>468</v>
      </c>
      <c r="B166" s="267"/>
      <c r="C166" s="267"/>
      <c r="D166" s="267"/>
      <c r="E166" s="267"/>
      <c r="F166" s="267"/>
      <c r="G166" s="267"/>
      <c r="H166" s="267"/>
      <c r="I166" s="267"/>
      <c r="J166" s="267"/>
    </row>
    <row r="168" spans="1:10">
      <c r="A168" s="274" t="s">
        <v>469</v>
      </c>
      <c r="B168" s="275"/>
      <c r="C168" s="275"/>
      <c r="D168" s="275"/>
      <c r="E168" s="275"/>
      <c r="F168" s="275"/>
      <c r="G168" s="275"/>
      <c r="H168" s="275"/>
      <c r="I168" s="275"/>
      <c r="J168" s="276"/>
    </row>
    <row r="169" spans="1:10">
      <c r="A169" s="277"/>
      <c r="B169" s="278"/>
      <c r="C169" s="278"/>
      <c r="D169" s="278"/>
      <c r="E169" s="278"/>
      <c r="F169" s="278"/>
      <c r="G169" s="278"/>
      <c r="H169" s="278"/>
      <c r="I169" s="278"/>
      <c r="J169" s="279"/>
    </row>
    <row r="170" spans="1:10">
      <c r="A170" s="277"/>
      <c r="B170" s="278"/>
      <c r="C170" s="278"/>
      <c r="D170" s="278"/>
      <c r="E170" s="278"/>
      <c r="F170" s="278"/>
      <c r="G170" s="278"/>
      <c r="H170" s="278"/>
      <c r="I170" s="278"/>
      <c r="J170" s="279"/>
    </row>
    <row r="171" spans="1:10">
      <c r="A171" s="280"/>
      <c r="B171" s="281"/>
      <c r="C171" s="281"/>
      <c r="D171" s="281"/>
      <c r="E171" s="281"/>
      <c r="F171" s="281"/>
      <c r="G171" s="281"/>
      <c r="H171" s="281"/>
      <c r="I171" s="281"/>
      <c r="J171" s="282"/>
    </row>
  </sheetData>
  <mergeCells count="39">
    <mergeCell ref="G152:J152"/>
    <mergeCell ref="A166:J166"/>
    <mergeCell ref="A168:J171"/>
    <mergeCell ref="A117:J117"/>
    <mergeCell ref="G119:J119"/>
    <mergeCell ref="A135:J135"/>
    <mergeCell ref="G137:J137"/>
    <mergeCell ref="A150:J150"/>
    <mergeCell ref="G61:J61"/>
    <mergeCell ref="A78:J78"/>
    <mergeCell ref="G80:J80"/>
    <mergeCell ref="A97:J97"/>
    <mergeCell ref="G99:J99"/>
    <mergeCell ref="A15:J15"/>
    <mergeCell ref="G17:J17"/>
    <mergeCell ref="A38:J38"/>
    <mergeCell ref="G40:J40"/>
    <mergeCell ref="A59:J59"/>
    <mergeCell ref="G8:H8"/>
    <mergeCell ref="G9:H10"/>
    <mergeCell ref="I8:J8"/>
    <mergeCell ref="I9:J10"/>
    <mergeCell ref="A13:J13"/>
    <mergeCell ref="A8:B8"/>
    <mergeCell ref="A9:B10"/>
    <mergeCell ref="C8:D8"/>
    <mergeCell ref="C9:D10"/>
    <mergeCell ref="E8:F8"/>
    <mergeCell ref="E9:F10"/>
    <mergeCell ref="A1:J1"/>
    <mergeCell ref="A2:J2"/>
    <mergeCell ref="A4:C4"/>
    <mergeCell ref="A5:C6"/>
    <mergeCell ref="D4:F4"/>
    <mergeCell ref="D5:F6"/>
    <mergeCell ref="G4:H4"/>
    <mergeCell ref="G5:H6"/>
    <mergeCell ref="I4:J4"/>
    <mergeCell ref="I5:J6"/>
  </mergeCells>
  <conditionalFormatting sqref="F20:F35">
    <cfRule type="expression" dxfId="31" priority="1">
      <formula>F20="High"</formula>
    </cfRule>
    <cfRule type="expression" dxfId="30" priority="2">
      <formula>F20="Medium"</formula>
    </cfRule>
  </conditionalFormatting>
  <conditionalFormatting sqref="F43:F56">
    <cfRule type="expression" dxfId="29" priority="5">
      <formula>F43="High"</formula>
    </cfRule>
    <cfRule type="expression" dxfId="28" priority="6">
      <formula>F43="Medium"</formula>
    </cfRule>
  </conditionalFormatting>
  <conditionalFormatting sqref="F64:F75">
    <cfRule type="expression" dxfId="27" priority="9">
      <formula>F64="High"</formula>
    </cfRule>
    <cfRule type="expression" dxfId="26" priority="10">
      <formula>F64="Medium"</formula>
    </cfRule>
  </conditionalFormatting>
  <conditionalFormatting sqref="F83:F94">
    <cfRule type="expression" dxfId="25" priority="13">
      <formula>F83="High"</formula>
    </cfRule>
    <cfRule type="expression" dxfId="24" priority="14">
      <formula>F83="Medium"</formula>
    </cfRule>
  </conditionalFormatting>
  <conditionalFormatting sqref="F102:F114">
    <cfRule type="expression" dxfId="23" priority="17">
      <formula>F102="High"</formula>
    </cfRule>
    <cfRule type="expression" dxfId="22" priority="18">
      <formula>F102="Medium"</formula>
    </cfRule>
  </conditionalFormatting>
  <conditionalFormatting sqref="F122:F132">
    <cfRule type="expression" dxfId="21" priority="21">
      <formula>F122="High"</formula>
    </cfRule>
    <cfRule type="expression" dxfId="20" priority="22">
      <formula>F122="Medium"</formula>
    </cfRule>
  </conditionalFormatting>
  <conditionalFormatting sqref="F140:F147">
    <cfRule type="expression" dxfId="19" priority="25">
      <formula>F140="High"</formula>
    </cfRule>
    <cfRule type="expression" dxfId="18" priority="26">
      <formula>F140="Medium"</formula>
    </cfRule>
  </conditionalFormatting>
  <conditionalFormatting sqref="F155:F163">
    <cfRule type="expression" dxfId="17" priority="29">
      <formula>F155="High"</formula>
    </cfRule>
    <cfRule type="expression" dxfId="16" priority="30">
      <formula>F155="Medium"</formula>
    </cfRule>
  </conditionalFormatting>
  <conditionalFormatting sqref="I20:I35">
    <cfRule type="expression" dxfId="15" priority="3">
      <formula>I20="Complete"</formula>
    </cfRule>
    <cfRule type="expression" dxfId="14" priority="4">
      <formula>I20="In Progress"</formula>
    </cfRule>
  </conditionalFormatting>
  <conditionalFormatting sqref="I43:I56">
    <cfRule type="expression" dxfId="13" priority="7">
      <formula>I43="Complete"</formula>
    </cfRule>
    <cfRule type="expression" dxfId="12" priority="8">
      <formula>I43="In Progress"</formula>
    </cfRule>
  </conditionalFormatting>
  <conditionalFormatting sqref="I64:I75">
    <cfRule type="expression" dxfId="11" priority="11">
      <formula>I64="Complete"</formula>
    </cfRule>
    <cfRule type="expression" dxfId="10" priority="12">
      <formula>I64="In Progress"</formula>
    </cfRule>
  </conditionalFormatting>
  <conditionalFormatting sqref="I83:I94">
    <cfRule type="expression" dxfId="9" priority="15">
      <formula>I83="Complete"</formula>
    </cfRule>
    <cfRule type="expression" dxfId="8" priority="16">
      <formula>I83="In Progress"</formula>
    </cfRule>
  </conditionalFormatting>
  <conditionalFormatting sqref="I102:I114">
    <cfRule type="expression" dxfId="7" priority="19">
      <formula>I102="Complete"</formula>
    </cfRule>
    <cfRule type="expression" dxfId="6" priority="20">
      <formula>I102="In Progress"</formula>
    </cfRule>
  </conditionalFormatting>
  <conditionalFormatting sqref="I122:I132">
    <cfRule type="expression" dxfId="5" priority="23">
      <formula>I122="Complete"</formula>
    </cfRule>
    <cfRule type="expression" dxfId="4" priority="24">
      <formula>I122="In Progress"</formula>
    </cfRule>
  </conditionalFormatting>
  <conditionalFormatting sqref="I140:I147">
    <cfRule type="expression" dxfId="3" priority="27">
      <formula>I140="Complete"</formula>
    </cfRule>
    <cfRule type="expression" dxfId="2" priority="28">
      <formula>I140="In Progress"</formula>
    </cfRule>
  </conditionalFormatting>
  <conditionalFormatting sqref="I155:I163">
    <cfRule type="expression" dxfId="1" priority="31">
      <formula>I155="Complete"</formula>
    </cfRule>
    <cfRule type="expression" dxfId="0" priority="32">
      <formula>I155="In Progress"</formula>
    </cfRule>
  </conditionalFormatting>
  <dataValidations count="1">
    <dataValidation type="list" sqref="I155:I163 I140:I147 I122:I132 I102:I114 I83:I94 I64:I75 I43:I56 I20:I35" xr:uid="{00000000-0002-0000-0C00-000000000000}">
      <formula1>"Not Started,In Progress,Complete,On Hold"</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79"/>
  <sheetViews>
    <sheetView topLeftCell="A52" workbookViewId="0">
      <selection sqref="A1:G1"/>
    </sheetView>
  </sheetViews>
  <sheetFormatPr defaultRowHeight="14.25"/>
  <cols>
    <col min="1" max="1" width="10.625" customWidth="1"/>
    <col min="2" max="2" width="11.125" customWidth="1"/>
    <col min="3" max="3" width="16.75" customWidth="1"/>
    <col min="4" max="4" width="18.25" customWidth="1"/>
    <col min="5" max="5" width="5.875" style="23" customWidth="1"/>
    <col min="6" max="6" width="23.25" customWidth="1"/>
    <col min="7" max="7" width="68" customWidth="1"/>
  </cols>
  <sheetData>
    <row r="1" spans="1:7" ht="21.75">
      <c r="A1" s="155" t="s">
        <v>470</v>
      </c>
      <c r="B1" s="155"/>
      <c r="C1" s="155"/>
      <c r="D1" s="155"/>
      <c r="E1" s="155"/>
      <c r="F1" s="155"/>
      <c r="G1" s="155"/>
    </row>
    <row r="2" spans="1:7">
      <c r="A2" s="156" t="s">
        <v>471</v>
      </c>
      <c r="B2" s="157"/>
      <c r="C2" s="157"/>
      <c r="D2" s="157"/>
      <c r="E2" s="157"/>
      <c r="F2" s="157"/>
      <c r="G2" s="158"/>
    </row>
    <row r="4" spans="1:7">
      <c r="A4" s="1" t="s">
        <v>472</v>
      </c>
      <c r="B4" s="2" t="s">
        <v>473</v>
      </c>
      <c r="C4" s="2" t="s">
        <v>50</v>
      </c>
      <c r="D4" s="2" t="s">
        <v>124</v>
      </c>
      <c r="E4" s="2" t="s">
        <v>114</v>
      </c>
      <c r="F4" s="2" t="s">
        <v>474</v>
      </c>
      <c r="G4" s="3" t="s">
        <v>475</v>
      </c>
    </row>
    <row r="5" spans="1:7">
      <c r="A5" s="4" t="s">
        <v>133</v>
      </c>
      <c r="B5" s="5" t="s">
        <v>476</v>
      </c>
      <c r="C5" s="5" t="s">
        <v>58</v>
      </c>
      <c r="D5" s="5" t="s">
        <v>134</v>
      </c>
      <c r="E5" s="20">
        <v>0</v>
      </c>
      <c r="F5" s="5" t="s">
        <v>477</v>
      </c>
      <c r="G5" s="6"/>
    </row>
    <row r="6" spans="1:7" ht="71.25">
      <c r="A6" s="7" t="s">
        <v>133</v>
      </c>
      <c r="B6" s="8" t="s">
        <v>478</v>
      </c>
      <c r="C6" s="8" t="s">
        <v>58</v>
      </c>
      <c r="D6" s="8" t="s">
        <v>134</v>
      </c>
      <c r="E6" s="21">
        <v>1</v>
      </c>
      <c r="F6" s="8" t="s">
        <v>479</v>
      </c>
      <c r="G6" s="9" t="s">
        <v>480</v>
      </c>
    </row>
    <row r="7" spans="1:7" ht="199.5">
      <c r="A7" s="7" t="s">
        <v>133</v>
      </c>
      <c r="B7" s="8" t="s">
        <v>481</v>
      </c>
      <c r="C7" s="8" t="s">
        <v>58</v>
      </c>
      <c r="D7" s="8" t="s">
        <v>134</v>
      </c>
      <c r="E7" s="21">
        <v>2</v>
      </c>
      <c r="F7" s="8" t="s">
        <v>482</v>
      </c>
      <c r="G7" s="9" t="s">
        <v>483</v>
      </c>
    </row>
    <row r="8" spans="1:7" ht="128.25">
      <c r="A8" s="7" t="s">
        <v>133</v>
      </c>
      <c r="B8" s="8" t="s">
        <v>484</v>
      </c>
      <c r="C8" s="8" t="s">
        <v>58</v>
      </c>
      <c r="D8" s="8" t="s">
        <v>134</v>
      </c>
      <c r="E8" s="21">
        <v>3</v>
      </c>
      <c r="F8" s="8" t="s">
        <v>485</v>
      </c>
      <c r="G8" s="9" t="s">
        <v>486</v>
      </c>
    </row>
    <row r="9" spans="1:7" ht="171">
      <c r="A9" s="7" t="s">
        <v>133</v>
      </c>
      <c r="B9" s="8" t="s">
        <v>487</v>
      </c>
      <c r="C9" s="8" t="s">
        <v>58</v>
      </c>
      <c r="D9" s="8" t="s">
        <v>134</v>
      </c>
      <c r="E9" s="21">
        <v>4</v>
      </c>
      <c r="F9" s="8" t="s">
        <v>488</v>
      </c>
      <c r="G9" s="9" t="s">
        <v>489</v>
      </c>
    </row>
    <row r="10" spans="1:7">
      <c r="A10" s="7" t="s">
        <v>136</v>
      </c>
      <c r="B10" s="8" t="s">
        <v>490</v>
      </c>
      <c r="C10" s="8" t="s">
        <v>58</v>
      </c>
      <c r="D10" s="8" t="s">
        <v>137</v>
      </c>
      <c r="E10" s="21">
        <v>0</v>
      </c>
      <c r="F10" s="8" t="s">
        <v>491</v>
      </c>
      <c r="G10" s="9"/>
    </row>
    <row r="11" spans="1:7" ht="114">
      <c r="A11" s="7" t="s">
        <v>136</v>
      </c>
      <c r="B11" s="8" t="s">
        <v>492</v>
      </c>
      <c r="C11" s="8" t="s">
        <v>58</v>
      </c>
      <c r="D11" s="8" t="s">
        <v>137</v>
      </c>
      <c r="E11" s="21">
        <v>1</v>
      </c>
      <c r="F11" s="8" t="s">
        <v>493</v>
      </c>
      <c r="G11" s="9" t="s">
        <v>494</v>
      </c>
    </row>
    <row r="12" spans="1:7" ht="185.25">
      <c r="A12" s="7" t="s">
        <v>136</v>
      </c>
      <c r="B12" s="8" t="s">
        <v>495</v>
      </c>
      <c r="C12" s="8" t="s">
        <v>58</v>
      </c>
      <c r="D12" s="8" t="s">
        <v>137</v>
      </c>
      <c r="E12" s="21">
        <v>2</v>
      </c>
      <c r="F12" s="8" t="s">
        <v>496</v>
      </c>
      <c r="G12" s="9" t="s">
        <v>497</v>
      </c>
    </row>
    <row r="13" spans="1:7" ht="156.75">
      <c r="A13" s="7" t="s">
        <v>136</v>
      </c>
      <c r="B13" s="8" t="s">
        <v>498</v>
      </c>
      <c r="C13" s="8" t="s">
        <v>58</v>
      </c>
      <c r="D13" s="8" t="s">
        <v>137</v>
      </c>
      <c r="E13" s="21">
        <v>3</v>
      </c>
      <c r="F13" s="8" t="s">
        <v>499</v>
      </c>
      <c r="G13" s="9" t="s">
        <v>500</v>
      </c>
    </row>
    <row r="14" spans="1:7" ht="199.5">
      <c r="A14" s="7" t="s">
        <v>136</v>
      </c>
      <c r="B14" s="8" t="s">
        <v>501</v>
      </c>
      <c r="C14" s="8" t="s">
        <v>58</v>
      </c>
      <c r="D14" s="8" t="s">
        <v>137</v>
      </c>
      <c r="E14" s="21">
        <v>4</v>
      </c>
      <c r="F14" s="8" t="s">
        <v>502</v>
      </c>
      <c r="G14" s="9" t="s">
        <v>503</v>
      </c>
    </row>
    <row r="15" spans="1:7" ht="28.5">
      <c r="A15" s="7" t="s">
        <v>139</v>
      </c>
      <c r="B15" s="8" t="s">
        <v>504</v>
      </c>
      <c r="C15" s="8" t="s">
        <v>58</v>
      </c>
      <c r="D15" s="8" t="s">
        <v>140</v>
      </c>
      <c r="E15" s="21">
        <v>0</v>
      </c>
      <c r="F15" s="8" t="s">
        <v>505</v>
      </c>
      <c r="G15" s="9"/>
    </row>
    <row r="16" spans="1:7" ht="85.5">
      <c r="A16" s="7" t="s">
        <v>139</v>
      </c>
      <c r="B16" s="8" t="s">
        <v>506</v>
      </c>
      <c r="C16" s="8" t="s">
        <v>58</v>
      </c>
      <c r="D16" s="8" t="s">
        <v>140</v>
      </c>
      <c r="E16" s="21">
        <v>1</v>
      </c>
      <c r="F16" s="8" t="s">
        <v>507</v>
      </c>
      <c r="G16" s="9" t="s">
        <v>508</v>
      </c>
    </row>
    <row r="17" spans="1:7" ht="142.5">
      <c r="A17" s="7" t="s">
        <v>139</v>
      </c>
      <c r="B17" s="8" t="s">
        <v>509</v>
      </c>
      <c r="C17" s="8" t="s">
        <v>58</v>
      </c>
      <c r="D17" s="8" t="s">
        <v>140</v>
      </c>
      <c r="E17" s="21">
        <v>2</v>
      </c>
      <c r="F17" s="8" t="s">
        <v>510</v>
      </c>
      <c r="G17" s="9" t="s">
        <v>511</v>
      </c>
    </row>
    <row r="18" spans="1:7" ht="128.25">
      <c r="A18" s="7" t="s">
        <v>139</v>
      </c>
      <c r="B18" s="8" t="s">
        <v>512</v>
      </c>
      <c r="C18" s="8" t="s">
        <v>58</v>
      </c>
      <c r="D18" s="8" t="s">
        <v>140</v>
      </c>
      <c r="E18" s="21">
        <v>3</v>
      </c>
      <c r="F18" s="8" t="s">
        <v>513</v>
      </c>
      <c r="G18" s="9" t="s">
        <v>514</v>
      </c>
    </row>
    <row r="19" spans="1:7" ht="185.25">
      <c r="A19" s="7" t="s">
        <v>139</v>
      </c>
      <c r="B19" s="8" t="s">
        <v>515</v>
      </c>
      <c r="C19" s="8" t="s">
        <v>58</v>
      </c>
      <c r="D19" s="8" t="s">
        <v>140</v>
      </c>
      <c r="E19" s="21">
        <v>4</v>
      </c>
      <c r="F19" s="8" t="s">
        <v>516</v>
      </c>
      <c r="G19" s="9" t="s">
        <v>517</v>
      </c>
    </row>
    <row r="20" spans="1:7">
      <c r="A20" s="7" t="s">
        <v>142</v>
      </c>
      <c r="B20" s="8" t="s">
        <v>518</v>
      </c>
      <c r="C20" s="8" t="s">
        <v>58</v>
      </c>
      <c r="D20" s="8" t="s">
        <v>143</v>
      </c>
      <c r="E20" s="21">
        <v>0</v>
      </c>
      <c r="F20" s="8" t="s">
        <v>519</v>
      </c>
      <c r="G20" s="9"/>
    </row>
    <row r="21" spans="1:7" ht="99.75">
      <c r="A21" s="7" t="s">
        <v>142</v>
      </c>
      <c r="B21" s="8" t="s">
        <v>520</v>
      </c>
      <c r="C21" s="8" t="s">
        <v>58</v>
      </c>
      <c r="D21" s="8" t="s">
        <v>143</v>
      </c>
      <c r="E21" s="21">
        <v>1</v>
      </c>
      <c r="F21" s="8" t="s">
        <v>521</v>
      </c>
      <c r="G21" s="9" t="s">
        <v>522</v>
      </c>
    </row>
    <row r="22" spans="1:7" ht="114">
      <c r="A22" s="7" t="s">
        <v>142</v>
      </c>
      <c r="B22" s="8" t="s">
        <v>523</v>
      </c>
      <c r="C22" s="8" t="s">
        <v>58</v>
      </c>
      <c r="D22" s="8" t="s">
        <v>143</v>
      </c>
      <c r="E22" s="21">
        <v>2</v>
      </c>
      <c r="F22" s="8" t="s">
        <v>524</v>
      </c>
      <c r="G22" s="9" t="s">
        <v>525</v>
      </c>
    </row>
    <row r="23" spans="1:7" ht="128.25">
      <c r="A23" s="7" t="s">
        <v>142</v>
      </c>
      <c r="B23" s="8" t="s">
        <v>526</v>
      </c>
      <c r="C23" s="8" t="s">
        <v>58</v>
      </c>
      <c r="D23" s="8" t="s">
        <v>143</v>
      </c>
      <c r="E23" s="21">
        <v>3</v>
      </c>
      <c r="F23" s="8" t="s">
        <v>527</v>
      </c>
      <c r="G23" s="9" t="s">
        <v>528</v>
      </c>
    </row>
    <row r="24" spans="1:7" ht="142.5">
      <c r="A24" s="7" t="s">
        <v>142</v>
      </c>
      <c r="B24" s="8" t="s">
        <v>529</v>
      </c>
      <c r="C24" s="8" t="s">
        <v>58</v>
      </c>
      <c r="D24" s="8" t="s">
        <v>143</v>
      </c>
      <c r="E24" s="21">
        <v>4</v>
      </c>
      <c r="F24" s="8" t="s">
        <v>530</v>
      </c>
      <c r="G24" s="9" t="s">
        <v>531</v>
      </c>
    </row>
    <row r="25" spans="1:7" ht="28.5">
      <c r="A25" s="7" t="s">
        <v>145</v>
      </c>
      <c r="B25" s="8" t="s">
        <v>532</v>
      </c>
      <c r="C25" s="8" t="s">
        <v>58</v>
      </c>
      <c r="D25" s="8" t="s">
        <v>146</v>
      </c>
      <c r="E25" s="21">
        <v>0</v>
      </c>
      <c r="F25" s="8" t="s">
        <v>533</v>
      </c>
      <c r="G25" s="9"/>
    </row>
    <row r="26" spans="1:7" ht="114">
      <c r="A26" s="7" t="s">
        <v>145</v>
      </c>
      <c r="B26" s="8" t="s">
        <v>534</v>
      </c>
      <c r="C26" s="8" t="s">
        <v>58</v>
      </c>
      <c r="D26" s="8" t="s">
        <v>146</v>
      </c>
      <c r="E26" s="21">
        <v>1</v>
      </c>
      <c r="F26" s="8" t="s">
        <v>535</v>
      </c>
      <c r="G26" s="9" t="s">
        <v>536</v>
      </c>
    </row>
    <row r="27" spans="1:7" ht="128.25">
      <c r="A27" s="7" t="s">
        <v>145</v>
      </c>
      <c r="B27" s="8" t="s">
        <v>537</v>
      </c>
      <c r="C27" s="8" t="s">
        <v>58</v>
      </c>
      <c r="D27" s="8" t="s">
        <v>146</v>
      </c>
      <c r="E27" s="21">
        <v>2</v>
      </c>
      <c r="F27" s="8" t="s">
        <v>538</v>
      </c>
      <c r="G27" s="9" t="s">
        <v>539</v>
      </c>
    </row>
    <row r="28" spans="1:7" ht="156.75">
      <c r="A28" s="7" t="s">
        <v>145</v>
      </c>
      <c r="B28" s="8" t="s">
        <v>540</v>
      </c>
      <c r="C28" s="8" t="s">
        <v>58</v>
      </c>
      <c r="D28" s="8" t="s">
        <v>146</v>
      </c>
      <c r="E28" s="21">
        <v>3</v>
      </c>
      <c r="F28" s="8" t="s">
        <v>541</v>
      </c>
      <c r="G28" s="9" t="s">
        <v>542</v>
      </c>
    </row>
    <row r="29" spans="1:7" ht="142.5">
      <c r="A29" s="7" t="s">
        <v>145</v>
      </c>
      <c r="B29" s="8" t="s">
        <v>543</v>
      </c>
      <c r="C29" s="8" t="s">
        <v>58</v>
      </c>
      <c r="D29" s="8" t="s">
        <v>146</v>
      </c>
      <c r="E29" s="21">
        <v>4</v>
      </c>
      <c r="F29" s="8" t="s">
        <v>544</v>
      </c>
      <c r="G29" s="9" t="s">
        <v>545</v>
      </c>
    </row>
    <row r="30" spans="1:7">
      <c r="A30" s="7" t="s">
        <v>148</v>
      </c>
      <c r="B30" s="8" t="s">
        <v>546</v>
      </c>
      <c r="C30" s="8" t="s">
        <v>58</v>
      </c>
      <c r="D30" s="8" t="s">
        <v>149</v>
      </c>
      <c r="E30" s="21">
        <v>0</v>
      </c>
      <c r="F30" s="8" t="s">
        <v>547</v>
      </c>
      <c r="G30" s="9"/>
    </row>
    <row r="31" spans="1:7" ht="142.5">
      <c r="A31" s="7" t="s">
        <v>148</v>
      </c>
      <c r="B31" s="8" t="s">
        <v>548</v>
      </c>
      <c r="C31" s="8" t="s">
        <v>58</v>
      </c>
      <c r="D31" s="8" t="s">
        <v>149</v>
      </c>
      <c r="E31" s="21">
        <v>1</v>
      </c>
      <c r="F31" s="8" t="s">
        <v>549</v>
      </c>
      <c r="G31" s="9" t="s">
        <v>550</v>
      </c>
    </row>
    <row r="32" spans="1:7" ht="142.5">
      <c r="A32" s="7" t="s">
        <v>148</v>
      </c>
      <c r="B32" s="8" t="s">
        <v>551</v>
      </c>
      <c r="C32" s="8" t="s">
        <v>58</v>
      </c>
      <c r="D32" s="8" t="s">
        <v>149</v>
      </c>
      <c r="E32" s="21">
        <v>2</v>
      </c>
      <c r="F32" s="8" t="s">
        <v>552</v>
      </c>
      <c r="G32" s="9" t="s">
        <v>553</v>
      </c>
    </row>
    <row r="33" spans="1:7" ht="142.5">
      <c r="A33" s="7" t="s">
        <v>148</v>
      </c>
      <c r="B33" s="8" t="s">
        <v>554</v>
      </c>
      <c r="C33" s="8" t="s">
        <v>58</v>
      </c>
      <c r="D33" s="8" t="s">
        <v>149</v>
      </c>
      <c r="E33" s="21">
        <v>3</v>
      </c>
      <c r="F33" s="8" t="s">
        <v>555</v>
      </c>
      <c r="G33" s="9" t="s">
        <v>556</v>
      </c>
    </row>
    <row r="34" spans="1:7" ht="228">
      <c r="A34" s="7" t="s">
        <v>148</v>
      </c>
      <c r="B34" s="8" t="s">
        <v>557</v>
      </c>
      <c r="C34" s="8" t="s">
        <v>58</v>
      </c>
      <c r="D34" s="8" t="s">
        <v>149</v>
      </c>
      <c r="E34" s="21">
        <v>4</v>
      </c>
      <c r="F34" s="8" t="s">
        <v>558</v>
      </c>
      <c r="G34" s="9" t="s">
        <v>559</v>
      </c>
    </row>
    <row r="35" spans="1:7">
      <c r="A35" s="7" t="s">
        <v>151</v>
      </c>
      <c r="B35" s="8" t="s">
        <v>560</v>
      </c>
      <c r="C35" s="8" t="s">
        <v>58</v>
      </c>
      <c r="D35" s="8" t="s">
        <v>152</v>
      </c>
      <c r="E35" s="21">
        <v>0</v>
      </c>
      <c r="F35" s="8" t="s">
        <v>561</v>
      </c>
      <c r="G35" s="9"/>
    </row>
    <row r="36" spans="1:7" ht="142.5">
      <c r="A36" s="7" t="s">
        <v>151</v>
      </c>
      <c r="B36" s="8" t="s">
        <v>562</v>
      </c>
      <c r="C36" s="8" t="s">
        <v>58</v>
      </c>
      <c r="D36" s="8" t="s">
        <v>152</v>
      </c>
      <c r="E36" s="21">
        <v>1</v>
      </c>
      <c r="F36" s="8" t="s">
        <v>563</v>
      </c>
      <c r="G36" s="9" t="s">
        <v>564</v>
      </c>
    </row>
    <row r="37" spans="1:7" ht="128.25">
      <c r="A37" s="7" t="s">
        <v>151</v>
      </c>
      <c r="B37" s="8" t="s">
        <v>565</v>
      </c>
      <c r="C37" s="8" t="s">
        <v>58</v>
      </c>
      <c r="D37" s="8" t="s">
        <v>152</v>
      </c>
      <c r="E37" s="21">
        <v>2</v>
      </c>
      <c r="F37" s="8" t="s">
        <v>566</v>
      </c>
      <c r="G37" s="9" t="s">
        <v>567</v>
      </c>
    </row>
    <row r="38" spans="1:7" ht="142.5">
      <c r="A38" s="7" t="s">
        <v>151</v>
      </c>
      <c r="B38" s="8" t="s">
        <v>568</v>
      </c>
      <c r="C38" s="8" t="s">
        <v>58</v>
      </c>
      <c r="D38" s="8" t="s">
        <v>152</v>
      </c>
      <c r="E38" s="21">
        <v>3</v>
      </c>
      <c r="F38" s="8" t="s">
        <v>569</v>
      </c>
      <c r="G38" s="9" t="s">
        <v>570</v>
      </c>
    </row>
    <row r="39" spans="1:7" ht="128.25">
      <c r="A39" s="7" t="s">
        <v>151</v>
      </c>
      <c r="B39" s="8" t="s">
        <v>571</v>
      </c>
      <c r="C39" s="8" t="s">
        <v>58</v>
      </c>
      <c r="D39" s="8" t="s">
        <v>152</v>
      </c>
      <c r="E39" s="21">
        <v>4</v>
      </c>
      <c r="F39" s="8" t="s">
        <v>572</v>
      </c>
      <c r="G39" s="9" t="s">
        <v>573</v>
      </c>
    </row>
    <row r="40" spans="1:7" ht="28.5">
      <c r="A40" s="7" t="s">
        <v>154</v>
      </c>
      <c r="B40" s="8" t="s">
        <v>574</v>
      </c>
      <c r="C40" s="8" t="s">
        <v>58</v>
      </c>
      <c r="D40" s="8" t="s">
        <v>155</v>
      </c>
      <c r="E40" s="21">
        <v>0</v>
      </c>
      <c r="F40" s="8" t="s">
        <v>575</v>
      </c>
      <c r="G40" s="9"/>
    </row>
    <row r="41" spans="1:7" ht="99.75">
      <c r="A41" s="7" t="s">
        <v>154</v>
      </c>
      <c r="B41" s="8" t="s">
        <v>576</v>
      </c>
      <c r="C41" s="8" t="s">
        <v>58</v>
      </c>
      <c r="D41" s="8" t="s">
        <v>155</v>
      </c>
      <c r="E41" s="21">
        <v>1</v>
      </c>
      <c r="F41" s="8" t="s">
        <v>577</v>
      </c>
      <c r="G41" s="9" t="s">
        <v>578</v>
      </c>
    </row>
    <row r="42" spans="1:7" ht="128.25">
      <c r="A42" s="7" t="s">
        <v>154</v>
      </c>
      <c r="B42" s="8" t="s">
        <v>579</v>
      </c>
      <c r="C42" s="8" t="s">
        <v>58</v>
      </c>
      <c r="D42" s="8" t="s">
        <v>155</v>
      </c>
      <c r="E42" s="21">
        <v>2</v>
      </c>
      <c r="F42" s="8" t="s">
        <v>580</v>
      </c>
      <c r="G42" s="9" t="s">
        <v>581</v>
      </c>
    </row>
    <row r="43" spans="1:7" ht="156.75">
      <c r="A43" s="7" t="s">
        <v>154</v>
      </c>
      <c r="B43" s="8" t="s">
        <v>582</v>
      </c>
      <c r="C43" s="8" t="s">
        <v>58</v>
      </c>
      <c r="D43" s="8" t="s">
        <v>155</v>
      </c>
      <c r="E43" s="21">
        <v>3</v>
      </c>
      <c r="F43" s="8" t="s">
        <v>583</v>
      </c>
      <c r="G43" s="9" t="s">
        <v>584</v>
      </c>
    </row>
    <row r="44" spans="1:7" ht="185.25">
      <c r="A44" s="7" t="s">
        <v>154</v>
      </c>
      <c r="B44" s="8" t="s">
        <v>585</v>
      </c>
      <c r="C44" s="8" t="s">
        <v>58</v>
      </c>
      <c r="D44" s="8" t="s">
        <v>155</v>
      </c>
      <c r="E44" s="21">
        <v>4</v>
      </c>
      <c r="F44" s="8" t="s">
        <v>586</v>
      </c>
      <c r="G44" s="9" t="s">
        <v>587</v>
      </c>
    </row>
    <row r="45" spans="1:7">
      <c r="A45" s="7" t="s">
        <v>157</v>
      </c>
      <c r="B45" s="8" t="s">
        <v>588</v>
      </c>
      <c r="C45" s="8" t="s">
        <v>58</v>
      </c>
      <c r="D45" s="8" t="s">
        <v>158</v>
      </c>
      <c r="E45" s="21">
        <v>0</v>
      </c>
      <c r="F45" s="8" t="s">
        <v>589</v>
      </c>
      <c r="G45" s="9"/>
    </row>
    <row r="46" spans="1:7" ht="156.75">
      <c r="A46" s="7" t="s">
        <v>157</v>
      </c>
      <c r="B46" s="8" t="s">
        <v>590</v>
      </c>
      <c r="C46" s="8" t="s">
        <v>58</v>
      </c>
      <c r="D46" s="8" t="s">
        <v>158</v>
      </c>
      <c r="E46" s="21">
        <v>1</v>
      </c>
      <c r="F46" s="8" t="s">
        <v>591</v>
      </c>
      <c r="G46" s="9" t="s">
        <v>592</v>
      </c>
    </row>
    <row r="47" spans="1:7" ht="142.5">
      <c r="A47" s="7" t="s">
        <v>157</v>
      </c>
      <c r="B47" s="8" t="s">
        <v>593</v>
      </c>
      <c r="C47" s="8" t="s">
        <v>58</v>
      </c>
      <c r="D47" s="8" t="s">
        <v>158</v>
      </c>
      <c r="E47" s="21">
        <v>2</v>
      </c>
      <c r="F47" s="8" t="s">
        <v>594</v>
      </c>
      <c r="G47" s="9" t="s">
        <v>595</v>
      </c>
    </row>
    <row r="48" spans="1:7" ht="142.5">
      <c r="A48" s="7" t="s">
        <v>157</v>
      </c>
      <c r="B48" s="8" t="s">
        <v>596</v>
      </c>
      <c r="C48" s="8" t="s">
        <v>58</v>
      </c>
      <c r="D48" s="8" t="s">
        <v>158</v>
      </c>
      <c r="E48" s="21">
        <v>3</v>
      </c>
      <c r="F48" s="8" t="s">
        <v>597</v>
      </c>
      <c r="G48" s="9" t="s">
        <v>598</v>
      </c>
    </row>
    <row r="49" spans="1:7" ht="156.75">
      <c r="A49" s="7" t="s">
        <v>157</v>
      </c>
      <c r="B49" s="8" t="s">
        <v>599</v>
      </c>
      <c r="C49" s="8" t="s">
        <v>58</v>
      </c>
      <c r="D49" s="8" t="s">
        <v>158</v>
      </c>
      <c r="E49" s="21">
        <v>4</v>
      </c>
      <c r="F49" s="8" t="s">
        <v>600</v>
      </c>
      <c r="G49" s="9" t="s">
        <v>601</v>
      </c>
    </row>
    <row r="50" spans="1:7" ht="28.5">
      <c r="A50" s="7" t="s">
        <v>160</v>
      </c>
      <c r="B50" s="8" t="s">
        <v>602</v>
      </c>
      <c r="C50" s="8" t="s">
        <v>58</v>
      </c>
      <c r="D50" s="8" t="s">
        <v>161</v>
      </c>
      <c r="E50" s="21">
        <v>0</v>
      </c>
      <c r="F50" s="8" t="s">
        <v>603</v>
      </c>
      <c r="G50" s="9"/>
    </row>
    <row r="51" spans="1:7" ht="114">
      <c r="A51" s="7" t="s">
        <v>160</v>
      </c>
      <c r="B51" s="8" t="s">
        <v>604</v>
      </c>
      <c r="C51" s="8" t="s">
        <v>58</v>
      </c>
      <c r="D51" s="8" t="s">
        <v>161</v>
      </c>
      <c r="E51" s="21">
        <v>1</v>
      </c>
      <c r="F51" s="8" t="s">
        <v>605</v>
      </c>
      <c r="G51" s="9" t="s">
        <v>606</v>
      </c>
    </row>
    <row r="52" spans="1:7" ht="156.75">
      <c r="A52" s="7" t="s">
        <v>160</v>
      </c>
      <c r="B52" s="8" t="s">
        <v>607</v>
      </c>
      <c r="C52" s="8" t="s">
        <v>58</v>
      </c>
      <c r="D52" s="8" t="s">
        <v>161</v>
      </c>
      <c r="E52" s="21">
        <v>2</v>
      </c>
      <c r="F52" s="8" t="s">
        <v>608</v>
      </c>
      <c r="G52" s="9" t="s">
        <v>609</v>
      </c>
    </row>
    <row r="53" spans="1:7" ht="185.25">
      <c r="A53" s="7" t="s">
        <v>160</v>
      </c>
      <c r="B53" s="8" t="s">
        <v>610</v>
      </c>
      <c r="C53" s="8" t="s">
        <v>58</v>
      </c>
      <c r="D53" s="8" t="s">
        <v>161</v>
      </c>
      <c r="E53" s="21">
        <v>3</v>
      </c>
      <c r="F53" s="8" t="s">
        <v>611</v>
      </c>
      <c r="G53" s="9" t="s">
        <v>612</v>
      </c>
    </row>
    <row r="54" spans="1:7" ht="142.5">
      <c r="A54" s="7" t="s">
        <v>160</v>
      </c>
      <c r="B54" s="8" t="s">
        <v>613</v>
      </c>
      <c r="C54" s="8" t="s">
        <v>58</v>
      </c>
      <c r="D54" s="8" t="s">
        <v>161</v>
      </c>
      <c r="E54" s="21">
        <v>4</v>
      </c>
      <c r="F54" s="8" t="s">
        <v>614</v>
      </c>
      <c r="G54" s="9" t="s">
        <v>615</v>
      </c>
    </row>
    <row r="55" spans="1:7" ht="28.5">
      <c r="A55" s="7" t="s">
        <v>163</v>
      </c>
      <c r="B55" s="8" t="s">
        <v>616</v>
      </c>
      <c r="C55" s="8" t="s">
        <v>58</v>
      </c>
      <c r="D55" s="8" t="s">
        <v>164</v>
      </c>
      <c r="E55" s="21">
        <v>0</v>
      </c>
      <c r="F55" s="8" t="s">
        <v>589</v>
      </c>
      <c r="G55" s="9"/>
    </row>
    <row r="56" spans="1:7" ht="114">
      <c r="A56" s="7" t="s">
        <v>163</v>
      </c>
      <c r="B56" s="8" t="s">
        <v>617</v>
      </c>
      <c r="C56" s="8" t="s">
        <v>58</v>
      </c>
      <c r="D56" s="8" t="s">
        <v>164</v>
      </c>
      <c r="E56" s="21">
        <v>1</v>
      </c>
      <c r="F56" s="8" t="s">
        <v>618</v>
      </c>
      <c r="G56" s="9" t="s">
        <v>619</v>
      </c>
    </row>
    <row r="57" spans="1:7" ht="185.25">
      <c r="A57" s="7" t="s">
        <v>163</v>
      </c>
      <c r="B57" s="8" t="s">
        <v>620</v>
      </c>
      <c r="C57" s="8" t="s">
        <v>58</v>
      </c>
      <c r="D57" s="8" t="s">
        <v>164</v>
      </c>
      <c r="E57" s="21">
        <v>2</v>
      </c>
      <c r="F57" s="8" t="s">
        <v>621</v>
      </c>
      <c r="G57" s="9" t="s">
        <v>622</v>
      </c>
    </row>
    <row r="58" spans="1:7" ht="142.5">
      <c r="A58" s="7" t="s">
        <v>163</v>
      </c>
      <c r="B58" s="8" t="s">
        <v>623</v>
      </c>
      <c r="C58" s="8" t="s">
        <v>58</v>
      </c>
      <c r="D58" s="8" t="s">
        <v>164</v>
      </c>
      <c r="E58" s="21">
        <v>3</v>
      </c>
      <c r="F58" s="8" t="s">
        <v>624</v>
      </c>
      <c r="G58" s="9" t="s">
        <v>625</v>
      </c>
    </row>
    <row r="59" spans="1:7" ht="199.5">
      <c r="A59" s="7" t="s">
        <v>163</v>
      </c>
      <c r="B59" s="8" t="s">
        <v>626</v>
      </c>
      <c r="C59" s="8" t="s">
        <v>58</v>
      </c>
      <c r="D59" s="8" t="s">
        <v>164</v>
      </c>
      <c r="E59" s="21">
        <v>4</v>
      </c>
      <c r="F59" s="8" t="s">
        <v>627</v>
      </c>
      <c r="G59" s="9" t="s">
        <v>628</v>
      </c>
    </row>
    <row r="60" spans="1:7">
      <c r="A60" s="7" t="s">
        <v>166</v>
      </c>
      <c r="B60" s="8" t="s">
        <v>629</v>
      </c>
      <c r="C60" s="8" t="s">
        <v>58</v>
      </c>
      <c r="D60" s="8" t="s">
        <v>167</v>
      </c>
      <c r="E60" s="21">
        <v>0</v>
      </c>
      <c r="F60" s="8" t="s">
        <v>630</v>
      </c>
      <c r="G60" s="9"/>
    </row>
    <row r="61" spans="1:7" ht="99.75">
      <c r="A61" s="7" t="s">
        <v>166</v>
      </c>
      <c r="B61" s="8" t="s">
        <v>631</v>
      </c>
      <c r="C61" s="8" t="s">
        <v>58</v>
      </c>
      <c r="D61" s="8" t="s">
        <v>167</v>
      </c>
      <c r="E61" s="21">
        <v>1</v>
      </c>
      <c r="F61" s="8" t="s">
        <v>632</v>
      </c>
      <c r="G61" s="9" t="s">
        <v>633</v>
      </c>
    </row>
    <row r="62" spans="1:7" ht="142.5">
      <c r="A62" s="7" t="s">
        <v>166</v>
      </c>
      <c r="B62" s="8" t="s">
        <v>634</v>
      </c>
      <c r="C62" s="8" t="s">
        <v>58</v>
      </c>
      <c r="D62" s="8" t="s">
        <v>167</v>
      </c>
      <c r="E62" s="21">
        <v>2</v>
      </c>
      <c r="F62" s="8" t="s">
        <v>635</v>
      </c>
      <c r="G62" s="9" t="s">
        <v>636</v>
      </c>
    </row>
    <row r="63" spans="1:7" ht="156.75">
      <c r="A63" s="7" t="s">
        <v>166</v>
      </c>
      <c r="B63" s="8" t="s">
        <v>637</v>
      </c>
      <c r="C63" s="8" t="s">
        <v>58</v>
      </c>
      <c r="D63" s="8" t="s">
        <v>167</v>
      </c>
      <c r="E63" s="21">
        <v>3</v>
      </c>
      <c r="F63" s="8" t="s">
        <v>638</v>
      </c>
      <c r="G63" s="9" t="s">
        <v>639</v>
      </c>
    </row>
    <row r="64" spans="1:7" ht="114">
      <c r="A64" s="7" t="s">
        <v>166</v>
      </c>
      <c r="B64" s="8" t="s">
        <v>640</v>
      </c>
      <c r="C64" s="8" t="s">
        <v>58</v>
      </c>
      <c r="D64" s="8" t="s">
        <v>167</v>
      </c>
      <c r="E64" s="21">
        <v>4</v>
      </c>
      <c r="F64" s="8" t="s">
        <v>641</v>
      </c>
      <c r="G64" s="9" t="s">
        <v>642</v>
      </c>
    </row>
    <row r="65" spans="1:7">
      <c r="A65" s="7" t="s">
        <v>169</v>
      </c>
      <c r="B65" s="8" t="s">
        <v>643</v>
      </c>
      <c r="C65" s="8" t="s">
        <v>58</v>
      </c>
      <c r="D65" s="8" t="s">
        <v>170</v>
      </c>
      <c r="E65" s="21">
        <v>0</v>
      </c>
      <c r="F65" s="8" t="s">
        <v>630</v>
      </c>
      <c r="G65" s="9"/>
    </row>
    <row r="66" spans="1:7" ht="71.25">
      <c r="A66" s="7" t="s">
        <v>169</v>
      </c>
      <c r="B66" s="8" t="s">
        <v>644</v>
      </c>
      <c r="C66" s="8" t="s">
        <v>58</v>
      </c>
      <c r="D66" s="8" t="s">
        <v>170</v>
      </c>
      <c r="E66" s="21">
        <v>1</v>
      </c>
      <c r="F66" s="8" t="s">
        <v>645</v>
      </c>
      <c r="G66" s="9" t="s">
        <v>646</v>
      </c>
    </row>
    <row r="67" spans="1:7" ht="99.75">
      <c r="A67" s="7" t="s">
        <v>169</v>
      </c>
      <c r="B67" s="8" t="s">
        <v>647</v>
      </c>
      <c r="C67" s="8" t="s">
        <v>58</v>
      </c>
      <c r="D67" s="8" t="s">
        <v>170</v>
      </c>
      <c r="E67" s="21">
        <v>2</v>
      </c>
      <c r="F67" s="8" t="s">
        <v>648</v>
      </c>
      <c r="G67" s="9" t="s">
        <v>649</v>
      </c>
    </row>
    <row r="68" spans="1:7" ht="142.5">
      <c r="A68" s="7" t="s">
        <v>169</v>
      </c>
      <c r="B68" s="8" t="s">
        <v>650</v>
      </c>
      <c r="C68" s="8" t="s">
        <v>58</v>
      </c>
      <c r="D68" s="8" t="s">
        <v>170</v>
      </c>
      <c r="E68" s="21">
        <v>3</v>
      </c>
      <c r="F68" s="8" t="s">
        <v>651</v>
      </c>
      <c r="G68" s="9" t="s">
        <v>652</v>
      </c>
    </row>
    <row r="69" spans="1:7" ht="156.75">
      <c r="A69" s="7" t="s">
        <v>169</v>
      </c>
      <c r="B69" s="8" t="s">
        <v>653</v>
      </c>
      <c r="C69" s="8" t="s">
        <v>58</v>
      </c>
      <c r="D69" s="8" t="s">
        <v>170</v>
      </c>
      <c r="E69" s="21">
        <v>4</v>
      </c>
      <c r="F69" s="8" t="s">
        <v>654</v>
      </c>
      <c r="G69" s="9" t="s">
        <v>655</v>
      </c>
    </row>
    <row r="70" spans="1:7" ht="28.5">
      <c r="A70" s="7" t="s">
        <v>172</v>
      </c>
      <c r="B70" s="8" t="s">
        <v>656</v>
      </c>
      <c r="C70" s="8" t="s">
        <v>58</v>
      </c>
      <c r="D70" s="8" t="s">
        <v>173</v>
      </c>
      <c r="E70" s="21">
        <v>0</v>
      </c>
      <c r="F70" s="8" t="s">
        <v>657</v>
      </c>
      <c r="G70" s="9"/>
    </row>
    <row r="71" spans="1:7" ht="99.75">
      <c r="A71" s="7" t="s">
        <v>172</v>
      </c>
      <c r="B71" s="8" t="s">
        <v>658</v>
      </c>
      <c r="C71" s="8" t="s">
        <v>58</v>
      </c>
      <c r="D71" s="8" t="s">
        <v>173</v>
      </c>
      <c r="E71" s="21">
        <v>1</v>
      </c>
      <c r="F71" s="8" t="s">
        <v>659</v>
      </c>
      <c r="G71" s="9" t="s">
        <v>660</v>
      </c>
    </row>
    <row r="72" spans="1:7" ht="128.25">
      <c r="A72" s="7" t="s">
        <v>172</v>
      </c>
      <c r="B72" s="8" t="s">
        <v>661</v>
      </c>
      <c r="C72" s="8" t="s">
        <v>58</v>
      </c>
      <c r="D72" s="8" t="s">
        <v>173</v>
      </c>
      <c r="E72" s="21">
        <v>2</v>
      </c>
      <c r="F72" s="8" t="s">
        <v>662</v>
      </c>
      <c r="G72" s="9" t="s">
        <v>663</v>
      </c>
    </row>
    <row r="73" spans="1:7" ht="185.25">
      <c r="A73" s="7" t="s">
        <v>172</v>
      </c>
      <c r="B73" s="8" t="s">
        <v>664</v>
      </c>
      <c r="C73" s="8" t="s">
        <v>58</v>
      </c>
      <c r="D73" s="8" t="s">
        <v>173</v>
      </c>
      <c r="E73" s="21">
        <v>3</v>
      </c>
      <c r="F73" s="8" t="s">
        <v>665</v>
      </c>
      <c r="G73" s="9" t="s">
        <v>666</v>
      </c>
    </row>
    <row r="74" spans="1:7" ht="114">
      <c r="A74" s="7" t="s">
        <v>172</v>
      </c>
      <c r="B74" s="8" t="s">
        <v>667</v>
      </c>
      <c r="C74" s="8" t="s">
        <v>58</v>
      </c>
      <c r="D74" s="8" t="s">
        <v>173</v>
      </c>
      <c r="E74" s="21">
        <v>4</v>
      </c>
      <c r="F74" s="8" t="s">
        <v>668</v>
      </c>
      <c r="G74" s="9" t="s">
        <v>669</v>
      </c>
    </row>
    <row r="75" spans="1:7" ht="28.5">
      <c r="A75" s="7" t="s">
        <v>175</v>
      </c>
      <c r="B75" s="8" t="s">
        <v>670</v>
      </c>
      <c r="C75" s="8" t="s">
        <v>58</v>
      </c>
      <c r="D75" s="8" t="s">
        <v>176</v>
      </c>
      <c r="E75" s="21">
        <v>0</v>
      </c>
      <c r="F75" s="8" t="s">
        <v>657</v>
      </c>
      <c r="G75" s="9"/>
    </row>
    <row r="76" spans="1:7" ht="142.5">
      <c r="A76" s="7" t="s">
        <v>175</v>
      </c>
      <c r="B76" s="8" t="s">
        <v>671</v>
      </c>
      <c r="C76" s="8" t="s">
        <v>58</v>
      </c>
      <c r="D76" s="8" t="s">
        <v>176</v>
      </c>
      <c r="E76" s="21">
        <v>1</v>
      </c>
      <c r="F76" s="8" t="s">
        <v>672</v>
      </c>
      <c r="G76" s="9" t="s">
        <v>673</v>
      </c>
    </row>
    <row r="77" spans="1:7" ht="171">
      <c r="A77" s="7" t="s">
        <v>175</v>
      </c>
      <c r="B77" s="8" t="s">
        <v>674</v>
      </c>
      <c r="C77" s="8" t="s">
        <v>58</v>
      </c>
      <c r="D77" s="8" t="s">
        <v>176</v>
      </c>
      <c r="E77" s="21">
        <v>2</v>
      </c>
      <c r="F77" s="8" t="s">
        <v>675</v>
      </c>
      <c r="G77" s="9" t="s">
        <v>676</v>
      </c>
    </row>
    <row r="78" spans="1:7" ht="185.25">
      <c r="A78" s="7" t="s">
        <v>175</v>
      </c>
      <c r="B78" s="8" t="s">
        <v>677</v>
      </c>
      <c r="C78" s="8" t="s">
        <v>58</v>
      </c>
      <c r="D78" s="8" t="s">
        <v>176</v>
      </c>
      <c r="E78" s="21">
        <v>3</v>
      </c>
      <c r="F78" s="8" t="s">
        <v>678</v>
      </c>
      <c r="G78" s="9" t="s">
        <v>679</v>
      </c>
    </row>
    <row r="79" spans="1:7" ht="171">
      <c r="A79" s="7" t="s">
        <v>175</v>
      </c>
      <c r="B79" s="8" t="s">
        <v>680</v>
      </c>
      <c r="C79" s="8" t="s">
        <v>58</v>
      </c>
      <c r="D79" s="8" t="s">
        <v>176</v>
      </c>
      <c r="E79" s="21">
        <v>4</v>
      </c>
      <c r="F79" s="8" t="s">
        <v>681</v>
      </c>
      <c r="G79" s="9" t="s">
        <v>682</v>
      </c>
    </row>
    <row r="80" spans="1:7" ht="28.5">
      <c r="A80" s="7" t="s">
        <v>178</v>
      </c>
      <c r="B80" s="8" t="s">
        <v>683</v>
      </c>
      <c r="C80" s="8" t="s">
        <v>58</v>
      </c>
      <c r="D80" s="8" t="s">
        <v>179</v>
      </c>
      <c r="E80" s="21">
        <v>0</v>
      </c>
      <c r="F80" s="8" t="s">
        <v>657</v>
      </c>
      <c r="G80" s="9"/>
    </row>
    <row r="81" spans="1:7" ht="142.5">
      <c r="A81" s="7" t="s">
        <v>178</v>
      </c>
      <c r="B81" s="8" t="s">
        <v>684</v>
      </c>
      <c r="C81" s="8" t="s">
        <v>58</v>
      </c>
      <c r="D81" s="8" t="s">
        <v>179</v>
      </c>
      <c r="E81" s="21">
        <v>1</v>
      </c>
      <c r="F81" s="8" t="s">
        <v>685</v>
      </c>
      <c r="G81" s="9" t="s">
        <v>686</v>
      </c>
    </row>
    <row r="82" spans="1:7" ht="142.5">
      <c r="A82" s="7" t="s">
        <v>178</v>
      </c>
      <c r="B82" s="8" t="s">
        <v>687</v>
      </c>
      <c r="C82" s="8" t="s">
        <v>58</v>
      </c>
      <c r="D82" s="8" t="s">
        <v>179</v>
      </c>
      <c r="E82" s="21">
        <v>2</v>
      </c>
      <c r="F82" s="8" t="s">
        <v>688</v>
      </c>
      <c r="G82" s="9" t="s">
        <v>689</v>
      </c>
    </row>
    <row r="83" spans="1:7" ht="171">
      <c r="A83" s="7" t="s">
        <v>178</v>
      </c>
      <c r="B83" s="8" t="s">
        <v>690</v>
      </c>
      <c r="C83" s="8" t="s">
        <v>58</v>
      </c>
      <c r="D83" s="8" t="s">
        <v>179</v>
      </c>
      <c r="E83" s="21">
        <v>3</v>
      </c>
      <c r="F83" s="8" t="s">
        <v>691</v>
      </c>
      <c r="G83" s="9" t="s">
        <v>692</v>
      </c>
    </row>
    <row r="84" spans="1:7" ht="142.5">
      <c r="A84" s="7" t="s">
        <v>178</v>
      </c>
      <c r="B84" s="8" t="s">
        <v>693</v>
      </c>
      <c r="C84" s="8" t="s">
        <v>58</v>
      </c>
      <c r="D84" s="8" t="s">
        <v>179</v>
      </c>
      <c r="E84" s="21">
        <v>4</v>
      </c>
      <c r="F84" s="8" t="s">
        <v>694</v>
      </c>
      <c r="G84" s="9" t="s">
        <v>695</v>
      </c>
    </row>
    <row r="85" spans="1:7" ht="28.5">
      <c r="A85" s="7" t="s">
        <v>182</v>
      </c>
      <c r="B85" s="8" t="s">
        <v>696</v>
      </c>
      <c r="C85" s="8" t="s">
        <v>60</v>
      </c>
      <c r="D85" s="8" t="s">
        <v>183</v>
      </c>
      <c r="E85" s="21">
        <v>0</v>
      </c>
      <c r="F85" s="8" t="s">
        <v>697</v>
      </c>
      <c r="G85" s="9"/>
    </row>
    <row r="86" spans="1:7" ht="128.25">
      <c r="A86" s="7" t="s">
        <v>182</v>
      </c>
      <c r="B86" s="8" t="s">
        <v>698</v>
      </c>
      <c r="C86" s="8" t="s">
        <v>60</v>
      </c>
      <c r="D86" s="8" t="s">
        <v>183</v>
      </c>
      <c r="E86" s="21">
        <v>1</v>
      </c>
      <c r="F86" s="8" t="s">
        <v>699</v>
      </c>
      <c r="G86" s="9" t="s">
        <v>700</v>
      </c>
    </row>
    <row r="87" spans="1:7" ht="156.75">
      <c r="A87" s="7" t="s">
        <v>182</v>
      </c>
      <c r="B87" s="8" t="s">
        <v>701</v>
      </c>
      <c r="C87" s="8" t="s">
        <v>60</v>
      </c>
      <c r="D87" s="8" t="s">
        <v>183</v>
      </c>
      <c r="E87" s="21">
        <v>2</v>
      </c>
      <c r="F87" s="8" t="s">
        <v>702</v>
      </c>
      <c r="G87" s="9" t="s">
        <v>703</v>
      </c>
    </row>
    <row r="88" spans="1:7" ht="156.75">
      <c r="A88" s="7" t="s">
        <v>182</v>
      </c>
      <c r="B88" s="8" t="s">
        <v>704</v>
      </c>
      <c r="C88" s="8" t="s">
        <v>60</v>
      </c>
      <c r="D88" s="8" t="s">
        <v>183</v>
      </c>
      <c r="E88" s="21">
        <v>3</v>
      </c>
      <c r="F88" s="8" t="s">
        <v>705</v>
      </c>
      <c r="G88" s="9" t="s">
        <v>706</v>
      </c>
    </row>
    <row r="89" spans="1:7" ht="156.75">
      <c r="A89" s="7" t="s">
        <v>182</v>
      </c>
      <c r="B89" s="8" t="s">
        <v>707</v>
      </c>
      <c r="C89" s="8" t="s">
        <v>60</v>
      </c>
      <c r="D89" s="8" t="s">
        <v>183</v>
      </c>
      <c r="E89" s="21">
        <v>4</v>
      </c>
      <c r="F89" s="8" t="s">
        <v>708</v>
      </c>
      <c r="G89" s="9" t="s">
        <v>709</v>
      </c>
    </row>
    <row r="90" spans="1:7" ht="28.5">
      <c r="A90" s="7" t="s">
        <v>185</v>
      </c>
      <c r="B90" s="8" t="s">
        <v>710</v>
      </c>
      <c r="C90" s="8" t="s">
        <v>60</v>
      </c>
      <c r="D90" s="8" t="s">
        <v>186</v>
      </c>
      <c r="E90" s="21">
        <v>0</v>
      </c>
      <c r="F90" s="8" t="s">
        <v>711</v>
      </c>
      <c r="G90" s="9"/>
    </row>
    <row r="91" spans="1:7" ht="99.75">
      <c r="A91" s="7" t="s">
        <v>185</v>
      </c>
      <c r="B91" s="8" t="s">
        <v>712</v>
      </c>
      <c r="C91" s="8" t="s">
        <v>60</v>
      </c>
      <c r="D91" s="8" t="s">
        <v>186</v>
      </c>
      <c r="E91" s="21">
        <v>1</v>
      </c>
      <c r="F91" s="8" t="s">
        <v>713</v>
      </c>
      <c r="G91" s="9" t="s">
        <v>714</v>
      </c>
    </row>
    <row r="92" spans="1:7" ht="185.25">
      <c r="A92" s="7" t="s">
        <v>185</v>
      </c>
      <c r="B92" s="8" t="s">
        <v>715</v>
      </c>
      <c r="C92" s="8" t="s">
        <v>60</v>
      </c>
      <c r="D92" s="8" t="s">
        <v>186</v>
      </c>
      <c r="E92" s="21">
        <v>2</v>
      </c>
      <c r="F92" s="8" t="s">
        <v>716</v>
      </c>
      <c r="G92" s="9" t="s">
        <v>717</v>
      </c>
    </row>
    <row r="93" spans="1:7" ht="142.5">
      <c r="A93" s="7" t="s">
        <v>185</v>
      </c>
      <c r="B93" s="8" t="s">
        <v>718</v>
      </c>
      <c r="C93" s="8" t="s">
        <v>60</v>
      </c>
      <c r="D93" s="8" t="s">
        <v>186</v>
      </c>
      <c r="E93" s="21">
        <v>3</v>
      </c>
      <c r="F93" s="8" t="s">
        <v>719</v>
      </c>
      <c r="G93" s="9" t="s">
        <v>720</v>
      </c>
    </row>
    <row r="94" spans="1:7" ht="142.5">
      <c r="A94" s="7" t="s">
        <v>185</v>
      </c>
      <c r="B94" s="8" t="s">
        <v>721</v>
      </c>
      <c r="C94" s="8" t="s">
        <v>60</v>
      </c>
      <c r="D94" s="8" t="s">
        <v>186</v>
      </c>
      <c r="E94" s="21">
        <v>4</v>
      </c>
      <c r="F94" s="8" t="s">
        <v>722</v>
      </c>
      <c r="G94" s="9" t="s">
        <v>723</v>
      </c>
    </row>
    <row r="95" spans="1:7">
      <c r="A95" s="7" t="s">
        <v>188</v>
      </c>
      <c r="B95" s="8" t="s">
        <v>724</v>
      </c>
      <c r="C95" s="8" t="s">
        <v>60</v>
      </c>
      <c r="D95" s="8" t="s">
        <v>189</v>
      </c>
      <c r="E95" s="21">
        <v>0</v>
      </c>
      <c r="F95" s="8" t="s">
        <v>725</v>
      </c>
      <c r="G95" s="9"/>
    </row>
    <row r="96" spans="1:7" ht="114">
      <c r="A96" s="7" t="s">
        <v>188</v>
      </c>
      <c r="B96" s="8" t="s">
        <v>726</v>
      </c>
      <c r="C96" s="8" t="s">
        <v>60</v>
      </c>
      <c r="D96" s="8" t="s">
        <v>189</v>
      </c>
      <c r="E96" s="21">
        <v>1</v>
      </c>
      <c r="F96" s="8" t="s">
        <v>727</v>
      </c>
      <c r="G96" s="9" t="s">
        <v>728</v>
      </c>
    </row>
    <row r="97" spans="1:7" ht="99.75">
      <c r="A97" s="7" t="s">
        <v>188</v>
      </c>
      <c r="B97" s="8" t="s">
        <v>729</v>
      </c>
      <c r="C97" s="8" t="s">
        <v>60</v>
      </c>
      <c r="D97" s="8" t="s">
        <v>189</v>
      </c>
      <c r="E97" s="21">
        <v>2</v>
      </c>
      <c r="F97" s="8" t="s">
        <v>730</v>
      </c>
      <c r="G97" s="9" t="s">
        <v>731</v>
      </c>
    </row>
    <row r="98" spans="1:7" ht="114">
      <c r="A98" s="7" t="s">
        <v>188</v>
      </c>
      <c r="B98" s="8" t="s">
        <v>732</v>
      </c>
      <c r="C98" s="8" t="s">
        <v>60</v>
      </c>
      <c r="D98" s="8" t="s">
        <v>189</v>
      </c>
      <c r="E98" s="21">
        <v>3</v>
      </c>
      <c r="F98" s="8" t="s">
        <v>733</v>
      </c>
      <c r="G98" s="9" t="s">
        <v>734</v>
      </c>
    </row>
    <row r="99" spans="1:7" ht="171">
      <c r="A99" s="7" t="s">
        <v>188</v>
      </c>
      <c r="B99" s="8" t="s">
        <v>735</v>
      </c>
      <c r="C99" s="8" t="s">
        <v>60</v>
      </c>
      <c r="D99" s="8" t="s">
        <v>189</v>
      </c>
      <c r="E99" s="21">
        <v>4</v>
      </c>
      <c r="F99" s="8" t="s">
        <v>736</v>
      </c>
      <c r="G99" s="9" t="s">
        <v>737</v>
      </c>
    </row>
    <row r="100" spans="1:7" ht="28.5">
      <c r="A100" s="7" t="s">
        <v>191</v>
      </c>
      <c r="B100" s="8" t="s">
        <v>738</v>
      </c>
      <c r="C100" s="8" t="s">
        <v>60</v>
      </c>
      <c r="D100" s="8" t="s">
        <v>192</v>
      </c>
      <c r="E100" s="21">
        <v>0</v>
      </c>
      <c r="F100" s="8" t="s">
        <v>739</v>
      </c>
      <c r="G100" s="9"/>
    </row>
    <row r="101" spans="1:7" ht="99.75">
      <c r="A101" s="7" t="s">
        <v>191</v>
      </c>
      <c r="B101" s="8" t="s">
        <v>740</v>
      </c>
      <c r="C101" s="8" t="s">
        <v>60</v>
      </c>
      <c r="D101" s="8" t="s">
        <v>192</v>
      </c>
      <c r="E101" s="21">
        <v>1</v>
      </c>
      <c r="F101" s="8" t="s">
        <v>741</v>
      </c>
      <c r="G101" s="9" t="s">
        <v>742</v>
      </c>
    </row>
    <row r="102" spans="1:7" ht="171">
      <c r="A102" s="7" t="s">
        <v>191</v>
      </c>
      <c r="B102" s="8" t="s">
        <v>743</v>
      </c>
      <c r="C102" s="8" t="s">
        <v>60</v>
      </c>
      <c r="D102" s="8" t="s">
        <v>192</v>
      </c>
      <c r="E102" s="21">
        <v>2</v>
      </c>
      <c r="F102" s="8" t="s">
        <v>744</v>
      </c>
      <c r="G102" s="9" t="s">
        <v>745</v>
      </c>
    </row>
    <row r="103" spans="1:7" ht="142.5">
      <c r="A103" s="7" t="s">
        <v>191</v>
      </c>
      <c r="B103" s="8" t="s">
        <v>746</v>
      </c>
      <c r="C103" s="8" t="s">
        <v>60</v>
      </c>
      <c r="D103" s="8" t="s">
        <v>192</v>
      </c>
      <c r="E103" s="21">
        <v>3</v>
      </c>
      <c r="F103" s="8" t="s">
        <v>747</v>
      </c>
      <c r="G103" s="9" t="s">
        <v>748</v>
      </c>
    </row>
    <row r="104" spans="1:7" ht="199.5">
      <c r="A104" s="7" t="s">
        <v>191</v>
      </c>
      <c r="B104" s="8" t="s">
        <v>749</v>
      </c>
      <c r="C104" s="8" t="s">
        <v>60</v>
      </c>
      <c r="D104" s="8" t="s">
        <v>192</v>
      </c>
      <c r="E104" s="21">
        <v>4</v>
      </c>
      <c r="F104" s="8" t="s">
        <v>750</v>
      </c>
      <c r="G104" s="9" t="s">
        <v>751</v>
      </c>
    </row>
    <row r="105" spans="1:7" ht="28.5">
      <c r="A105" s="7" t="s">
        <v>194</v>
      </c>
      <c r="B105" s="8" t="s">
        <v>752</v>
      </c>
      <c r="C105" s="8" t="s">
        <v>60</v>
      </c>
      <c r="D105" s="8" t="s">
        <v>195</v>
      </c>
      <c r="E105" s="21">
        <v>0</v>
      </c>
      <c r="F105" s="8" t="s">
        <v>753</v>
      </c>
      <c r="G105" s="9"/>
    </row>
    <row r="106" spans="1:7" ht="128.25">
      <c r="A106" s="7" t="s">
        <v>194</v>
      </c>
      <c r="B106" s="8" t="s">
        <v>754</v>
      </c>
      <c r="C106" s="8" t="s">
        <v>60</v>
      </c>
      <c r="D106" s="8" t="s">
        <v>195</v>
      </c>
      <c r="E106" s="21">
        <v>1</v>
      </c>
      <c r="F106" s="8" t="s">
        <v>755</v>
      </c>
      <c r="G106" s="9" t="s">
        <v>756</v>
      </c>
    </row>
    <row r="107" spans="1:7" ht="156.75">
      <c r="A107" s="7" t="s">
        <v>194</v>
      </c>
      <c r="B107" s="8" t="s">
        <v>757</v>
      </c>
      <c r="C107" s="8" t="s">
        <v>60</v>
      </c>
      <c r="D107" s="8" t="s">
        <v>195</v>
      </c>
      <c r="E107" s="21">
        <v>2</v>
      </c>
      <c r="F107" s="8" t="s">
        <v>758</v>
      </c>
      <c r="G107" s="9" t="s">
        <v>759</v>
      </c>
    </row>
    <row r="108" spans="1:7" ht="185.25">
      <c r="A108" s="7" t="s">
        <v>194</v>
      </c>
      <c r="B108" s="8" t="s">
        <v>760</v>
      </c>
      <c r="C108" s="8" t="s">
        <v>60</v>
      </c>
      <c r="D108" s="8" t="s">
        <v>195</v>
      </c>
      <c r="E108" s="21">
        <v>3</v>
      </c>
      <c r="F108" s="8" t="s">
        <v>761</v>
      </c>
      <c r="G108" s="9" t="s">
        <v>762</v>
      </c>
    </row>
    <row r="109" spans="1:7" ht="171">
      <c r="A109" s="7" t="s">
        <v>194</v>
      </c>
      <c r="B109" s="8" t="s">
        <v>763</v>
      </c>
      <c r="C109" s="8" t="s">
        <v>60</v>
      </c>
      <c r="D109" s="8" t="s">
        <v>195</v>
      </c>
      <c r="E109" s="21">
        <v>4</v>
      </c>
      <c r="F109" s="8" t="s">
        <v>764</v>
      </c>
      <c r="G109" s="9" t="s">
        <v>765</v>
      </c>
    </row>
    <row r="110" spans="1:7">
      <c r="A110" s="7" t="s">
        <v>197</v>
      </c>
      <c r="B110" s="8" t="s">
        <v>766</v>
      </c>
      <c r="C110" s="8" t="s">
        <v>60</v>
      </c>
      <c r="D110" s="8" t="s">
        <v>198</v>
      </c>
      <c r="E110" s="21">
        <v>0</v>
      </c>
      <c r="F110" s="8" t="s">
        <v>767</v>
      </c>
      <c r="G110" s="9"/>
    </row>
    <row r="111" spans="1:7" ht="128.25">
      <c r="A111" s="7" t="s">
        <v>197</v>
      </c>
      <c r="B111" s="8" t="s">
        <v>768</v>
      </c>
      <c r="C111" s="8" t="s">
        <v>60</v>
      </c>
      <c r="D111" s="8" t="s">
        <v>198</v>
      </c>
      <c r="E111" s="21">
        <v>1</v>
      </c>
      <c r="F111" s="8" t="s">
        <v>769</v>
      </c>
      <c r="G111" s="9" t="s">
        <v>770</v>
      </c>
    </row>
    <row r="112" spans="1:7" ht="114">
      <c r="A112" s="7" t="s">
        <v>197</v>
      </c>
      <c r="B112" s="8" t="s">
        <v>771</v>
      </c>
      <c r="C112" s="8" t="s">
        <v>60</v>
      </c>
      <c r="D112" s="8" t="s">
        <v>198</v>
      </c>
      <c r="E112" s="21">
        <v>2</v>
      </c>
      <c r="F112" s="8" t="s">
        <v>772</v>
      </c>
      <c r="G112" s="9" t="s">
        <v>773</v>
      </c>
    </row>
    <row r="113" spans="1:7" ht="128.25">
      <c r="A113" s="7" t="s">
        <v>197</v>
      </c>
      <c r="B113" s="8" t="s">
        <v>774</v>
      </c>
      <c r="C113" s="8" t="s">
        <v>60</v>
      </c>
      <c r="D113" s="8" t="s">
        <v>198</v>
      </c>
      <c r="E113" s="21">
        <v>3</v>
      </c>
      <c r="F113" s="8" t="s">
        <v>775</v>
      </c>
      <c r="G113" s="9" t="s">
        <v>776</v>
      </c>
    </row>
    <row r="114" spans="1:7" ht="142.5">
      <c r="A114" s="7" t="s">
        <v>197</v>
      </c>
      <c r="B114" s="8" t="s">
        <v>777</v>
      </c>
      <c r="C114" s="8" t="s">
        <v>60</v>
      </c>
      <c r="D114" s="8" t="s">
        <v>198</v>
      </c>
      <c r="E114" s="21">
        <v>4</v>
      </c>
      <c r="F114" s="8" t="s">
        <v>778</v>
      </c>
      <c r="G114" s="9" t="s">
        <v>779</v>
      </c>
    </row>
    <row r="115" spans="1:7" ht="28.5">
      <c r="A115" s="7" t="s">
        <v>200</v>
      </c>
      <c r="B115" s="8" t="s">
        <v>780</v>
      </c>
      <c r="C115" s="8" t="s">
        <v>60</v>
      </c>
      <c r="D115" s="8" t="s">
        <v>201</v>
      </c>
      <c r="E115" s="21">
        <v>0</v>
      </c>
      <c r="F115" s="8" t="s">
        <v>781</v>
      </c>
      <c r="G115" s="9"/>
    </row>
    <row r="116" spans="1:7" ht="128.25">
      <c r="A116" s="7" t="s">
        <v>200</v>
      </c>
      <c r="B116" s="8" t="s">
        <v>782</v>
      </c>
      <c r="C116" s="8" t="s">
        <v>60</v>
      </c>
      <c r="D116" s="8" t="s">
        <v>201</v>
      </c>
      <c r="E116" s="21">
        <v>1</v>
      </c>
      <c r="F116" s="8" t="s">
        <v>783</v>
      </c>
      <c r="G116" s="9" t="s">
        <v>784</v>
      </c>
    </row>
    <row r="117" spans="1:7" ht="142.5">
      <c r="A117" s="7" t="s">
        <v>200</v>
      </c>
      <c r="B117" s="8" t="s">
        <v>785</v>
      </c>
      <c r="C117" s="8" t="s">
        <v>60</v>
      </c>
      <c r="D117" s="8" t="s">
        <v>201</v>
      </c>
      <c r="E117" s="21">
        <v>2</v>
      </c>
      <c r="F117" s="8" t="s">
        <v>786</v>
      </c>
      <c r="G117" s="9" t="s">
        <v>787</v>
      </c>
    </row>
    <row r="118" spans="1:7" ht="128.25">
      <c r="A118" s="7" t="s">
        <v>200</v>
      </c>
      <c r="B118" s="8" t="s">
        <v>788</v>
      </c>
      <c r="C118" s="8" t="s">
        <v>60</v>
      </c>
      <c r="D118" s="8" t="s">
        <v>201</v>
      </c>
      <c r="E118" s="21">
        <v>3</v>
      </c>
      <c r="F118" s="8" t="s">
        <v>789</v>
      </c>
      <c r="G118" s="9" t="s">
        <v>790</v>
      </c>
    </row>
    <row r="119" spans="1:7" ht="128.25">
      <c r="A119" s="7" t="s">
        <v>200</v>
      </c>
      <c r="B119" s="8" t="s">
        <v>791</v>
      </c>
      <c r="C119" s="8" t="s">
        <v>60</v>
      </c>
      <c r="D119" s="8" t="s">
        <v>201</v>
      </c>
      <c r="E119" s="21">
        <v>4</v>
      </c>
      <c r="F119" s="8" t="s">
        <v>792</v>
      </c>
      <c r="G119" s="9" t="s">
        <v>793</v>
      </c>
    </row>
    <row r="120" spans="1:7" ht="42.75">
      <c r="A120" s="7" t="s">
        <v>203</v>
      </c>
      <c r="B120" s="8" t="s">
        <v>794</v>
      </c>
      <c r="C120" s="8" t="s">
        <v>60</v>
      </c>
      <c r="D120" s="8" t="s">
        <v>204</v>
      </c>
      <c r="E120" s="21">
        <v>0</v>
      </c>
      <c r="F120" s="8" t="s">
        <v>795</v>
      </c>
      <c r="G120" s="9"/>
    </row>
    <row r="121" spans="1:7" ht="85.5">
      <c r="A121" s="7" t="s">
        <v>203</v>
      </c>
      <c r="B121" s="8" t="s">
        <v>796</v>
      </c>
      <c r="C121" s="8" t="s">
        <v>60</v>
      </c>
      <c r="D121" s="8" t="s">
        <v>204</v>
      </c>
      <c r="E121" s="21">
        <v>1</v>
      </c>
      <c r="F121" s="8" t="s">
        <v>797</v>
      </c>
      <c r="G121" s="9" t="s">
        <v>798</v>
      </c>
    </row>
    <row r="122" spans="1:7" ht="156.75">
      <c r="A122" s="7" t="s">
        <v>203</v>
      </c>
      <c r="B122" s="8" t="s">
        <v>799</v>
      </c>
      <c r="C122" s="8" t="s">
        <v>60</v>
      </c>
      <c r="D122" s="8" t="s">
        <v>204</v>
      </c>
      <c r="E122" s="21">
        <v>2</v>
      </c>
      <c r="F122" s="8" t="s">
        <v>800</v>
      </c>
      <c r="G122" s="9" t="s">
        <v>801</v>
      </c>
    </row>
    <row r="123" spans="1:7" ht="171">
      <c r="A123" s="7" t="s">
        <v>203</v>
      </c>
      <c r="B123" s="8" t="s">
        <v>802</v>
      </c>
      <c r="C123" s="8" t="s">
        <v>60</v>
      </c>
      <c r="D123" s="8" t="s">
        <v>204</v>
      </c>
      <c r="E123" s="21">
        <v>3</v>
      </c>
      <c r="F123" s="8" t="s">
        <v>803</v>
      </c>
      <c r="G123" s="9" t="s">
        <v>804</v>
      </c>
    </row>
    <row r="124" spans="1:7" ht="199.5">
      <c r="A124" s="7" t="s">
        <v>203</v>
      </c>
      <c r="B124" s="8" t="s">
        <v>805</v>
      </c>
      <c r="C124" s="8" t="s">
        <v>60</v>
      </c>
      <c r="D124" s="8" t="s">
        <v>204</v>
      </c>
      <c r="E124" s="21">
        <v>4</v>
      </c>
      <c r="F124" s="8" t="s">
        <v>806</v>
      </c>
      <c r="G124" s="9" t="s">
        <v>807</v>
      </c>
    </row>
    <row r="125" spans="1:7">
      <c r="A125" s="7" t="s">
        <v>206</v>
      </c>
      <c r="B125" s="8" t="s">
        <v>808</v>
      </c>
      <c r="C125" s="8" t="s">
        <v>60</v>
      </c>
      <c r="D125" s="8" t="s">
        <v>207</v>
      </c>
      <c r="E125" s="21">
        <v>0</v>
      </c>
      <c r="F125" s="8" t="s">
        <v>809</v>
      </c>
      <c r="G125" s="9"/>
    </row>
    <row r="126" spans="1:7" ht="85.5">
      <c r="A126" s="7" t="s">
        <v>206</v>
      </c>
      <c r="B126" s="8" t="s">
        <v>810</v>
      </c>
      <c r="C126" s="8" t="s">
        <v>60</v>
      </c>
      <c r="D126" s="8" t="s">
        <v>207</v>
      </c>
      <c r="E126" s="21">
        <v>1</v>
      </c>
      <c r="F126" s="8" t="s">
        <v>811</v>
      </c>
      <c r="G126" s="9" t="s">
        <v>812</v>
      </c>
    </row>
    <row r="127" spans="1:7" ht="114">
      <c r="A127" s="7" t="s">
        <v>206</v>
      </c>
      <c r="B127" s="8" t="s">
        <v>813</v>
      </c>
      <c r="C127" s="8" t="s">
        <v>60</v>
      </c>
      <c r="D127" s="8" t="s">
        <v>207</v>
      </c>
      <c r="E127" s="21">
        <v>2</v>
      </c>
      <c r="F127" s="8" t="s">
        <v>814</v>
      </c>
      <c r="G127" s="9" t="s">
        <v>815</v>
      </c>
    </row>
    <row r="128" spans="1:7" ht="128.25">
      <c r="A128" s="7" t="s">
        <v>206</v>
      </c>
      <c r="B128" s="8" t="s">
        <v>816</v>
      </c>
      <c r="C128" s="8" t="s">
        <v>60</v>
      </c>
      <c r="D128" s="8" t="s">
        <v>207</v>
      </c>
      <c r="E128" s="21">
        <v>3</v>
      </c>
      <c r="F128" s="8" t="s">
        <v>817</v>
      </c>
      <c r="G128" s="9" t="s">
        <v>818</v>
      </c>
    </row>
    <row r="129" spans="1:7" ht="114">
      <c r="A129" s="7" t="s">
        <v>206</v>
      </c>
      <c r="B129" s="8" t="s">
        <v>819</v>
      </c>
      <c r="C129" s="8" t="s">
        <v>60</v>
      </c>
      <c r="D129" s="8" t="s">
        <v>207</v>
      </c>
      <c r="E129" s="21">
        <v>4</v>
      </c>
      <c r="F129" s="8" t="s">
        <v>820</v>
      </c>
      <c r="G129" s="9" t="s">
        <v>821</v>
      </c>
    </row>
    <row r="130" spans="1:7" ht="28.5">
      <c r="A130" s="7" t="s">
        <v>209</v>
      </c>
      <c r="B130" s="8" t="s">
        <v>822</v>
      </c>
      <c r="C130" s="8" t="s">
        <v>60</v>
      </c>
      <c r="D130" s="8" t="s">
        <v>210</v>
      </c>
      <c r="E130" s="21">
        <v>0</v>
      </c>
      <c r="F130" s="8" t="s">
        <v>823</v>
      </c>
      <c r="G130" s="9"/>
    </row>
    <row r="131" spans="1:7" ht="85.5">
      <c r="A131" s="7" t="s">
        <v>209</v>
      </c>
      <c r="B131" s="8" t="s">
        <v>824</v>
      </c>
      <c r="C131" s="8" t="s">
        <v>60</v>
      </c>
      <c r="D131" s="8" t="s">
        <v>210</v>
      </c>
      <c r="E131" s="21">
        <v>1</v>
      </c>
      <c r="F131" s="8" t="s">
        <v>825</v>
      </c>
      <c r="G131" s="9" t="s">
        <v>826</v>
      </c>
    </row>
    <row r="132" spans="1:7" ht="114">
      <c r="A132" s="7" t="s">
        <v>209</v>
      </c>
      <c r="B132" s="8" t="s">
        <v>827</v>
      </c>
      <c r="C132" s="8" t="s">
        <v>60</v>
      </c>
      <c r="D132" s="8" t="s">
        <v>210</v>
      </c>
      <c r="E132" s="21">
        <v>2</v>
      </c>
      <c r="F132" s="8" t="s">
        <v>828</v>
      </c>
      <c r="G132" s="9" t="s">
        <v>829</v>
      </c>
    </row>
    <row r="133" spans="1:7" ht="114">
      <c r="A133" s="7" t="s">
        <v>209</v>
      </c>
      <c r="B133" s="8" t="s">
        <v>830</v>
      </c>
      <c r="C133" s="8" t="s">
        <v>60</v>
      </c>
      <c r="D133" s="8" t="s">
        <v>210</v>
      </c>
      <c r="E133" s="21">
        <v>3</v>
      </c>
      <c r="F133" s="8" t="s">
        <v>831</v>
      </c>
      <c r="G133" s="9" t="s">
        <v>832</v>
      </c>
    </row>
    <row r="134" spans="1:7" ht="114">
      <c r="A134" s="7" t="s">
        <v>209</v>
      </c>
      <c r="B134" s="8" t="s">
        <v>833</v>
      </c>
      <c r="C134" s="8" t="s">
        <v>60</v>
      </c>
      <c r="D134" s="8" t="s">
        <v>210</v>
      </c>
      <c r="E134" s="21">
        <v>4</v>
      </c>
      <c r="F134" s="8" t="s">
        <v>834</v>
      </c>
      <c r="G134" s="9" t="s">
        <v>835</v>
      </c>
    </row>
    <row r="135" spans="1:7">
      <c r="A135" s="7" t="s">
        <v>212</v>
      </c>
      <c r="B135" s="8" t="s">
        <v>836</v>
      </c>
      <c r="C135" s="8" t="s">
        <v>60</v>
      </c>
      <c r="D135" s="8" t="s">
        <v>213</v>
      </c>
      <c r="E135" s="21">
        <v>0</v>
      </c>
      <c r="F135" s="8" t="s">
        <v>837</v>
      </c>
      <c r="G135" s="9"/>
    </row>
    <row r="136" spans="1:7" ht="85.5">
      <c r="A136" s="7" t="s">
        <v>212</v>
      </c>
      <c r="B136" s="8" t="s">
        <v>838</v>
      </c>
      <c r="C136" s="8" t="s">
        <v>60</v>
      </c>
      <c r="D136" s="8" t="s">
        <v>213</v>
      </c>
      <c r="E136" s="21">
        <v>1</v>
      </c>
      <c r="F136" s="8" t="s">
        <v>839</v>
      </c>
      <c r="G136" s="9" t="s">
        <v>840</v>
      </c>
    </row>
    <row r="137" spans="1:7" ht="128.25">
      <c r="A137" s="7" t="s">
        <v>212</v>
      </c>
      <c r="B137" s="8" t="s">
        <v>841</v>
      </c>
      <c r="C137" s="8" t="s">
        <v>60</v>
      </c>
      <c r="D137" s="8" t="s">
        <v>213</v>
      </c>
      <c r="E137" s="21">
        <v>2</v>
      </c>
      <c r="F137" s="8" t="s">
        <v>842</v>
      </c>
      <c r="G137" s="9" t="s">
        <v>843</v>
      </c>
    </row>
    <row r="138" spans="1:7" ht="228">
      <c r="A138" s="7" t="s">
        <v>212</v>
      </c>
      <c r="B138" s="8" t="s">
        <v>844</v>
      </c>
      <c r="C138" s="8" t="s">
        <v>60</v>
      </c>
      <c r="D138" s="8" t="s">
        <v>213</v>
      </c>
      <c r="E138" s="21">
        <v>3</v>
      </c>
      <c r="F138" s="8" t="s">
        <v>845</v>
      </c>
      <c r="G138" s="9" t="s">
        <v>846</v>
      </c>
    </row>
    <row r="139" spans="1:7" ht="213.75">
      <c r="A139" s="7" t="s">
        <v>212</v>
      </c>
      <c r="B139" s="8" t="s">
        <v>847</v>
      </c>
      <c r="C139" s="8" t="s">
        <v>60</v>
      </c>
      <c r="D139" s="8" t="s">
        <v>213</v>
      </c>
      <c r="E139" s="21">
        <v>4</v>
      </c>
      <c r="F139" s="8" t="s">
        <v>848</v>
      </c>
      <c r="G139" s="9" t="s">
        <v>849</v>
      </c>
    </row>
    <row r="140" spans="1:7">
      <c r="A140" s="7" t="s">
        <v>215</v>
      </c>
      <c r="B140" s="8" t="s">
        <v>850</v>
      </c>
      <c r="C140" s="8" t="s">
        <v>60</v>
      </c>
      <c r="D140" s="8" t="s">
        <v>216</v>
      </c>
      <c r="E140" s="21">
        <v>0</v>
      </c>
      <c r="F140" s="8" t="s">
        <v>851</v>
      </c>
      <c r="G140" s="9"/>
    </row>
    <row r="141" spans="1:7" ht="85.5">
      <c r="A141" s="7" t="s">
        <v>215</v>
      </c>
      <c r="B141" s="8" t="s">
        <v>852</v>
      </c>
      <c r="C141" s="8" t="s">
        <v>60</v>
      </c>
      <c r="D141" s="8" t="s">
        <v>216</v>
      </c>
      <c r="E141" s="21">
        <v>1</v>
      </c>
      <c r="F141" s="8" t="s">
        <v>853</v>
      </c>
      <c r="G141" s="9" t="s">
        <v>854</v>
      </c>
    </row>
    <row r="142" spans="1:7" ht="99.75">
      <c r="A142" s="7" t="s">
        <v>215</v>
      </c>
      <c r="B142" s="8" t="s">
        <v>855</v>
      </c>
      <c r="C142" s="8" t="s">
        <v>60</v>
      </c>
      <c r="D142" s="8" t="s">
        <v>216</v>
      </c>
      <c r="E142" s="21">
        <v>2</v>
      </c>
      <c r="F142" s="8" t="s">
        <v>856</v>
      </c>
      <c r="G142" s="9" t="s">
        <v>857</v>
      </c>
    </row>
    <row r="143" spans="1:7" ht="71.25">
      <c r="A143" s="7" t="s">
        <v>215</v>
      </c>
      <c r="B143" s="8" t="s">
        <v>858</v>
      </c>
      <c r="C143" s="8" t="s">
        <v>60</v>
      </c>
      <c r="D143" s="8" t="s">
        <v>216</v>
      </c>
      <c r="E143" s="21">
        <v>3</v>
      </c>
      <c r="F143" s="8" t="s">
        <v>859</v>
      </c>
      <c r="G143" s="9" t="s">
        <v>860</v>
      </c>
    </row>
    <row r="144" spans="1:7" ht="71.25">
      <c r="A144" s="7" t="s">
        <v>215</v>
      </c>
      <c r="B144" s="8" t="s">
        <v>861</v>
      </c>
      <c r="C144" s="8" t="s">
        <v>60</v>
      </c>
      <c r="D144" s="8" t="s">
        <v>216</v>
      </c>
      <c r="E144" s="21">
        <v>4</v>
      </c>
      <c r="F144" s="8" t="s">
        <v>862</v>
      </c>
      <c r="G144" s="9" t="s">
        <v>863</v>
      </c>
    </row>
    <row r="145" spans="1:7">
      <c r="A145" s="7" t="s">
        <v>218</v>
      </c>
      <c r="B145" s="8" t="s">
        <v>864</v>
      </c>
      <c r="C145" s="8" t="s">
        <v>60</v>
      </c>
      <c r="D145" s="8" t="s">
        <v>219</v>
      </c>
      <c r="E145" s="21">
        <v>0</v>
      </c>
      <c r="F145" s="8" t="s">
        <v>837</v>
      </c>
      <c r="G145" s="9"/>
    </row>
    <row r="146" spans="1:7" ht="85.5">
      <c r="A146" s="7" t="s">
        <v>218</v>
      </c>
      <c r="B146" s="8" t="s">
        <v>865</v>
      </c>
      <c r="C146" s="8" t="s">
        <v>60</v>
      </c>
      <c r="D146" s="8" t="s">
        <v>219</v>
      </c>
      <c r="E146" s="21">
        <v>1</v>
      </c>
      <c r="F146" s="8" t="s">
        <v>866</v>
      </c>
      <c r="G146" s="9" t="s">
        <v>867</v>
      </c>
    </row>
    <row r="147" spans="1:7" ht="71.25">
      <c r="A147" s="7" t="s">
        <v>218</v>
      </c>
      <c r="B147" s="8" t="s">
        <v>868</v>
      </c>
      <c r="C147" s="8" t="s">
        <v>60</v>
      </c>
      <c r="D147" s="8" t="s">
        <v>219</v>
      </c>
      <c r="E147" s="21">
        <v>2</v>
      </c>
      <c r="F147" s="8" t="s">
        <v>869</v>
      </c>
      <c r="G147" s="9" t="s">
        <v>870</v>
      </c>
    </row>
    <row r="148" spans="1:7" ht="85.5">
      <c r="A148" s="7" t="s">
        <v>218</v>
      </c>
      <c r="B148" s="8" t="s">
        <v>871</v>
      </c>
      <c r="C148" s="8" t="s">
        <v>60</v>
      </c>
      <c r="D148" s="8" t="s">
        <v>219</v>
      </c>
      <c r="E148" s="21">
        <v>3</v>
      </c>
      <c r="F148" s="8" t="s">
        <v>872</v>
      </c>
      <c r="G148" s="9" t="s">
        <v>873</v>
      </c>
    </row>
    <row r="149" spans="1:7" ht="128.25">
      <c r="A149" s="7" t="s">
        <v>218</v>
      </c>
      <c r="B149" s="8" t="s">
        <v>874</v>
      </c>
      <c r="C149" s="8" t="s">
        <v>60</v>
      </c>
      <c r="D149" s="8" t="s">
        <v>219</v>
      </c>
      <c r="E149" s="21">
        <v>4</v>
      </c>
      <c r="F149" s="8" t="s">
        <v>875</v>
      </c>
      <c r="G149" s="9" t="s">
        <v>876</v>
      </c>
    </row>
    <row r="150" spans="1:7">
      <c r="A150" s="7" t="s">
        <v>221</v>
      </c>
      <c r="B150" s="8" t="s">
        <v>877</v>
      </c>
      <c r="C150" s="8" t="s">
        <v>60</v>
      </c>
      <c r="D150" s="8" t="s">
        <v>222</v>
      </c>
      <c r="E150" s="21">
        <v>0</v>
      </c>
      <c r="F150" s="8" t="s">
        <v>878</v>
      </c>
      <c r="G150" s="9"/>
    </row>
    <row r="151" spans="1:7" ht="99.75">
      <c r="A151" s="7" t="s">
        <v>221</v>
      </c>
      <c r="B151" s="8" t="s">
        <v>879</v>
      </c>
      <c r="C151" s="8" t="s">
        <v>60</v>
      </c>
      <c r="D151" s="8" t="s">
        <v>222</v>
      </c>
      <c r="E151" s="21">
        <v>1</v>
      </c>
      <c r="F151" s="8" t="s">
        <v>880</v>
      </c>
      <c r="G151" s="9" t="s">
        <v>881</v>
      </c>
    </row>
    <row r="152" spans="1:7" ht="99.75">
      <c r="A152" s="7" t="s">
        <v>221</v>
      </c>
      <c r="B152" s="8" t="s">
        <v>882</v>
      </c>
      <c r="C152" s="8" t="s">
        <v>60</v>
      </c>
      <c r="D152" s="8" t="s">
        <v>222</v>
      </c>
      <c r="E152" s="21">
        <v>2</v>
      </c>
      <c r="F152" s="8" t="s">
        <v>883</v>
      </c>
      <c r="G152" s="9" t="s">
        <v>884</v>
      </c>
    </row>
    <row r="153" spans="1:7" ht="128.25">
      <c r="A153" s="7" t="s">
        <v>221</v>
      </c>
      <c r="B153" s="8" t="s">
        <v>885</v>
      </c>
      <c r="C153" s="8" t="s">
        <v>60</v>
      </c>
      <c r="D153" s="8" t="s">
        <v>222</v>
      </c>
      <c r="E153" s="21">
        <v>3</v>
      </c>
      <c r="F153" s="8" t="s">
        <v>886</v>
      </c>
      <c r="G153" s="9" t="s">
        <v>887</v>
      </c>
    </row>
    <row r="154" spans="1:7" ht="85.5">
      <c r="A154" s="7" t="s">
        <v>221</v>
      </c>
      <c r="B154" s="8" t="s">
        <v>888</v>
      </c>
      <c r="C154" s="8" t="s">
        <v>60</v>
      </c>
      <c r="D154" s="8" t="s">
        <v>222</v>
      </c>
      <c r="E154" s="21">
        <v>4</v>
      </c>
      <c r="F154" s="8" t="s">
        <v>889</v>
      </c>
      <c r="G154" s="9" t="s">
        <v>890</v>
      </c>
    </row>
    <row r="155" spans="1:7">
      <c r="A155" s="7" t="s">
        <v>225</v>
      </c>
      <c r="B155" s="8" t="s">
        <v>891</v>
      </c>
      <c r="C155" s="8" t="s">
        <v>62</v>
      </c>
      <c r="D155" s="8" t="s">
        <v>226</v>
      </c>
      <c r="E155" s="21">
        <v>0</v>
      </c>
      <c r="F155" s="8" t="s">
        <v>892</v>
      </c>
      <c r="G155" s="9"/>
    </row>
    <row r="156" spans="1:7" ht="99.75">
      <c r="A156" s="7" t="s">
        <v>225</v>
      </c>
      <c r="B156" s="8" t="s">
        <v>893</v>
      </c>
      <c r="C156" s="8" t="s">
        <v>62</v>
      </c>
      <c r="D156" s="8" t="s">
        <v>226</v>
      </c>
      <c r="E156" s="21">
        <v>1</v>
      </c>
      <c r="F156" s="8" t="s">
        <v>894</v>
      </c>
      <c r="G156" s="9" t="s">
        <v>895</v>
      </c>
    </row>
    <row r="157" spans="1:7" ht="142.5">
      <c r="A157" s="7" t="s">
        <v>225</v>
      </c>
      <c r="B157" s="8" t="s">
        <v>896</v>
      </c>
      <c r="C157" s="8" t="s">
        <v>62</v>
      </c>
      <c r="D157" s="8" t="s">
        <v>226</v>
      </c>
      <c r="E157" s="21">
        <v>2</v>
      </c>
      <c r="F157" s="8" t="s">
        <v>897</v>
      </c>
      <c r="G157" s="9" t="s">
        <v>898</v>
      </c>
    </row>
    <row r="158" spans="1:7" ht="128.25">
      <c r="A158" s="7" t="s">
        <v>225</v>
      </c>
      <c r="B158" s="8" t="s">
        <v>899</v>
      </c>
      <c r="C158" s="8" t="s">
        <v>62</v>
      </c>
      <c r="D158" s="8" t="s">
        <v>226</v>
      </c>
      <c r="E158" s="21">
        <v>3</v>
      </c>
      <c r="F158" s="8" t="s">
        <v>900</v>
      </c>
      <c r="G158" s="9" t="s">
        <v>901</v>
      </c>
    </row>
    <row r="159" spans="1:7" ht="128.25">
      <c r="A159" s="7" t="s">
        <v>225</v>
      </c>
      <c r="B159" s="8" t="s">
        <v>902</v>
      </c>
      <c r="C159" s="8" t="s">
        <v>62</v>
      </c>
      <c r="D159" s="8" t="s">
        <v>226</v>
      </c>
      <c r="E159" s="21">
        <v>4</v>
      </c>
      <c r="F159" s="8" t="s">
        <v>903</v>
      </c>
      <c r="G159" s="9" t="s">
        <v>904</v>
      </c>
    </row>
    <row r="160" spans="1:7" ht="28.5">
      <c r="A160" s="7" t="s">
        <v>228</v>
      </c>
      <c r="B160" s="8" t="s">
        <v>905</v>
      </c>
      <c r="C160" s="8" t="s">
        <v>62</v>
      </c>
      <c r="D160" s="8" t="s">
        <v>229</v>
      </c>
      <c r="E160" s="21">
        <v>0</v>
      </c>
      <c r="F160" s="8" t="s">
        <v>906</v>
      </c>
      <c r="G160" s="9"/>
    </row>
    <row r="161" spans="1:7" ht="99.75">
      <c r="A161" s="7" t="s">
        <v>228</v>
      </c>
      <c r="B161" s="8" t="s">
        <v>907</v>
      </c>
      <c r="C161" s="8" t="s">
        <v>62</v>
      </c>
      <c r="D161" s="8" t="s">
        <v>229</v>
      </c>
      <c r="E161" s="21">
        <v>1</v>
      </c>
      <c r="F161" s="8" t="s">
        <v>908</v>
      </c>
      <c r="G161" s="9" t="s">
        <v>909</v>
      </c>
    </row>
    <row r="162" spans="1:7" ht="128.25">
      <c r="A162" s="7" t="s">
        <v>228</v>
      </c>
      <c r="B162" s="8" t="s">
        <v>910</v>
      </c>
      <c r="C162" s="8" t="s">
        <v>62</v>
      </c>
      <c r="D162" s="8" t="s">
        <v>229</v>
      </c>
      <c r="E162" s="21">
        <v>2</v>
      </c>
      <c r="F162" s="8" t="s">
        <v>911</v>
      </c>
      <c r="G162" s="9" t="s">
        <v>912</v>
      </c>
    </row>
    <row r="163" spans="1:7" ht="128.25">
      <c r="A163" s="7" t="s">
        <v>228</v>
      </c>
      <c r="B163" s="8" t="s">
        <v>913</v>
      </c>
      <c r="C163" s="8" t="s">
        <v>62</v>
      </c>
      <c r="D163" s="8" t="s">
        <v>229</v>
      </c>
      <c r="E163" s="21">
        <v>3</v>
      </c>
      <c r="F163" s="8" t="s">
        <v>914</v>
      </c>
      <c r="G163" s="9" t="s">
        <v>915</v>
      </c>
    </row>
    <row r="164" spans="1:7" ht="85.5">
      <c r="A164" s="7" t="s">
        <v>228</v>
      </c>
      <c r="B164" s="8" t="s">
        <v>916</v>
      </c>
      <c r="C164" s="8" t="s">
        <v>62</v>
      </c>
      <c r="D164" s="8" t="s">
        <v>229</v>
      </c>
      <c r="E164" s="21">
        <v>4</v>
      </c>
      <c r="F164" s="8" t="s">
        <v>917</v>
      </c>
      <c r="G164" s="9" t="s">
        <v>918</v>
      </c>
    </row>
    <row r="165" spans="1:7">
      <c r="A165" s="7" t="s">
        <v>231</v>
      </c>
      <c r="B165" s="8" t="s">
        <v>919</v>
      </c>
      <c r="C165" s="8" t="s">
        <v>62</v>
      </c>
      <c r="D165" s="8" t="s">
        <v>232</v>
      </c>
      <c r="E165" s="21">
        <v>0</v>
      </c>
      <c r="F165" s="8" t="s">
        <v>837</v>
      </c>
      <c r="G165" s="9"/>
    </row>
    <row r="166" spans="1:7" ht="57">
      <c r="A166" s="7" t="s">
        <v>231</v>
      </c>
      <c r="B166" s="8" t="s">
        <v>920</v>
      </c>
      <c r="C166" s="8" t="s">
        <v>62</v>
      </c>
      <c r="D166" s="8" t="s">
        <v>232</v>
      </c>
      <c r="E166" s="21">
        <v>1</v>
      </c>
      <c r="F166" s="8" t="s">
        <v>921</v>
      </c>
      <c r="G166" s="9" t="s">
        <v>922</v>
      </c>
    </row>
    <row r="167" spans="1:7" ht="114">
      <c r="A167" s="7" t="s">
        <v>231</v>
      </c>
      <c r="B167" s="8" t="s">
        <v>923</v>
      </c>
      <c r="C167" s="8" t="s">
        <v>62</v>
      </c>
      <c r="D167" s="8" t="s">
        <v>232</v>
      </c>
      <c r="E167" s="21">
        <v>2</v>
      </c>
      <c r="F167" s="8" t="s">
        <v>924</v>
      </c>
      <c r="G167" s="9" t="s">
        <v>925</v>
      </c>
    </row>
    <row r="168" spans="1:7" ht="85.5">
      <c r="A168" s="7" t="s">
        <v>231</v>
      </c>
      <c r="B168" s="8" t="s">
        <v>926</v>
      </c>
      <c r="C168" s="8" t="s">
        <v>62</v>
      </c>
      <c r="D168" s="8" t="s">
        <v>232</v>
      </c>
      <c r="E168" s="21">
        <v>3</v>
      </c>
      <c r="F168" s="8" t="s">
        <v>927</v>
      </c>
      <c r="G168" s="9" t="s">
        <v>928</v>
      </c>
    </row>
    <row r="169" spans="1:7" ht="85.5">
      <c r="A169" s="7" t="s">
        <v>231</v>
      </c>
      <c r="B169" s="8" t="s">
        <v>929</v>
      </c>
      <c r="C169" s="8" t="s">
        <v>62</v>
      </c>
      <c r="D169" s="8" t="s">
        <v>232</v>
      </c>
      <c r="E169" s="21">
        <v>4</v>
      </c>
      <c r="F169" s="8" t="s">
        <v>930</v>
      </c>
      <c r="G169" s="9" t="s">
        <v>931</v>
      </c>
    </row>
    <row r="170" spans="1:7">
      <c r="A170" s="7" t="s">
        <v>234</v>
      </c>
      <c r="B170" s="8" t="s">
        <v>932</v>
      </c>
      <c r="C170" s="8" t="s">
        <v>62</v>
      </c>
      <c r="D170" s="8" t="s">
        <v>235</v>
      </c>
      <c r="E170" s="21">
        <v>0</v>
      </c>
      <c r="F170" s="8" t="s">
        <v>933</v>
      </c>
      <c r="G170" s="9"/>
    </row>
    <row r="171" spans="1:7" ht="114">
      <c r="A171" s="7" t="s">
        <v>234</v>
      </c>
      <c r="B171" s="8" t="s">
        <v>934</v>
      </c>
      <c r="C171" s="8" t="s">
        <v>62</v>
      </c>
      <c r="D171" s="8" t="s">
        <v>235</v>
      </c>
      <c r="E171" s="21">
        <v>1</v>
      </c>
      <c r="F171" s="8" t="s">
        <v>935</v>
      </c>
      <c r="G171" s="9" t="s">
        <v>936</v>
      </c>
    </row>
    <row r="172" spans="1:7" ht="99.75">
      <c r="A172" s="7" t="s">
        <v>234</v>
      </c>
      <c r="B172" s="8" t="s">
        <v>937</v>
      </c>
      <c r="C172" s="8" t="s">
        <v>62</v>
      </c>
      <c r="D172" s="8" t="s">
        <v>235</v>
      </c>
      <c r="E172" s="21">
        <v>2</v>
      </c>
      <c r="F172" s="8" t="s">
        <v>938</v>
      </c>
      <c r="G172" s="9" t="s">
        <v>939</v>
      </c>
    </row>
    <row r="173" spans="1:7" ht="99.75">
      <c r="A173" s="7" t="s">
        <v>234</v>
      </c>
      <c r="B173" s="8" t="s">
        <v>940</v>
      </c>
      <c r="C173" s="8" t="s">
        <v>62</v>
      </c>
      <c r="D173" s="8" t="s">
        <v>235</v>
      </c>
      <c r="E173" s="21">
        <v>3</v>
      </c>
      <c r="F173" s="8" t="s">
        <v>941</v>
      </c>
      <c r="G173" s="9" t="s">
        <v>942</v>
      </c>
    </row>
    <row r="174" spans="1:7" ht="85.5">
      <c r="A174" s="7" t="s">
        <v>234</v>
      </c>
      <c r="B174" s="8" t="s">
        <v>943</v>
      </c>
      <c r="C174" s="8" t="s">
        <v>62</v>
      </c>
      <c r="D174" s="8" t="s">
        <v>235</v>
      </c>
      <c r="E174" s="21">
        <v>4</v>
      </c>
      <c r="F174" s="8" t="s">
        <v>944</v>
      </c>
      <c r="G174" s="9" t="s">
        <v>945</v>
      </c>
    </row>
    <row r="175" spans="1:7" ht="28.5">
      <c r="A175" s="7" t="s">
        <v>237</v>
      </c>
      <c r="B175" s="8" t="s">
        <v>946</v>
      </c>
      <c r="C175" s="8" t="s">
        <v>62</v>
      </c>
      <c r="D175" s="8" t="s">
        <v>238</v>
      </c>
      <c r="E175" s="21">
        <v>0</v>
      </c>
      <c r="F175" s="8" t="s">
        <v>947</v>
      </c>
      <c r="G175" s="9"/>
    </row>
    <row r="176" spans="1:7" ht="85.5">
      <c r="A176" s="7" t="s">
        <v>237</v>
      </c>
      <c r="B176" s="8" t="s">
        <v>948</v>
      </c>
      <c r="C176" s="8" t="s">
        <v>62</v>
      </c>
      <c r="D176" s="8" t="s">
        <v>238</v>
      </c>
      <c r="E176" s="21">
        <v>1</v>
      </c>
      <c r="F176" s="8" t="s">
        <v>949</v>
      </c>
      <c r="G176" s="9" t="s">
        <v>950</v>
      </c>
    </row>
    <row r="177" spans="1:7" ht="128.25">
      <c r="A177" s="7" t="s">
        <v>237</v>
      </c>
      <c r="B177" s="8" t="s">
        <v>951</v>
      </c>
      <c r="C177" s="8" t="s">
        <v>62</v>
      </c>
      <c r="D177" s="8" t="s">
        <v>238</v>
      </c>
      <c r="E177" s="21">
        <v>2</v>
      </c>
      <c r="F177" s="8" t="s">
        <v>952</v>
      </c>
      <c r="G177" s="9" t="s">
        <v>953</v>
      </c>
    </row>
    <row r="178" spans="1:7" ht="99.75">
      <c r="A178" s="7" t="s">
        <v>237</v>
      </c>
      <c r="B178" s="8" t="s">
        <v>954</v>
      </c>
      <c r="C178" s="8" t="s">
        <v>62</v>
      </c>
      <c r="D178" s="8" t="s">
        <v>238</v>
      </c>
      <c r="E178" s="21">
        <v>3</v>
      </c>
      <c r="F178" s="8" t="s">
        <v>955</v>
      </c>
      <c r="G178" s="9" t="s">
        <v>956</v>
      </c>
    </row>
    <row r="179" spans="1:7" ht="156.75">
      <c r="A179" s="7" t="s">
        <v>237</v>
      </c>
      <c r="B179" s="8" t="s">
        <v>957</v>
      </c>
      <c r="C179" s="8" t="s">
        <v>62</v>
      </c>
      <c r="D179" s="8" t="s">
        <v>238</v>
      </c>
      <c r="E179" s="21">
        <v>4</v>
      </c>
      <c r="F179" s="8" t="s">
        <v>958</v>
      </c>
      <c r="G179" s="9" t="s">
        <v>959</v>
      </c>
    </row>
    <row r="180" spans="1:7" ht="28.5">
      <c r="A180" s="7" t="s">
        <v>240</v>
      </c>
      <c r="B180" s="8" t="s">
        <v>960</v>
      </c>
      <c r="C180" s="8" t="s">
        <v>62</v>
      </c>
      <c r="D180" s="8" t="s">
        <v>241</v>
      </c>
      <c r="E180" s="21">
        <v>0</v>
      </c>
      <c r="F180" s="8" t="s">
        <v>961</v>
      </c>
      <c r="G180" s="9"/>
    </row>
    <row r="181" spans="1:7" ht="99.75">
      <c r="A181" s="7" t="s">
        <v>240</v>
      </c>
      <c r="B181" s="8" t="s">
        <v>962</v>
      </c>
      <c r="C181" s="8" t="s">
        <v>62</v>
      </c>
      <c r="D181" s="8" t="s">
        <v>241</v>
      </c>
      <c r="E181" s="21">
        <v>1</v>
      </c>
      <c r="F181" s="8" t="s">
        <v>963</v>
      </c>
      <c r="G181" s="9" t="s">
        <v>964</v>
      </c>
    </row>
    <row r="182" spans="1:7" ht="156.75">
      <c r="A182" s="7" t="s">
        <v>240</v>
      </c>
      <c r="B182" s="8" t="s">
        <v>965</v>
      </c>
      <c r="C182" s="8" t="s">
        <v>62</v>
      </c>
      <c r="D182" s="8" t="s">
        <v>241</v>
      </c>
      <c r="E182" s="21">
        <v>2</v>
      </c>
      <c r="F182" s="8" t="s">
        <v>966</v>
      </c>
      <c r="G182" s="9" t="s">
        <v>967</v>
      </c>
    </row>
    <row r="183" spans="1:7" ht="128.25">
      <c r="A183" s="7" t="s">
        <v>240</v>
      </c>
      <c r="B183" s="8" t="s">
        <v>968</v>
      </c>
      <c r="C183" s="8" t="s">
        <v>62</v>
      </c>
      <c r="D183" s="8" t="s">
        <v>241</v>
      </c>
      <c r="E183" s="21">
        <v>3</v>
      </c>
      <c r="F183" s="8" t="s">
        <v>969</v>
      </c>
      <c r="G183" s="9" t="s">
        <v>970</v>
      </c>
    </row>
    <row r="184" spans="1:7" ht="128.25">
      <c r="A184" s="7" t="s">
        <v>240</v>
      </c>
      <c r="B184" s="8" t="s">
        <v>971</v>
      </c>
      <c r="C184" s="8" t="s">
        <v>62</v>
      </c>
      <c r="D184" s="8" t="s">
        <v>241</v>
      </c>
      <c r="E184" s="21">
        <v>4</v>
      </c>
      <c r="F184" s="8" t="s">
        <v>972</v>
      </c>
      <c r="G184" s="9" t="s">
        <v>973</v>
      </c>
    </row>
    <row r="185" spans="1:7">
      <c r="A185" s="7" t="s">
        <v>243</v>
      </c>
      <c r="B185" s="8" t="s">
        <v>974</v>
      </c>
      <c r="C185" s="8" t="s">
        <v>62</v>
      </c>
      <c r="D185" s="8" t="s">
        <v>244</v>
      </c>
      <c r="E185" s="21">
        <v>0</v>
      </c>
      <c r="F185" s="8" t="s">
        <v>975</v>
      </c>
      <c r="G185" s="9"/>
    </row>
    <row r="186" spans="1:7" ht="114">
      <c r="A186" s="7" t="s">
        <v>243</v>
      </c>
      <c r="B186" s="8" t="s">
        <v>976</v>
      </c>
      <c r="C186" s="8" t="s">
        <v>62</v>
      </c>
      <c r="D186" s="8" t="s">
        <v>244</v>
      </c>
      <c r="E186" s="21">
        <v>1</v>
      </c>
      <c r="F186" s="8" t="s">
        <v>977</v>
      </c>
      <c r="G186" s="9" t="s">
        <v>978</v>
      </c>
    </row>
    <row r="187" spans="1:7" ht="142.5">
      <c r="A187" s="7" t="s">
        <v>243</v>
      </c>
      <c r="B187" s="8" t="s">
        <v>979</v>
      </c>
      <c r="C187" s="8" t="s">
        <v>62</v>
      </c>
      <c r="D187" s="8" t="s">
        <v>244</v>
      </c>
      <c r="E187" s="21">
        <v>2</v>
      </c>
      <c r="F187" s="8" t="s">
        <v>980</v>
      </c>
      <c r="G187" s="9" t="s">
        <v>981</v>
      </c>
    </row>
    <row r="188" spans="1:7" ht="114">
      <c r="A188" s="7" t="s">
        <v>243</v>
      </c>
      <c r="B188" s="8" t="s">
        <v>982</v>
      </c>
      <c r="C188" s="8" t="s">
        <v>62</v>
      </c>
      <c r="D188" s="8" t="s">
        <v>244</v>
      </c>
      <c r="E188" s="21">
        <v>3</v>
      </c>
      <c r="F188" s="8" t="s">
        <v>983</v>
      </c>
      <c r="G188" s="9" t="s">
        <v>984</v>
      </c>
    </row>
    <row r="189" spans="1:7" ht="114">
      <c r="A189" s="7" t="s">
        <v>243</v>
      </c>
      <c r="B189" s="8" t="s">
        <v>985</v>
      </c>
      <c r="C189" s="8" t="s">
        <v>62</v>
      </c>
      <c r="D189" s="8" t="s">
        <v>244</v>
      </c>
      <c r="E189" s="21">
        <v>4</v>
      </c>
      <c r="F189" s="8" t="s">
        <v>986</v>
      </c>
      <c r="G189" s="9" t="s">
        <v>987</v>
      </c>
    </row>
    <row r="190" spans="1:7" ht="28.5">
      <c r="A190" s="7" t="s">
        <v>246</v>
      </c>
      <c r="B190" s="8" t="s">
        <v>988</v>
      </c>
      <c r="C190" s="8" t="s">
        <v>62</v>
      </c>
      <c r="D190" s="8" t="s">
        <v>247</v>
      </c>
      <c r="E190" s="21">
        <v>0</v>
      </c>
      <c r="F190" s="8" t="s">
        <v>975</v>
      </c>
      <c r="G190" s="9"/>
    </row>
    <row r="191" spans="1:7" ht="85.5">
      <c r="A191" s="7" t="s">
        <v>246</v>
      </c>
      <c r="B191" s="8" t="s">
        <v>989</v>
      </c>
      <c r="C191" s="8" t="s">
        <v>62</v>
      </c>
      <c r="D191" s="8" t="s">
        <v>247</v>
      </c>
      <c r="E191" s="21">
        <v>1</v>
      </c>
      <c r="F191" s="8" t="s">
        <v>990</v>
      </c>
      <c r="G191" s="9" t="s">
        <v>991</v>
      </c>
    </row>
    <row r="192" spans="1:7" ht="128.25">
      <c r="A192" s="7" t="s">
        <v>246</v>
      </c>
      <c r="B192" s="8" t="s">
        <v>992</v>
      </c>
      <c r="C192" s="8" t="s">
        <v>62</v>
      </c>
      <c r="D192" s="8" t="s">
        <v>247</v>
      </c>
      <c r="E192" s="21">
        <v>2</v>
      </c>
      <c r="F192" s="8" t="s">
        <v>993</v>
      </c>
      <c r="G192" s="9" t="s">
        <v>994</v>
      </c>
    </row>
    <row r="193" spans="1:7" ht="142.5">
      <c r="A193" s="7" t="s">
        <v>246</v>
      </c>
      <c r="B193" s="8" t="s">
        <v>995</v>
      </c>
      <c r="C193" s="8" t="s">
        <v>62</v>
      </c>
      <c r="D193" s="8" t="s">
        <v>247</v>
      </c>
      <c r="E193" s="21">
        <v>3</v>
      </c>
      <c r="F193" s="8" t="s">
        <v>996</v>
      </c>
      <c r="G193" s="9" t="s">
        <v>997</v>
      </c>
    </row>
    <row r="194" spans="1:7" ht="156.75">
      <c r="A194" s="7" t="s">
        <v>246</v>
      </c>
      <c r="B194" s="8" t="s">
        <v>998</v>
      </c>
      <c r="C194" s="8" t="s">
        <v>62</v>
      </c>
      <c r="D194" s="8" t="s">
        <v>247</v>
      </c>
      <c r="E194" s="21">
        <v>4</v>
      </c>
      <c r="F194" s="8" t="s">
        <v>999</v>
      </c>
      <c r="G194" s="9" t="s">
        <v>1000</v>
      </c>
    </row>
    <row r="195" spans="1:7">
      <c r="A195" s="7" t="s">
        <v>249</v>
      </c>
      <c r="B195" s="8" t="s">
        <v>1001</v>
      </c>
      <c r="C195" s="8" t="s">
        <v>62</v>
      </c>
      <c r="D195" s="8" t="s">
        <v>250</v>
      </c>
      <c r="E195" s="21">
        <v>0</v>
      </c>
      <c r="F195" s="8" t="s">
        <v>505</v>
      </c>
      <c r="G195" s="9"/>
    </row>
    <row r="196" spans="1:7" ht="114">
      <c r="A196" s="7" t="s">
        <v>249</v>
      </c>
      <c r="B196" s="8" t="s">
        <v>1002</v>
      </c>
      <c r="C196" s="8" t="s">
        <v>62</v>
      </c>
      <c r="D196" s="8" t="s">
        <v>250</v>
      </c>
      <c r="E196" s="21">
        <v>1</v>
      </c>
      <c r="F196" s="8" t="s">
        <v>1003</v>
      </c>
      <c r="G196" s="9" t="s">
        <v>1004</v>
      </c>
    </row>
    <row r="197" spans="1:7" ht="185.25">
      <c r="A197" s="7" t="s">
        <v>249</v>
      </c>
      <c r="B197" s="8" t="s">
        <v>1005</v>
      </c>
      <c r="C197" s="8" t="s">
        <v>62</v>
      </c>
      <c r="D197" s="8" t="s">
        <v>250</v>
      </c>
      <c r="E197" s="21">
        <v>2</v>
      </c>
      <c r="F197" s="8" t="s">
        <v>1006</v>
      </c>
      <c r="G197" s="9" t="s">
        <v>1007</v>
      </c>
    </row>
    <row r="198" spans="1:7" ht="128.25">
      <c r="A198" s="7" t="s">
        <v>249</v>
      </c>
      <c r="B198" s="8" t="s">
        <v>1008</v>
      </c>
      <c r="C198" s="8" t="s">
        <v>62</v>
      </c>
      <c r="D198" s="8" t="s">
        <v>250</v>
      </c>
      <c r="E198" s="21">
        <v>3</v>
      </c>
      <c r="F198" s="8" t="s">
        <v>1009</v>
      </c>
      <c r="G198" s="9" t="s">
        <v>1010</v>
      </c>
    </row>
    <row r="199" spans="1:7" ht="99.75">
      <c r="A199" s="7" t="s">
        <v>249</v>
      </c>
      <c r="B199" s="8" t="s">
        <v>1011</v>
      </c>
      <c r="C199" s="8" t="s">
        <v>62</v>
      </c>
      <c r="D199" s="8" t="s">
        <v>250</v>
      </c>
      <c r="E199" s="21">
        <v>4</v>
      </c>
      <c r="F199" s="8" t="s">
        <v>1012</v>
      </c>
      <c r="G199" s="9" t="s">
        <v>1013</v>
      </c>
    </row>
    <row r="200" spans="1:7" ht="28.5">
      <c r="A200" s="7" t="s">
        <v>252</v>
      </c>
      <c r="B200" s="8" t="s">
        <v>1014</v>
      </c>
      <c r="C200" s="8" t="s">
        <v>62</v>
      </c>
      <c r="D200" s="8" t="s">
        <v>253</v>
      </c>
      <c r="E200" s="21">
        <v>0</v>
      </c>
      <c r="F200" s="8" t="s">
        <v>837</v>
      </c>
      <c r="G200" s="9"/>
    </row>
    <row r="201" spans="1:7" ht="142.5">
      <c r="A201" s="7" t="s">
        <v>252</v>
      </c>
      <c r="B201" s="8" t="s">
        <v>1015</v>
      </c>
      <c r="C201" s="8" t="s">
        <v>62</v>
      </c>
      <c r="D201" s="8" t="s">
        <v>253</v>
      </c>
      <c r="E201" s="21">
        <v>1</v>
      </c>
      <c r="F201" s="8" t="s">
        <v>1016</v>
      </c>
      <c r="G201" s="9" t="s">
        <v>1017</v>
      </c>
    </row>
    <row r="202" spans="1:7" ht="171">
      <c r="A202" s="7" t="s">
        <v>252</v>
      </c>
      <c r="B202" s="8" t="s">
        <v>1018</v>
      </c>
      <c r="C202" s="8" t="s">
        <v>62</v>
      </c>
      <c r="D202" s="8" t="s">
        <v>253</v>
      </c>
      <c r="E202" s="21">
        <v>2</v>
      </c>
      <c r="F202" s="8" t="s">
        <v>1019</v>
      </c>
      <c r="G202" s="9" t="s">
        <v>1020</v>
      </c>
    </row>
    <row r="203" spans="1:7" ht="199.5">
      <c r="A203" s="7" t="s">
        <v>252</v>
      </c>
      <c r="B203" s="8" t="s">
        <v>1021</v>
      </c>
      <c r="C203" s="8" t="s">
        <v>62</v>
      </c>
      <c r="D203" s="8" t="s">
        <v>253</v>
      </c>
      <c r="E203" s="21">
        <v>3</v>
      </c>
      <c r="F203" s="8" t="s">
        <v>1022</v>
      </c>
      <c r="G203" s="9" t="s">
        <v>1023</v>
      </c>
    </row>
    <row r="204" spans="1:7" ht="142.5">
      <c r="A204" s="7" t="s">
        <v>252</v>
      </c>
      <c r="B204" s="8" t="s">
        <v>1024</v>
      </c>
      <c r="C204" s="8" t="s">
        <v>62</v>
      </c>
      <c r="D204" s="8" t="s">
        <v>253</v>
      </c>
      <c r="E204" s="21">
        <v>4</v>
      </c>
      <c r="F204" s="8" t="s">
        <v>1025</v>
      </c>
      <c r="G204" s="9" t="s">
        <v>1026</v>
      </c>
    </row>
    <row r="205" spans="1:7">
      <c r="A205" s="7" t="s">
        <v>255</v>
      </c>
      <c r="B205" s="8" t="s">
        <v>1027</v>
      </c>
      <c r="C205" s="8" t="s">
        <v>62</v>
      </c>
      <c r="D205" s="8" t="s">
        <v>256</v>
      </c>
      <c r="E205" s="21">
        <v>0</v>
      </c>
      <c r="F205" s="8" t="s">
        <v>933</v>
      </c>
      <c r="G205" s="9"/>
    </row>
    <row r="206" spans="1:7" ht="57">
      <c r="A206" s="7" t="s">
        <v>255</v>
      </c>
      <c r="B206" s="8" t="s">
        <v>1028</v>
      </c>
      <c r="C206" s="8" t="s">
        <v>62</v>
      </c>
      <c r="D206" s="8" t="s">
        <v>256</v>
      </c>
      <c r="E206" s="21">
        <v>1</v>
      </c>
      <c r="F206" s="8" t="s">
        <v>1029</v>
      </c>
      <c r="G206" s="9" t="s">
        <v>1030</v>
      </c>
    </row>
    <row r="207" spans="1:7" ht="99.75">
      <c r="A207" s="7" t="s">
        <v>255</v>
      </c>
      <c r="B207" s="8" t="s">
        <v>1031</v>
      </c>
      <c r="C207" s="8" t="s">
        <v>62</v>
      </c>
      <c r="D207" s="8" t="s">
        <v>256</v>
      </c>
      <c r="E207" s="21">
        <v>2</v>
      </c>
      <c r="F207" s="8" t="s">
        <v>1032</v>
      </c>
      <c r="G207" s="9" t="s">
        <v>1033</v>
      </c>
    </row>
    <row r="208" spans="1:7" ht="99.75">
      <c r="A208" s="7" t="s">
        <v>255</v>
      </c>
      <c r="B208" s="8" t="s">
        <v>1034</v>
      </c>
      <c r="C208" s="8" t="s">
        <v>62</v>
      </c>
      <c r="D208" s="8" t="s">
        <v>256</v>
      </c>
      <c r="E208" s="21">
        <v>3</v>
      </c>
      <c r="F208" s="8" t="s">
        <v>1035</v>
      </c>
      <c r="G208" s="9" t="s">
        <v>1036</v>
      </c>
    </row>
    <row r="209" spans="1:7" ht="71.25">
      <c r="A209" s="7" t="s">
        <v>255</v>
      </c>
      <c r="B209" s="8" t="s">
        <v>1037</v>
      </c>
      <c r="C209" s="8" t="s">
        <v>62</v>
      </c>
      <c r="D209" s="8" t="s">
        <v>256</v>
      </c>
      <c r="E209" s="21">
        <v>4</v>
      </c>
      <c r="F209" s="8" t="s">
        <v>1038</v>
      </c>
      <c r="G209" s="9" t="s">
        <v>1039</v>
      </c>
    </row>
    <row r="210" spans="1:7" ht="28.5">
      <c r="A210" s="7" t="s">
        <v>258</v>
      </c>
      <c r="B210" s="8" t="s">
        <v>1040</v>
      </c>
      <c r="C210" s="8" t="s">
        <v>62</v>
      </c>
      <c r="D210" s="8" t="s">
        <v>259</v>
      </c>
      <c r="E210" s="21">
        <v>0</v>
      </c>
      <c r="F210" s="8" t="s">
        <v>1041</v>
      </c>
      <c r="G210" s="9"/>
    </row>
    <row r="211" spans="1:7" ht="156.75">
      <c r="A211" s="7" t="s">
        <v>258</v>
      </c>
      <c r="B211" s="8" t="s">
        <v>1042</v>
      </c>
      <c r="C211" s="8" t="s">
        <v>62</v>
      </c>
      <c r="D211" s="8" t="s">
        <v>259</v>
      </c>
      <c r="E211" s="21">
        <v>1</v>
      </c>
      <c r="F211" s="8" t="s">
        <v>1043</v>
      </c>
      <c r="G211" s="9" t="s">
        <v>1044</v>
      </c>
    </row>
    <row r="212" spans="1:7" ht="128.25">
      <c r="A212" s="7" t="s">
        <v>258</v>
      </c>
      <c r="B212" s="8" t="s">
        <v>1045</v>
      </c>
      <c r="C212" s="8" t="s">
        <v>62</v>
      </c>
      <c r="D212" s="8" t="s">
        <v>259</v>
      </c>
      <c r="E212" s="21">
        <v>2</v>
      </c>
      <c r="F212" s="8" t="s">
        <v>1046</v>
      </c>
      <c r="G212" s="9" t="s">
        <v>1047</v>
      </c>
    </row>
    <row r="213" spans="1:7" ht="128.25">
      <c r="A213" s="7" t="s">
        <v>258</v>
      </c>
      <c r="B213" s="8" t="s">
        <v>1048</v>
      </c>
      <c r="C213" s="8" t="s">
        <v>62</v>
      </c>
      <c r="D213" s="8" t="s">
        <v>259</v>
      </c>
      <c r="E213" s="21">
        <v>3</v>
      </c>
      <c r="F213" s="8" t="s">
        <v>1049</v>
      </c>
      <c r="G213" s="9" t="s">
        <v>1050</v>
      </c>
    </row>
    <row r="214" spans="1:7" ht="142.5">
      <c r="A214" s="7" t="s">
        <v>258</v>
      </c>
      <c r="B214" s="8" t="s">
        <v>1051</v>
      </c>
      <c r="C214" s="8" t="s">
        <v>62</v>
      </c>
      <c r="D214" s="8" t="s">
        <v>259</v>
      </c>
      <c r="E214" s="21">
        <v>4</v>
      </c>
      <c r="F214" s="8" t="s">
        <v>1052</v>
      </c>
      <c r="G214" s="9" t="s">
        <v>1053</v>
      </c>
    </row>
    <row r="215" spans="1:7">
      <c r="A215" s="7" t="s">
        <v>262</v>
      </c>
      <c r="B215" s="8" t="s">
        <v>1054</v>
      </c>
      <c r="C215" s="8" t="s">
        <v>64</v>
      </c>
      <c r="D215" s="8" t="s">
        <v>263</v>
      </c>
      <c r="E215" s="21">
        <v>0</v>
      </c>
      <c r="F215" s="8" t="s">
        <v>1055</v>
      </c>
      <c r="G215" s="9"/>
    </row>
    <row r="216" spans="1:7" ht="114">
      <c r="A216" s="7" t="s">
        <v>262</v>
      </c>
      <c r="B216" s="8" t="s">
        <v>1056</v>
      </c>
      <c r="C216" s="8" t="s">
        <v>64</v>
      </c>
      <c r="D216" s="8" t="s">
        <v>263</v>
      </c>
      <c r="E216" s="21">
        <v>1</v>
      </c>
      <c r="F216" s="8" t="s">
        <v>1057</v>
      </c>
      <c r="G216" s="9" t="s">
        <v>1058</v>
      </c>
    </row>
    <row r="217" spans="1:7" ht="228">
      <c r="A217" s="7" t="s">
        <v>262</v>
      </c>
      <c r="B217" s="8" t="s">
        <v>1059</v>
      </c>
      <c r="C217" s="8" t="s">
        <v>64</v>
      </c>
      <c r="D217" s="8" t="s">
        <v>263</v>
      </c>
      <c r="E217" s="21">
        <v>2</v>
      </c>
      <c r="F217" s="8" t="s">
        <v>1060</v>
      </c>
      <c r="G217" s="9" t="s">
        <v>1061</v>
      </c>
    </row>
    <row r="218" spans="1:7" ht="228">
      <c r="A218" s="7" t="s">
        <v>262</v>
      </c>
      <c r="B218" s="8" t="s">
        <v>1062</v>
      </c>
      <c r="C218" s="8" t="s">
        <v>64</v>
      </c>
      <c r="D218" s="8" t="s">
        <v>263</v>
      </c>
      <c r="E218" s="21">
        <v>3</v>
      </c>
      <c r="F218" s="8" t="s">
        <v>1063</v>
      </c>
      <c r="G218" s="9" t="s">
        <v>1064</v>
      </c>
    </row>
    <row r="219" spans="1:7" ht="171">
      <c r="A219" s="7" t="s">
        <v>262</v>
      </c>
      <c r="B219" s="8" t="s">
        <v>1065</v>
      </c>
      <c r="C219" s="8" t="s">
        <v>64</v>
      </c>
      <c r="D219" s="8" t="s">
        <v>263</v>
      </c>
      <c r="E219" s="21">
        <v>4</v>
      </c>
      <c r="F219" s="8" t="s">
        <v>1066</v>
      </c>
      <c r="G219" s="9" t="s">
        <v>1067</v>
      </c>
    </row>
    <row r="220" spans="1:7" ht="28.5">
      <c r="A220" s="7" t="s">
        <v>265</v>
      </c>
      <c r="B220" s="8" t="s">
        <v>1068</v>
      </c>
      <c r="C220" s="8" t="s">
        <v>64</v>
      </c>
      <c r="D220" s="8" t="s">
        <v>266</v>
      </c>
      <c r="E220" s="21">
        <v>0</v>
      </c>
      <c r="F220" s="8" t="s">
        <v>1069</v>
      </c>
      <c r="G220" s="9"/>
    </row>
    <row r="221" spans="1:7" ht="156.75">
      <c r="A221" s="7" t="s">
        <v>265</v>
      </c>
      <c r="B221" s="8" t="s">
        <v>1070</v>
      </c>
      <c r="C221" s="8" t="s">
        <v>64</v>
      </c>
      <c r="D221" s="8" t="s">
        <v>266</v>
      </c>
      <c r="E221" s="21">
        <v>1</v>
      </c>
      <c r="F221" s="8" t="s">
        <v>1071</v>
      </c>
      <c r="G221" s="9" t="s">
        <v>1072</v>
      </c>
    </row>
    <row r="222" spans="1:7" ht="228">
      <c r="A222" s="7" t="s">
        <v>265</v>
      </c>
      <c r="B222" s="8" t="s">
        <v>1073</v>
      </c>
      <c r="C222" s="8" t="s">
        <v>64</v>
      </c>
      <c r="D222" s="8" t="s">
        <v>266</v>
      </c>
      <c r="E222" s="21">
        <v>2</v>
      </c>
      <c r="F222" s="8" t="s">
        <v>1074</v>
      </c>
      <c r="G222" s="9" t="s">
        <v>1075</v>
      </c>
    </row>
    <row r="223" spans="1:7" ht="313.5">
      <c r="A223" s="7" t="s">
        <v>265</v>
      </c>
      <c r="B223" s="8" t="s">
        <v>1076</v>
      </c>
      <c r="C223" s="8" t="s">
        <v>64</v>
      </c>
      <c r="D223" s="8" t="s">
        <v>266</v>
      </c>
      <c r="E223" s="21">
        <v>3</v>
      </c>
      <c r="F223" s="8" t="s">
        <v>1077</v>
      </c>
      <c r="G223" s="9" t="s">
        <v>1078</v>
      </c>
    </row>
    <row r="224" spans="1:7" ht="213.75">
      <c r="A224" s="7" t="s">
        <v>265</v>
      </c>
      <c r="B224" s="8" t="s">
        <v>1079</v>
      </c>
      <c r="C224" s="8" t="s">
        <v>64</v>
      </c>
      <c r="D224" s="8" t="s">
        <v>266</v>
      </c>
      <c r="E224" s="21">
        <v>4</v>
      </c>
      <c r="F224" s="8" t="s">
        <v>1080</v>
      </c>
      <c r="G224" s="9" t="s">
        <v>1081</v>
      </c>
    </row>
    <row r="225" spans="1:7">
      <c r="A225" s="7" t="s">
        <v>268</v>
      </c>
      <c r="B225" s="8" t="s">
        <v>1082</v>
      </c>
      <c r="C225" s="8" t="s">
        <v>64</v>
      </c>
      <c r="D225" s="8" t="s">
        <v>269</v>
      </c>
      <c r="E225" s="21">
        <v>0</v>
      </c>
      <c r="F225" s="8" t="s">
        <v>1083</v>
      </c>
      <c r="G225" s="9"/>
    </row>
    <row r="226" spans="1:7" ht="199.5">
      <c r="A226" s="7" t="s">
        <v>268</v>
      </c>
      <c r="B226" s="8" t="s">
        <v>1084</v>
      </c>
      <c r="C226" s="8" t="s">
        <v>64</v>
      </c>
      <c r="D226" s="8" t="s">
        <v>269</v>
      </c>
      <c r="E226" s="21">
        <v>1</v>
      </c>
      <c r="F226" s="8" t="s">
        <v>1085</v>
      </c>
      <c r="G226" s="9" t="s">
        <v>1086</v>
      </c>
    </row>
    <row r="227" spans="1:7" ht="313.5">
      <c r="A227" s="7" t="s">
        <v>268</v>
      </c>
      <c r="B227" s="8" t="s">
        <v>1087</v>
      </c>
      <c r="C227" s="8" t="s">
        <v>64</v>
      </c>
      <c r="D227" s="8" t="s">
        <v>269</v>
      </c>
      <c r="E227" s="21">
        <v>2</v>
      </c>
      <c r="F227" s="8" t="s">
        <v>1088</v>
      </c>
      <c r="G227" s="9" t="s">
        <v>1089</v>
      </c>
    </row>
    <row r="228" spans="1:7" ht="256.5">
      <c r="A228" s="7" t="s">
        <v>268</v>
      </c>
      <c r="B228" s="8" t="s">
        <v>1090</v>
      </c>
      <c r="C228" s="8" t="s">
        <v>64</v>
      </c>
      <c r="D228" s="8" t="s">
        <v>269</v>
      </c>
      <c r="E228" s="21">
        <v>3</v>
      </c>
      <c r="F228" s="8" t="s">
        <v>1091</v>
      </c>
      <c r="G228" s="9" t="s">
        <v>1092</v>
      </c>
    </row>
    <row r="229" spans="1:7" ht="242.25">
      <c r="A229" s="7" t="s">
        <v>268</v>
      </c>
      <c r="B229" s="8" t="s">
        <v>1093</v>
      </c>
      <c r="C229" s="8" t="s">
        <v>64</v>
      </c>
      <c r="D229" s="8" t="s">
        <v>269</v>
      </c>
      <c r="E229" s="21">
        <v>4</v>
      </c>
      <c r="F229" s="8" t="s">
        <v>1094</v>
      </c>
      <c r="G229" s="9" t="s">
        <v>1095</v>
      </c>
    </row>
    <row r="230" spans="1:7">
      <c r="A230" s="7" t="s">
        <v>271</v>
      </c>
      <c r="B230" s="8" t="s">
        <v>1096</v>
      </c>
      <c r="C230" s="8" t="s">
        <v>64</v>
      </c>
      <c r="D230" s="8" t="s">
        <v>186</v>
      </c>
      <c r="E230" s="21">
        <v>0</v>
      </c>
      <c r="F230" s="8" t="s">
        <v>1097</v>
      </c>
      <c r="G230" s="9"/>
    </row>
    <row r="231" spans="1:7" ht="99.75">
      <c r="A231" s="7" t="s">
        <v>271</v>
      </c>
      <c r="B231" s="8" t="s">
        <v>1098</v>
      </c>
      <c r="C231" s="8" t="s">
        <v>64</v>
      </c>
      <c r="D231" s="8" t="s">
        <v>186</v>
      </c>
      <c r="E231" s="21">
        <v>1</v>
      </c>
      <c r="F231" s="8" t="s">
        <v>1099</v>
      </c>
      <c r="G231" s="9" t="s">
        <v>1100</v>
      </c>
    </row>
    <row r="232" spans="1:7" ht="213.75">
      <c r="A232" s="7" t="s">
        <v>271</v>
      </c>
      <c r="B232" s="8" t="s">
        <v>1101</v>
      </c>
      <c r="C232" s="8" t="s">
        <v>64</v>
      </c>
      <c r="D232" s="8" t="s">
        <v>186</v>
      </c>
      <c r="E232" s="21">
        <v>2</v>
      </c>
      <c r="F232" s="8" t="s">
        <v>1102</v>
      </c>
      <c r="G232" s="9" t="s">
        <v>1103</v>
      </c>
    </row>
    <row r="233" spans="1:7" ht="213.75">
      <c r="A233" s="7" t="s">
        <v>271</v>
      </c>
      <c r="B233" s="8" t="s">
        <v>1104</v>
      </c>
      <c r="C233" s="8" t="s">
        <v>64</v>
      </c>
      <c r="D233" s="8" t="s">
        <v>186</v>
      </c>
      <c r="E233" s="21">
        <v>3</v>
      </c>
      <c r="F233" s="8" t="s">
        <v>1105</v>
      </c>
      <c r="G233" s="9" t="s">
        <v>1106</v>
      </c>
    </row>
    <row r="234" spans="1:7" ht="213.75">
      <c r="A234" s="7" t="s">
        <v>271</v>
      </c>
      <c r="B234" s="8" t="s">
        <v>1107</v>
      </c>
      <c r="C234" s="8" t="s">
        <v>64</v>
      </c>
      <c r="D234" s="8" t="s">
        <v>186</v>
      </c>
      <c r="E234" s="21">
        <v>4</v>
      </c>
      <c r="F234" s="8" t="s">
        <v>1108</v>
      </c>
      <c r="G234" s="9" t="s">
        <v>1109</v>
      </c>
    </row>
    <row r="235" spans="1:7">
      <c r="A235" s="7" t="s">
        <v>273</v>
      </c>
      <c r="B235" s="8" t="s">
        <v>1110</v>
      </c>
      <c r="C235" s="8" t="s">
        <v>64</v>
      </c>
      <c r="D235" s="8" t="s">
        <v>274</v>
      </c>
      <c r="E235" s="21">
        <v>0</v>
      </c>
      <c r="F235" s="8" t="s">
        <v>837</v>
      </c>
      <c r="G235" s="9"/>
    </row>
    <row r="236" spans="1:7" ht="99.75">
      <c r="A236" s="7" t="s">
        <v>273</v>
      </c>
      <c r="B236" s="8" t="s">
        <v>1111</v>
      </c>
      <c r="C236" s="8" t="s">
        <v>64</v>
      </c>
      <c r="D236" s="8" t="s">
        <v>274</v>
      </c>
      <c r="E236" s="21">
        <v>1</v>
      </c>
      <c r="F236" s="8" t="s">
        <v>1112</v>
      </c>
      <c r="G236" s="9" t="s">
        <v>1113</v>
      </c>
    </row>
    <row r="237" spans="1:7" ht="171">
      <c r="A237" s="7" t="s">
        <v>273</v>
      </c>
      <c r="B237" s="8" t="s">
        <v>1114</v>
      </c>
      <c r="C237" s="8" t="s">
        <v>64</v>
      </c>
      <c r="D237" s="8" t="s">
        <v>274</v>
      </c>
      <c r="E237" s="21">
        <v>2</v>
      </c>
      <c r="F237" s="8" t="s">
        <v>1115</v>
      </c>
      <c r="G237" s="9" t="s">
        <v>1116</v>
      </c>
    </row>
    <row r="238" spans="1:7" ht="185.25">
      <c r="A238" s="7" t="s">
        <v>273</v>
      </c>
      <c r="B238" s="8" t="s">
        <v>1117</v>
      </c>
      <c r="C238" s="8" t="s">
        <v>64</v>
      </c>
      <c r="D238" s="8" t="s">
        <v>274</v>
      </c>
      <c r="E238" s="21">
        <v>3</v>
      </c>
      <c r="F238" s="8" t="s">
        <v>1118</v>
      </c>
      <c r="G238" s="9" t="s">
        <v>1119</v>
      </c>
    </row>
    <row r="239" spans="1:7" ht="226.5" customHeight="1">
      <c r="A239" s="7" t="s">
        <v>273</v>
      </c>
      <c r="B239" s="8" t="s">
        <v>1120</v>
      </c>
      <c r="C239" s="8" t="s">
        <v>64</v>
      </c>
      <c r="D239" s="8" t="s">
        <v>274</v>
      </c>
      <c r="E239" s="21">
        <v>4</v>
      </c>
      <c r="F239" s="8" t="s">
        <v>1121</v>
      </c>
      <c r="G239" s="9" t="s">
        <v>1122</v>
      </c>
    </row>
    <row r="240" spans="1:7">
      <c r="A240" s="7" t="s">
        <v>276</v>
      </c>
      <c r="B240" s="8" t="s">
        <v>1123</v>
      </c>
      <c r="C240" s="8" t="s">
        <v>64</v>
      </c>
      <c r="D240" s="8" t="s">
        <v>277</v>
      </c>
      <c r="E240" s="21">
        <v>0</v>
      </c>
      <c r="F240" s="8" t="s">
        <v>837</v>
      </c>
      <c r="G240" s="9"/>
    </row>
    <row r="241" spans="1:7" ht="171">
      <c r="A241" s="7" t="s">
        <v>276</v>
      </c>
      <c r="B241" s="8" t="s">
        <v>1124</v>
      </c>
      <c r="C241" s="8" t="s">
        <v>64</v>
      </c>
      <c r="D241" s="8" t="s">
        <v>277</v>
      </c>
      <c r="E241" s="21">
        <v>1</v>
      </c>
      <c r="F241" s="8" t="s">
        <v>1125</v>
      </c>
      <c r="G241" s="9" t="s">
        <v>1126</v>
      </c>
    </row>
    <row r="242" spans="1:7" ht="185.25">
      <c r="A242" s="7" t="s">
        <v>276</v>
      </c>
      <c r="B242" s="8" t="s">
        <v>1127</v>
      </c>
      <c r="C242" s="8" t="s">
        <v>64</v>
      </c>
      <c r="D242" s="8" t="s">
        <v>277</v>
      </c>
      <c r="E242" s="21">
        <v>2</v>
      </c>
      <c r="F242" s="8" t="s">
        <v>1128</v>
      </c>
      <c r="G242" s="9" t="s">
        <v>1129</v>
      </c>
    </row>
    <row r="243" spans="1:7" ht="156.75">
      <c r="A243" s="7" t="s">
        <v>276</v>
      </c>
      <c r="B243" s="8" t="s">
        <v>1130</v>
      </c>
      <c r="C243" s="8" t="s">
        <v>64</v>
      </c>
      <c r="D243" s="8" t="s">
        <v>277</v>
      </c>
      <c r="E243" s="21">
        <v>3</v>
      </c>
      <c r="F243" s="8" t="s">
        <v>1131</v>
      </c>
      <c r="G243" s="9" t="s">
        <v>1132</v>
      </c>
    </row>
    <row r="244" spans="1:7" ht="199.5">
      <c r="A244" s="7" t="s">
        <v>276</v>
      </c>
      <c r="B244" s="8" t="s">
        <v>1133</v>
      </c>
      <c r="C244" s="8" t="s">
        <v>64</v>
      </c>
      <c r="D244" s="8" t="s">
        <v>277</v>
      </c>
      <c r="E244" s="21">
        <v>4</v>
      </c>
      <c r="F244" s="8" t="s">
        <v>1134</v>
      </c>
      <c r="G244" s="9" t="s">
        <v>1135</v>
      </c>
    </row>
    <row r="245" spans="1:7" ht="28.5">
      <c r="A245" s="7" t="s">
        <v>279</v>
      </c>
      <c r="B245" s="8" t="s">
        <v>1136</v>
      </c>
      <c r="C245" s="8" t="s">
        <v>64</v>
      </c>
      <c r="D245" s="8" t="s">
        <v>280</v>
      </c>
      <c r="E245" s="21">
        <v>0</v>
      </c>
      <c r="F245" s="8" t="s">
        <v>837</v>
      </c>
      <c r="G245" s="9"/>
    </row>
    <row r="246" spans="1:7" ht="114">
      <c r="A246" s="7" t="s">
        <v>279</v>
      </c>
      <c r="B246" s="8" t="s">
        <v>1137</v>
      </c>
      <c r="C246" s="8" t="s">
        <v>64</v>
      </c>
      <c r="D246" s="8" t="s">
        <v>280</v>
      </c>
      <c r="E246" s="21">
        <v>1</v>
      </c>
      <c r="F246" s="8" t="s">
        <v>1138</v>
      </c>
      <c r="G246" s="9" t="s">
        <v>1139</v>
      </c>
    </row>
    <row r="247" spans="1:7" ht="156.75">
      <c r="A247" s="7" t="s">
        <v>279</v>
      </c>
      <c r="B247" s="8" t="s">
        <v>1140</v>
      </c>
      <c r="C247" s="8" t="s">
        <v>64</v>
      </c>
      <c r="D247" s="8" t="s">
        <v>280</v>
      </c>
      <c r="E247" s="21">
        <v>2</v>
      </c>
      <c r="F247" s="8" t="s">
        <v>1138</v>
      </c>
      <c r="G247" s="9" t="s">
        <v>1141</v>
      </c>
    </row>
    <row r="248" spans="1:7" ht="128.25">
      <c r="A248" s="7" t="s">
        <v>279</v>
      </c>
      <c r="B248" s="8" t="s">
        <v>1142</v>
      </c>
      <c r="C248" s="8" t="s">
        <v>64</v>
      </c>
      <c r="D248" s="8" t="s">
        <v>280</v>
      </c>
      <c r="E248" s="21">
        <v>3</v>
      </c>
      <c r="F248" s="8" t="s">
        <v>1143</v>
      </c>
      <c r="G248" s="9" t="s">
        <v>1144</v>
      </c>
    </row>
    <row r="249" spans="1:7" ht="171">
      <c r="A249" s="7" t="s">
        <v>279</v>
      </c>
      <c r="B249" s="8" t="s">
        <v>1145</v>
      </c>
      <c r="C249" s="8" t="s">
        <v>64</v>
      </c>
      <c r="D249" s="8" t="s">
        <v>280</v>
      </c>
      <c r="E249" s="21">
        <v>4</v>
      </c>
      <c r="F249" s="8" t="s">
        <v>1146</v>
      </c>
      <c r="G249" s="9" t="s">
        <v>1147</v>
      </c>
    </row>
    <row r="250" spans="1:7">
      <c r="A250" s="7" t="s">
        <v>282</v>
      </c>
      <c r="B250" s="8" t="s">
        <v>1148</v>
      </c>
      <c r="C250" s="8" t="s">
        <v>64</v>
      </c>
      <c r="D250" s="8" t="s">
        <v>283</v>
      </c>
      <c r="E250" s="21">
        <v>0</v>
      </c>
      <c r="F250" s="8" t="s">
        <v>1149</v>
      </c>
      <c r="G250" s="9"/>
    </row>
    <row r="251" spans="1:7" ht="85.5">
      <c r="A251" s="7" t="s">
        <v>282</v>
      </c>
      <c r="B251" s="8" t="s">
        <v>1150</v>
      </c>
      <c r="C251" s="8" t="s">
        <v>64</v>
      </c>
      <c r="D251" s="8" t="s">
        <v>283</v>
      </c>
      <c r="E251" s="21">
        <v>1</v>
      </c>
      <c r="F251" s="8" t="s">
        <v>1151</v>
      </c>
      <c r="G251" s="9" t="s">
        <v>1152</v>
      </c>
    </row>
    <row r="252" spans="1:7" ht="114">
      <c r="A252" s="7" t="s">
        <v>282</v>
      </c>
      <c r="B252" s="8" t="s">
        <v>1153</v>
      </c>
      <c r="C252" s="8" t="s">
        <v>64</v>
      </c>
      <c r="D252" s="8" t="s">
        <v>283</v>
      </c>
      <c r="E252" s="21">
        <v>2</v>
      </c>
      <c r="F252" s="8" t="s">
        <v>1154</v>
      </c>
      <c r="G252" s="9" t="s">
        <v>1155</v>
      </c>
    </row>
    <row r="253" spans="1:7" ht="128.25">
      <c r="A253" s="7" t="s">
        <v>282</v>
      </c>
      <c r="B253" s="8" t="s">
        <v>1156</v>
      </c>
      <c r="C253" s="8" t="s">
        <v>64</v>
      </c>
      <c r="D253" s="8" t="s">
        <v>283</v>
      </c>
      <c r="E253" s="21">
        <v>3</v>
      </c>
      <c r="F253" s="8" t="s">
        <v>1157</v>
      </c>
      <c r="G253" s="9" t="s">
        <v>1158</v>
      </c>
    </row>
    <row r="254" spans="1:7" ht="228">
      <c r="A254" s="7" t="s">
        <v>282</v>
      </c>
      <c r="B254" s="8" t="s">
        <v>1159</v>
      </c>
      <c r="C254" s="8" t="s">
        <v>64</v>
      </c>
      <c r="D254" s="8" t="s">
        <v>283</v>
      </c>
      <c r="E254" s="21">
        <v>4</v>
      </c>
      <c r="F254" s="8" t="s">
        <v>1160</v>
      </c>
      <c r="G254" s="9" t="s">
        <v>1161</v>
      </c>
    </row>
    <row r="255" spans="1:7">
      <c r="A255" s="7" t="s">
        <v>285</v>
      </c>
      <c r="B255" s="8" t="s">
        <v>1162</v>
      </c>
      <c r="C255" s="8" t="s">
        <v>64</v>
      </c>
      <c r="D255" s="8" t="s">
        <v>286</v>
      </c>
      <c r="E255" s="21">
        <v>0</v>
      </c>
      <c r="F255" s="8" t="s">
        <v>1163</v>
      </c>
      <c r="G255" s="9"/>
    </row>
    <row r="256" spans="1:7" ht="114">
      <c r="A256" s="7" t="s">
        <v>285</v>
      </c>
      <c r="B256" s="8" t="s">
        <v>1164</v>
      </c>
      <c r="C256" s="8" t="s">
        <v>64</v>
      </c>
      <c r="D256" s="8" t="s">
        <v>286</v>
      </c>
      <c r="E256" s="21">
        <v>1</v>
      </c>
      <c r="F256" s="8" t="s">
        <v>1165</v>
      </c>
      <c r="G256" s="9" t="s">
        <v>1166</v>
      </c>
    </row>
    <row r="257" spans="1:7" ht="128.25">
      <c r="A257" s="7" t="s">
        <v>285</v>
      </c>
      <c r="B257" s="8" t="s">
        <v>1167</v>
      </c>
      <c r="C257" s="8" t="s">
        <v>64</v>
      </c>
      <c r="D257" s="8" t="s">
        <v>286</v>
      </c>
      <c r="E257" s="21">
        <v>2</v>
      </c>
      <c r="F257" s="8" t="s">
        <v>1168</v>
      </c>
      <c r="G257" s="9" t="s">
        <v>1169</v>
      </c>
    </row>
    <row r="258" spans="1:7" ht="213.75">
      <c r="A258" s="7" t="s">
        <v>285</v>
      </c>
      <c r="B258" s="8" t="s">
        <v>1170</v>
      </c>
      <c r="C258" s="8" t="s">
        <v>64</v>
      </c>
      <c r="D258" s="8" t="s">
        <v>286</v>
      </c>
      <c r="E258" s="21">
        <v>3</v>
      </c>
      <c r="F258" s="8" t="s">
        <v>1171</v>
      </c>
      <c r="G258" s="9" t="s">
        <v>1172</v>
      </c>
    </row>
    <row r="259" spans="1:7" ht="199.5">
      <c r="A259" s="7" t="s">
        <v>285</v>
      </c>
      <c r="B259" s="8" t="s">
        <v>1173</v>
      </c>
      <c r="C259" s="8" t="s">
        <v>64</v>
      </c>
      <c r="D259" s="8" t="s">
        <v>286</v>
      </c>
      <c r="E259" s="21">
        <v>4</v>
      </c>
      <c r="F259" s="8" t="s">
        <v>1174</v>
      </c>
      <c r="G259" s="9" t="s">
        <v>1175</v>
      </c>
    </row>
    <row r="260" spans="1:7" ht="28.5">
      <c r="A260" s="7" t="s">
        <v>288</v>
      </c>
      <c r="B260" s="8" t="s">
        <v>1176</v>
      </c>
      <c r="C260" s="8" t="s">
        <v>64</v>
      </c>
      <c r="D260" s="8" t="s">
        <v>289</v>
      </c>
      <c r="E260" s="21">
        <v>0</v>
      </c>
      <c r="F260" s="8" t="s">
        <v>837</v>
      </c>
      <c r="G260" s="9"/>
    </row>
    <row r="261" spans="1:7" ht="114">
      <c r="A261" s="7" t="s">
        <v>288</v>
      </c>
      <c r="B261" s="8" t="s">
        <v>1177</v>
      </c>
      <c r="C261" s="8" t="s">
        <v>64</v>
      </c>
      <c r="D261" s="8" t="s">
        <v>289</v>
      </c>
      <c r="E261" s="21">
        <v>1</v>
      </c>
      <c r="F261" s="8" t="s">
        <v>1178</v>
      </c>
      <c r="G261" s="9" t="s">
        <v>1179</v>
      </c>
    </row>
    <row r="262" spans="1:7" ht="156.75">
      <c r="A262" s="7" t="s">
        <v>288</v>
      </c>
      <c r="B262" s="8" t="s">
        <v>1180</v>
      </c>
      <c r="C262" s="8" t="s">
        <v>64</v>
      </c>
      <c r="D262" s="8" t="s">
        <v>289</v>
      </c>
      <c r="E262" s="21">
        <v>2</v>
      </c>
      <c r="F262" s="8" t="s">
        <v>1181</v>
      </c>
      <c r="G262" s="9" t="s">
        <v>1182</v>
      </c>
    </row>
    <row r="263" spans="1:7" ht="185.25">
      <c r="A263" s="7" t="s">
        <v>288</v>
      </c>
      <c r="B263" s="8" t="s">
        <v>1183</v>
      </c>
      <c r="C263" s="8" t="s">
        <v>64</v>
      </c>
      <c r="D263" s="8" t="s">
        <v>289</v>
      </c>
      <c r="E263" s="21">
        <v>3</v>
      </c>
      <c r="F263" s="8" t="s">
        <v>1184</v>
      </c>
      <c r="G263" s="9" t="s">
        <v>1185</v>
      </c>
    </row>
    <row r="264" spans="1:7" ht="256.5">
      <c r="A264" s="7" t="s">
        <v>288</v>
      </c>
      <c r="B264" s="8" t="s">
        <v>1186</v>
      </c>
      <c r="C264" s="8" t="s">
        <v>64</v>
      </c>
      <c r="D264" s="8" t="s">
        <v>289</v>
      </c>
      <c r="E264" s="21">
        <v>4</v>
      </c>
      <c r="F264" s="8" t="s">
        <v>1187</v>
      </c>
      <c r="G264" s="9" t="s">
        <v>1188</v>
      </c>
    </row>
    <row r="265" spans="1:7" ht="28.5">
      <c r="A265" s="7" t="s">
        <v>291</v>
      </c>
      <c r="B265" s="8" t="s">
        <v>1189</v>
      </c>
      <c r="C265" s="8" t="s">
        <v>64</v>
      </c>
      <c r="D265" s="8" t="s">
        <v>292</v>
      </c>
      <c r="E265" s="21">
        <v>0</v>
      </c>
      <c r="F265" s="8" t="s">
        <v>1190</v>
      </c>
      <c r="G265" s="9"/>
    </row>
    <row r="266" spans="1:7" ht="171">
      <c r="A266" s="7" t="s">
        <v>291</v>
      </c>
      <c r="B266" s="8" t="s">
        <v>1191</v>
      </c>
      <c r="C266" s="8" t="s">
        <v>64</v>
      </c>
      <c r="D266" s="8" t="s">
        <v>292</v>
      </c>
      <c r="E266" s="21">
        <v>1</v>
      </c>
      <c r="F266" s="8" t="s">
        <v>1192</v>
      </c>
      <c r="G266" s="9" t="s">
        <v>1193</v>
      </c>
    </row>
    <row r="267" spans="1:7" ht="171">
      <c r="A267" s="7" t="s">
        <v>291</v>
      </c>
      <c r="B267" s="8" t="s">
        <v>1194</v>
      </c>
      <c r="C267" s="8" t="s">
        <v>64</v>
      </c>
      <c r="D267" s="8" t="s">
        <v>292</v>
      </c>
      <c r="E267" s="21">
        <v>2</v>
      </c>
      <c r="F267" s="8" t="s">
        <v>1195</v>
      </c>
      <c r="G267" s="9" t="s">
        <v>1196</v>
      </c>
    </row>
    <row r="268" spans="1:7" ht="171">
      <c r="A268" s="7" t="s">
        <v>291</v>
      </c>
      <c r="B268" s="8" t="s">
        <v>1197</v>
      </c>
      <c r="C268" s="8" t="s">
        <v>64</v>
      </c>
      <c r="D268" s="8" t="s">
        <v>292</v>
      </c>
      <c r="E268" s="21">
        <v>3</v>
      </c>
      <c r="F268" s="8" t="s">
        <v>1198</v>
      </c>
      <c r="G268" s="9" t="s">
        <v>1196</v>
      </c>
    </row>
    <row r="269" spans="1:7" ht="142.5">
      <c r="A269" s="7" t="s">
        <v>291</v>
      </c>
      <c r="B269" s="8" t="s">
        <v>1199</v>
      </c>
      <c r="C269" s="8" t="s">
        <v>64</v>
      </c>
      <c r="D269" s="8" t="s">
        <v>292</v>
      </c>
      <c r="E269" s="21">
        <v>4</v>
      </c>
      <c r="F269" s="8" t="s">
        <v>1200</v>
      </c>
      <c r="G269" s="9" t="s">
        <v>1201</v>
      </c>
    </row>
    <row r="270" spans="1:7" ht="28.5">
      <c r="A270" s="7" t="s">
        <v>294</v>
      </c>
      <c r="B270" s="8" t="s">
        <v>1202</v>
      </c>
      <c r="C270" s="8" t="s">
        <v>64</v>
      </c>
      <c r="D270" s="8" t="s">
        <v>295</v>
      </c>
      <c r="E270" s="21">
        <v>0</v>
      </c>
      <c r="F270" s="8" t="s">
        <v>1203</v>
      </c>
      <c r="G270" s="9"/>
    </row>
    <row r="271" spans="1:7" ht="114">
      <c r="A271" s="7" t="s">
        <v>294</v>
      </c>
      <c r="B271" s="8" t="s">
        <v>1204</v>
      </c>
      <c r="C271" s="8" t="s">
        <v>64</v>
      </c>
      <c r="D271" s="8" t="s">
        <v>295</v>
      </c>
      <c r="E271" s="21">
        <v>1</v>
      </c>
      <c r="F271" s="8" t="s">
        <v>1205</v>
      </c>
      <c r="G271" s="9" t="s">
        <v>1206</v>
      </c>
    </row>
    <row r="272" spans="1:7" ht="156.75">
      <c r="A272" s="7" t="s">
        <v>294</v>
      </c>
      <c r="B272" s="8" t="s">
        <v>1207</v>
      </c>
      <c r="C272" s="8" t="s">
        <v>64</v>
      </c>
      <c r="D272" s="8" t="s">
        <v>295</v>
      </c>
      <c r="E272" s="21">
        <v>2</v>
      </c>
      <c r="F272" s="8" t="s">
        <v>1208</v>
      </c>
      <c r="G272" s="9" t="s">
        <v>1209</v>
      </c>
    </row>
    <row r="273" spans="1:7" ht="114">
      <c r="A273" s="7" t="s">
        <v>294</v>
      </c>
      <c r="B273" s="8" t="s">
        <v>1210</v>
      </c>
      <c r="C273" s="8" t="s">
        <v>64</v>
      </c>
      <c r="D273" s="8" t="s">
        <v>295</v>
      </c>
      <c r="E273" s="21">
        <v>3</v>
      </c>
      <c r="F273" s="8" t="s">
        <v>1211</v>
      </c>
      <c r="G273" s="9" t="s">
        <v>1212</v>
      </c>
    </row>
    <row r="274" spans="1:7" ht="99.75">
      <c r="A274" s="7" t="s">
        <v>294</v>
      </c>
      <c r="B274" s="8" t="s">
        <v>1213</v>
      </c>
      <c r="C274" s="8" t="s">
        <v>64</v>
      </c>
      <c r="D274" s="8" t="s">
        <v>295</v>
      </c>
      <c r="E274" s="21">
        <v>4</v>
      </c>
      <c r="F274" s="8" t="s">
        <v>1214</v>
      </c>
      <c r="G274" s="9" t="s">
        <v>1215</v>
      </c>
    </row>
    <row r="275" spans="1:7" ht="28.5">
      <c r="A275" s="7" t="s">
        <v>298</v>
      </c>
      <c r="B275" s="8" t="s">
        <v>1216</v>
      </c>
      <c r="C275" s="8" t="s">
        <v>66</v>
      </c>
      <c r="D275" s="8" t="s">
        <v>299</v>
      </c>
      <c r="E275" s="21">
        <v>0</v>
      </c>
      <c r="F275" s="8" t="s">
        <v>1217</v>
      </c>
      <c r="G275" s="9"/>
    </row>
    <row r="276" spans="1:7" ht="85.5">
      <c r="A276" s="7" t="s">
        <v>298</v>
      </c>
      <c r="B276" s="8" t="s">
        <v>1218</v>
      </c>
      <c r="C276" s="8" t="s">
        <v>66</v>
      </c>
      <c r="D276" s="8" t="s">
        <v>299</v>
      </c>
      <c r="E276" s="21">
        <v>1</v>
      </c>
      <c r="F276" s="8" t="s">
        <v>1219</v>
      </c>
      <c r="G276" s="9" t="s">
        <v>1220</v>
      </c>
    </row>
    <row r="277" spans="1:7" ht="128.25">
      <c r="A277" s="7" t="s">
        <v>298</v>
      </c>
      <c r="B277" s="8" t="s">
        <v>1221</v>
      </c>
      <c r="C277" s="8" t="s">
        <v>66</v>
      </c>
      <c r="D277" s="8" t="s">
        <v>299</v>
      </c>
      <c r="E277" s="21">
        <v>2</v>
      </c>
      <c r="F277" s="8" t="s">
        <v>1222</v>
      </c>
      <c r="G277" s="9" t="s">
        <v>1223</v>
      </c>
    </row>
    <row r="278" spans="1:7" ht="171">
      <c r="A278" s="7" t="s">
        <v>298</v>
      </c>
      <c r="B278" s="8" t="s">
        <v>1224</v>
      </c>
      <c r="C278" s="8" t="s">
        <v>66</v>
      </c>
      <c r="D278" s="8" t="s">
        <v>299</v>
      </c>
      <c r="E278" s="21">
        <v>3</v>
      </c>
      <c r="F278" s="8" t="s">
        <v>1225</v>
      </c>
      <c r="G278" s="9" t="s">
        <v>1226</v>
      </c>
    </row>
    <row r="279" spans="1:7" ht="99.75">
      <c r="A279" s="7" t="s">
        <v>298</v>
      </c>
      <c r="B279" s="8" t="s">
        <v>1227</v>
      </c>
      <c r="C279" s="8" t="s">
        <v>66</v>
      </c>
      <c r="D279" s="8" t="s">
        <v>299</v>
      </c>
      <c r="E279" s="21">
        <v>4</v>
      </c>
      <c r="F279" s="8" t="s">
        <v>1228</v>
      </c>
      <c r="G279" s="9" t="s">
        <v>1229</v>
      </c>
    </row>
    <row r="280" spans="1:7" ht="28.5">
      <c r="A280" s="7" t="s">
        <v>301</v>
      </c>
      <c r="B280" s="8" t="s">
        <v>1230</v>
      </c>
      <c r="C280" s="8" t="s">
        <v>66</v>
      </c>
      <c r="D280" s="8" t="s">
        <v>186</v>
      </c>
      <c r="E280" s="21">
        <v>0</v>
      </c>
      <c r="F280" s="8" t="s">
        <v>1231</v>
      </c>
      <c r="G280" s="9"/>
    </row>
    <row r="281" spans="1:7" ht="128.25">
      <c r="A281" s="7" t="s">
        <v>301</v>
      </c>
      <c r="B281" s="8" t="s">
        <v>1232</v>
      </c>
      <c r="C281" s="8" t="s">
        <v>66</v>
      </c>
      <c r="D281" s="8" t="s">
        <v>186</v>
      </c>
      <c r="E281" s="21">
        <v>1</v>
      </c>
      <c r="F281" s="8" t="s">
        <v>1233</v>
      </c>
      <c r="G281" s="9" t="s">
        <v>1234</v>
      </c>
    </row>
    <row r="282" spans="1:7" ht="57">
      <c r="A282" s="7" t="s">
        <v>301</v>
      </c>
      <c r="B282" s="8" t="s">
        <v>1235</v>
      </c>
      <c r="C282" s="8" t="s">
        <v>66</v>
      </c>
      <c r="D282" s="8" t="s">
        <v>186</v>
      </c>
      <c r="E282" s="21">
        <v>2</v>
      </c>
      <c r="F282" s="8" t="s">
        <v>1236</v>
      </c>
      <c r="G282" s="9" t="s">
        <v>1237</v>
      </c>
    </row>
    <row r="283" spans="1:7" ht="42.75">
      <c r="A283" s="7" t="s">
        <v>301</v>
      </c>
      <c r="B283" s="8" t="s">
        <v>1238</v>
      </c>
      <c r="C283" s="8" t="s">
        <v>66</v>
      </c>
      <c r="D283" s="8" t="s">
        <v>186</v>
      </c>
      <c r="E283" s="21">
        <v>3</v>
      </c>
      <c r="F283" s="8" t="s">
        <v>1239</v>
      </c>
      <c r="G283" s="9" t="s">
        <v>1240</v>
      </c>
    </row>
    <row r="284" spans="1:7" ht="42.75">
      <c r="A284" s="7" t="s">
        <v>301</v>
      </c>
      <c r="B284" s="8" t="s">
        <v>1241</v>
      </c>
      <c r="C284" s="8" t="s">
        <v>66</v>
      </c>
      <c r="D284" s="8" t="s">
        <v>186</v>
      </c>
      <c r="E284" s="21">
        <v>4</v>
      </c>
      <c r="F284" s="8" t="s">
        <v>1242</v>
      </c>
      <c r="G284" s="9" t="s">
        <v>1243</v>
      </c>
    </row>
    <row r="285" spans="1:7" ht="28.5">
      <c r="A285" s="7" t="s">
        <v>303</v>
      </c>
      <c r="B285" s="8" t="s">
        <v>1244</v>
      </c>
      <c r="C285" s="8" t="s">
        <v>66</v>
      </c>
      <c r="D285" s="8" t="s">
        <v>304</v>
      </c>
      <c r="E285" s="21">
        <v>0</v>
      </c>
      <c r="F285" s="8" t="s">
        <v>1245</v>
      </c>
      <c r="G285" s="9"/>
    </row>
    <row r="286" spans="1:7" ht="185.25">
      <c r="A286" s="7" t="s">
        <v>303</v>
      </c>
      <c r="B286" s="8" t="s">
        <v>1246</v>
      </c>
      <c r="C286" s="8" t="s">
        <v>66</v>
      </c>
      <c r="D286" s="8" t="s">
        <v>304</v>
      </c>
      <c r="E286" s="21">
        <v>1</v>
      </c>
      <c r="F286" s="8" t="s">
        <v>1233</v>
      </c>
      <c r="G286" s="9" t="s">
        <v>1247</v>
      </c>
    </row>
    <row r="287" spans="1:7" ht="256.5">
      <c r="A287" s="7" t="s">
        <v>303</v>
      </c>
      <c r="B287" s="8" t="s">
        <v>1248</v>
      </c>
      <c r="C287" s="8" t="s">
        <v>66</v>
      </c>
      <c r="D287" s="8" t="s">
        <v>304</v>
      </c>
      <c r="E287" s="21">
        <v>2</v>
      </c>
      <c r="F287" s="8" t="s">
        <v>1236</v>
      </c>
      <c r="G287" s="9" t="s">
        <v>1249</v>
      </c>
    </row>
    <row r="288" spans="1:7" ht="213.75">
      <c r="A288" s="7" t="s">
        <v>303</v>
      </c>
      <c r="B288" s="8" t="s">
        <v>1250</v>
      </c>
      <c r="C288" s="8" t="s">
        <v>66</v>
      </c>
      <c r="D288" s="8" t="s">
        <v>304</v>
      </c>
      <c r="E288" s="21">
        <v>3</v>
      </c>
      <c r="F288" s="8" t="s">
        <v>1239</v>
      </c>
      <c r="G288" s="9" t="s">
        <v>1251</v>
      </c>
    </row>
    <row r="289" spans="1:7" ht="156.75">
      <c r="A289" s="7" t="s">
        <v>303</v>
      </c>
      <c r="B289" s="8" t="s">
        <v>1252</v>
      </c>
      <c r="C289" s="8" t="s">
        <v>66</v>
      </c>
      <c r="D289" s="8" t="s">
        <v>304</v>
      </c>
      <c r="E289" s="21">
        <v>4</v>
      </c>
      <c r="F289" s="8" t="s">
        <v>1253</v>
      </c>
      <c r="G289" s="9" t="s">
        <v>1254</v>
      </c>
    </row>
    <row r="290" spans="1:7" ht="28.5">
      <c r="A290" s="7" t="s">
        <v>306</v>
      </c>
      <c r="B290" s="8" t="s">
        <v>1255</v>
      </c>
      <c r="C290" s="8" t="s">
        <v>66</v>
      </c>
      <c r="D290" s="8" t="s">
        <v>307</v>
      </c>
      <c r="E290" s="21">
        <v>0</v>
      </c>
      <c r="F290" s="8" t="s">
        <v>1256</v>
      </c>
      <c r="G290" s="9"/>
    </row>
    <row r="291" spans="1:7" ht="114">
      <c r="A291" s="7" t="s">
        <v>306</v>
      </c>
      <c r="B291" s="8" t="s">
        <v>1257</v>
      </c>
      <c r="C291" s="8" t="s">
        <v>66</v>
      </c>
      <c r="D291" s="8" t="s">
        <v>307</v>
      </c>
      <c r="E291" s="21">
        <v>1</v>
      </c>
      <c r="F291" s="8" t="s">
        <v>1258</v>
      </c>
      <c r="G291" s="9" t="s">
        <v>1259</v>
      </c>
    </row>
    <row r="292" spans="1:7" ht="128.25">
      <c r="A292" s="7" t="s">
        <v>306</v>
      </c>
      <c r="B292" s="8" t="s">
        <v>1260</v>
      </c>
      <c r="C292" s="8" t="s">
        <v>66</v>
      </c>
      <c r="D292" s="8" t="s">
        <v>307</v>
      </c>
      <c r="E292" s="21">
        <v>2</v>
      </c>
      <c r="F292" s="8" t="s">
        <v>1261</v>
      </c>
      <c r="G292" s="9" t="s">
        <v>1262</v>
      </c>
    </row>
    <row r="293" spans="1:7" ht="99.75">
      <c r="A293" s="7" t="s">
        <v>306</v>
      </c>
      <c r="B293" s="8" t="s">
        <v>1263</v>
      </c>
      <c r="C293" s="8" t="s">
        <v>66</v>
      </c>
      <c r="D293" s="8" t="s">
        <v>307</v>
      </c>
      <c r="E293" s="21">
        <v>3</v>
      </c>
      <c r="F293" s="8" t="s">
        <v>1264</v>
      </c>
      <c r="G293" s="9" t="s">
        <v>1265</v>
      </c>
    </row>
    <row r="294" spans="1:7" ht="114">
      <c r="A294" s="7" t="s">
        <v>306</v>
      </c>
      <c r="B294" s="8" t="s">
        <v>1266</v>
      </c>
      <c r="C294" s="8" t="s">
        <v>66</v>
      </c>
      <c r="D294" s="8" t="s">
        <v>307</v>
      </c>
      <c r="E294" s="21">
        <v>4</v>
      </c>
      <c r="F294" s="8" t="s">
        <v>1267</v>
      </c>
      <c r="G294" s="9" t="s">
        <v>1268</v>
      </c>
    </row>
    <row r="295" spans="1:7" ht="28.5">
      <c r="A295" s="7" t="s">
        <v>309</v>
      </c>
      <c r="B295" s="8" t="s">
        <v>1269</v>
      </c>
      <c r="C295" s="8" t="s">
        <v>66</v>
      </c>
      <c r="D295" s="8" t="s">
        <v>310</v>
      </c>
      <c r="E295" s="21">
        <v>0</v>
      </c>
      <c r="F295" s="8" t="s">
        <v>1270</v>
      </c>
      <c r="G295" s="9"/>
    </row>
    <row r="296" spans="1:7" ht="114">
      <c r="A296" s="7" t="s">
        <v>309</v>
      </c>
      <c r="B296" s="8" t="s">
        <v>1271</v>
      </c>
      <c r="C296" s="8" t="s">
        <v>66</v>
      </c>
      <c r="D296" s="8" t="s">
        <v>310</v>
      </c>
      <c r="E296" s="21">
        <v>1</v>
      </c>
      <c r="F296" s="8" t="s">
        <v>1272</v>
      </c>
      <c r="G296" s="9" t="s">
        <v>1273</v>
      </c>
    </row>
    <row r="297" spans="1:7" ht="171">
      <c r="A297" s="7" t="s">
        <v>309</v>
      </c>
      <c r="B297" s="8" t="s">
        <v>1274</v>
      </c>
      <c r="C297" s="8" t="s">
        <v>66</v>
      </c>
      <c r="D297" s="8" t="s">
        <v>310</v>
      </c>
      <c r="E297" s="21">
        <v>2</v>
      </c>
      <c r="F297" s="8" t="s">
        <v>1275</v>
      </c>
      <c r="G297" s="9" t="s">
        <v>1276</v>
      </c>
    </row>
    <row r="298" spans="1:7" ht="142.5">
      <c r="A298" s="7" t="s">
        <v>309</v>
      </c>
      <c r="B298" s="8" t="s">
        <v>1277</v>
      </c>
      <c r="C298" s="8" t="s">
        <v>66</v>
      </c>
      <c r="D298" s="8" t="s">
        <v>310</v>
      </c>
      <c r="E298" s="21">
        <v>3</v>
      </c>
      <c r="F298" s="8" t="s">
        <v>1278</v>
      </c>
      <c r="G298" s="9" t="s">
        <v>1279</v>
      </c>
    </row>
    <row r="299" spans="1:7" ht="99.75">
      <c r="A299" s="7" t="s">
        <v>309</v>
      </c>
      <c r="B299" s="8" t="s">
        <v>1280</v>
      </c>
      <c r="C299" s="8" t="s">
        <v>66</v>
      </c>
      <c r="D299" s="8" t="s">
        <v>310</v>
      </c>
      <c r="E299" s="21">
        <v>4</v>
      </c>
      <c r="F299" s="8" t="s">
        <v>1281</v>
      </c>
      <c r="G299" s="9" t="s">
        <v>1282</v>
      </c>
    </row>
    <row r="300" spans="1:7" ht="28.5">
      <c r="A300" s="7" t="s">
        <v>312</v>
      </c>
      <c r="B300" s="8" t="s">
        <v>1283</v>
      </c>
      <c r="C300" s="8" t="s">
        <v>66</v>
      </c>
      <c r="D300" s="8" t="s">
        <v>313</v>
      </c>
      <c r="E300" s="21">
        <v>0</v>
      </c>
      <c r="F300" s="8" t="s">
        <v>1284</v>
      </c>
      <c r="G300" s="9"/>
    </row>
    <row r="301" spans="1:7" ht="114">
      <c r="A301" s="7" t="s">
        <v>312</v>
      </c>
      <c r="B301" s="8" t="s">
        <v>1285</v>
      </c>
      <c r="C301" s="8" t="s">
        <v>66</v>
      </c>
      <c r="D301" s="8" t="s">
        <v>313</v>
      </c>
      <c r="E301" s="21">
        <v>1</v>
      </c>
      <c r="F301" s="8" t="s">
        <v>1286</v>
      </c>
      <c r="G301" s="9" t="s">
        <v>1287</v>
      </c>
    </row>
    <row r="302" spans="1:7" ht="142.5">
      <c r="A302" s="7" t="s">
        <v>312</v>
      </c>
      <c r="B302" s="8" t="s">
        <v>1288</v>
      </c>
      <c r="C302" s="8" t="s">
        <v>66</v>
      </c>
      <c r="D302" s="8" t="s">
        <v>313</v>
      </c>
      <c r="E302" s="21">
        <v>2</v>
      </c>
      <c r="F302" s="8" t="s">
        <v>1289</v>
      </c>
      <c r="G302" s="9" t="s">
        <v>1290</v>
      </c>
    </row>
    <row r="303" spans="1:7" ht="114">
      <c r="A303" s="7" t="s">
        <v>312</v>
      </c>
      <c r="B303" s="8" t="s">
        <v>1291</v>
      </c>
      <c r="C303" s="8" t="s">
        <v>66</v>
      </c>
      <c r="D303" s="8" t="s">
        <v>313</v>
      </c>
      <c r="E303" s="21">
        <v>3</v>
      </c>
      <c r="F303" s="8" t="s">
        <v>1292</v>
      </c>
      <c r="G303" s="9" t="s">
        <v>1293</v>
      </c>
    </row>
    <row r="304" spans="1:7" ht="156.75">
      <c r="A304" s="7" t="s">
        <v>312</v>
      </c>
      <c r="B304" s="8" t="s">
        <v>1294</v>
      </c>
      <c r="C304" s="8" t="s">
        <v>66</v>
      </c>
      <c r="D304" s="8" t="s">
        <v>313</v>
      </c>
      <c r="E304" s="21">
        <v>4</v>
      </c>
      <c r="F304" s="8" t="s">
        <v>1295</v>
      </c>
      <c r="G304" s="9" t="s">
        <v>1296</v>
      </c>
    </row>
    <row r="305" spans="1:7" ht="28.5">
      <c r="A305" s="7" t="s">
        <v>315</v>
      </c>
      <c r="B305" s="8" t="s">
        <v>1297</v>
      </c>
      <c r="C305" s="8" t="s">
        <v>66</v>
      </c>
      <c r="D305" s="8" t="s">
        <v>316</v>
      </c>
      <c r="E305" s="21">
        <v>0</v>
      </c>
      <c r="F305" s="8" t="s">
        <v>1298</v>
      </c>
      <c r="G305" s="9"/>
    </row>
    <row r="306" spans="1:7" ht="128.25">
      <c r="A306" s="7" t="s">
        <v>315</v>
      </c>
      <c r="B306" s="8" t="s">
        <v>1299</v>
      </c>
      <c r="C306" s="8" t="s">
        <v>66</v>
      </c>
      <c r="D306" s="8" t="s">
        <v>316</v>
      </c>
      <c r="E306" s="21">
        <v>1</v>
      </c>
      <c r="F306" s="8" t="s">
        <v>1300</v>
      </c>
      <c r="G306" s="9" t="s">
        <v>1301</v>
      </c>
    </row>
    <row r="307" spans="1:7" ht="142.5">
      <c r="A307" s="7" t="s">
        <v>315</v>
      </c>
      <c r="B307" s="8" t="s">
        <v>1302</v>
      </c>
      <c r="C307" s="8" t="s">
        <v>66</v>
      </c>
      <c r="D307" s="8" t="s">
        <v>316</v>
      </c>
      <c r="E307" s="21">
        <v>2</v>
      </c>
      <c r="F307" s="8" t="s">
        <v>1303</v>
      </c>
      <c r="G307" s="9" t="s">
        <v>1304</v>
      </c>
    </row>
    <row r="308" spans="1:7" ht="156.75">
      <c r="A308" s="7" t="s">
        <v>315</v>
      </c>
      <c r="B308" s="8" t="s">
        <v>1305</v>
      </c>
      <c r="C308" s="8" t="s">
        <v>66</v>
      </c>
      <c r="D308" s="8" t="s">
        <v>316</v>
      </c>
      <c r="E308" s="21">
        <v>3</v>
      </c>
      <c r="F308" s="8" t="s">
        <v>1306</v>
      </c>
      <c r="G308" s="9" t="s">
        <v>1307</v>
      </c>
    </row>
    <row r="309" spans="1:7" ht="199.5">
      <c r="A309" s="7" t="s">
        <v>315</v>
      </c>
      <c r="B309" s="8" t="s">
        <v>1308</v>
      </c>
      <c r="C309" s="8" t="s">
        <v>66</v>
      </c>
      <c r="D309" s="8" t="s">
        <v>316</v>
      </c>
      <c r="E309" s="21">
        <v>4</v>
      </c>
      <c r="F309" s="8" t="s">
        <v>1309</v>
      </c>
      <c r="G309" s="9" t="s">
        <v>1310</v>
      </c>
    </row>
    <row r="310" spans="1:7" ht="28.5">
      <c r="A310" s="7" t="s">
        <v>318</v>
      </c>
      <c r="B310" s="8" t="s">
        <v>1311</v>
      </c>
      <c r="C310" s="8" t="s">
        <v>66</v>
      </c>
      <c r="D310" s="8" t="s">
        <v>319</v>
      </c>
      <c r="E310" s="21">
        <v>0</v>
      </c>
      <c r="F310" s="8" t="s">
        <v>1312</v>
      </c>
      <c r="G310" s="9"/>
    </row>
    <row r="311" spans="1:7" ht="114">
      <c r="A311" s="7" t="s">
        <v>318</v>
      </c>
      <c r="B311" s="8" t="s">
        <v>1313</v>
      </c>
      <c r="C311" s="8" t="s">
        <v>66</v>
      </c>
      <c r="D311" s="8" t="s">
        <v>319</v>
      </c>
      <c r="E311" s="21">
        <v>1</v>
      </c>
      <c r="F311" s="8" t="s">
        <v>1314</v>
      </c>
      <c r="G311" s="9" t="s">
        <v>1315</v>
      </c>
    </row>
    <row r="312" spans="1:7" ht="171">
      <c r="A312" s="7" t="s">
        <v>318</v>
      </c>
      <c r="B312" s="8" t="s">
        <v>1316</v>
      </c>
      <c r="C312" s="8" t="s">
        <v>66</v>
      </c>
      <c r="D312" s="8" t="s">
        <v>319</v>
      </c>
      <c r="E312" s="21">
        <v>2</v>
      </c>
      <c r="F312" s="8" t="s">
        <v>1317</v>
      </c>
      <c r="G312" s="9" t="s">
        <v>1318</v>
      </c>
    </row>
    <row r="313" spans="1:7" ht="114">
      <c r="A313" s="7" t="s">
        <v>318</v>
      </c>
      <c r="B313" s="8" t="s">
        <v>1319</v>
      </c>
      <c r="C313" s="8" t="s">
        <v>66</v>
      </c>
      <c r="D313" s="8" t="s">
        <v>319</v>
      </c>
      <c r="E313" s="21">
        <v>3</v>
      </c>
      <c r="F313" s="8" t="s">
        <v>1320</v>
      </c>
      <c r="G313" s="9" t="s">
        <v>1321</v>
      </c>
    </row>
    <row r="314" spans="1:7" ht="171">
      <c r="A314" s="7" t="s">
        <v>318</v>
      </c>
      <c r="B314" s="8" t="s">
        <v>1322</v>
      </c>
      <c r="C314" s="8" t="s">
        <v>66</v>
      </c>
      <c r="D314" s="8" t="s">
        <v>319</v>
      </c>
      <c r="E314" s="21">
        <v>4</v>
      </c>
      <c r="F314" s="8" t="s">
        <v>1323</v>
      </c>
      <c r="G314" s="9" t="s">
        <v>1324</v>
      </c>
    </row>
    <row r="315" spans="1:7" ht="28.5">
      <c r="A315" s="7" t="s">
        <v>321</v>
      </c>
      <c r="B315" s="8" t="s">
        <v>1325</v>
      </c>
      <c r="C315" s="8" t="s">
        <v>66</v>
      </c>
      <c r="D315" s="8" t="s">
        <v>322</v>
      </c>
      <c r="E315" s="21">
        <v>0</v>
      </c>
      <c r="F315" s="8" t="s">
        <v>1326</v>
      </c>
      <c r="G315" s="9"/>
    </row>
    <row r="316" spans="1:7" ht="171">
      <c r="A316" s="7" t="s">
        <v>321</v>
      </c>
      <c r="B316" s="8" t="s">
        <v>1327</v>
      </c>
      <c r="C316" s="8" t="s">
        <v>66</v>
      </c>
      <c r="D316" s="8" t="s">
        <v>322</v>
      </c>
      <c r="E316" s="21">
        <v>1</v>
      </c>
      <c r="F316" s="8" t="s">
        <v>1328</v>
      </c>
      <c r="G316" s="9" t="s">
        <v>1329</v>
      </c>
    </row>
    <row r="317" spans="1:7" ht="171">
      <c r="A317" s="7" t="s">
        <v>321</v>
      </c>
      <c r="B317" s="8" t="s">
        <v>1330</v>
      </c>
      <c r="C317" s="8" t="s">
        <v>66</v>
      </c>
      <c r="D317" s="8" t="s">
        <v>322</v>
      </c>
      <c r="E317" s="21">
        <v>2</v>
      </c>
      <c r="F317" s="8" t="s">
        <v>1331</v>
      </c>
      <c r="G317" s="9" t="s">
        <v>1332</v>
      </c>
    </row>
    <row r="318" spans="1:7" ht="199.5">
      <c r="A318" s="7" t="s">
        <v>321</v>
      </c>
      <c r="B318" s="8" t="s">
        <v>1333</v>
      </c>
      <c r="C318" s="8" t="s">
        <v>66</v>
      </c>
      <c r="D318" s="8" t="s">
        <v>322</v>
      </c>
      <c r="E318" s="21">
        <v>3</v>
      </c>
      <c r="F318" s="8" t="s">
        <v>1334</v>
      </c>
      <c r="G318" s="9" t="s">
        <v>1335</v>
      </c>
    </row>
    <row r="319" spans="1:7" ht="85.5">
      <c r="A319" s="7" t="s">
        <v>321</v>
      </c>
      <c r="B319" s="8" t="s">
        <v>1336</v>
      </c>
      <c r="C319" s="8" t="s">
        <v>66</v>
      </c>
      <c r="D319" s="8" t="s">
        <v>322</v>
      </c>
      <c r="E319" s="21">
        <v>4</v>
      </c>
      <c r="F319" s="8" t="s">
        <v>1337</v>
      </c>
      <c r="G319" s="9" t="s">
        <v>1338</v>
      </c>
    </row>
    <row r="320" spans="1:7" ht="28.5">
      <c r="A320" s="7" t="s">
        <v>324</v>
      </c>
      <c r="B320" s="8" t="s">
        <v>1339</v>
      </c>
      <c r="C320" s="8" t="s">
        <v>66</v>
      </c>
      <c r="D320" s="8" t="s">
        <v>325</v>
      </c>
      <c r="E320" s="21">
        <v>0</v>
      </c>
      <c r="F320" s="8" t="s">
        <v>505</v>
      </c>
      <c r="G320" s="9"/>
    </row>
    <row r="321" spans="1:7" ht="128.25">
      <c r="A321" s="7" t="s">
        <v>324</v>
      </c>
      <c r="B321" s="8" t="s">
        <v>1340</v>
      </c>
      <c r="C321" s="8" t="s">
        <v>66</v>
      </c>
      <c r="D321" s="8" t="s">
        <v>325</v>
      </c>
      <c r="E321" s="21">
        <v>1</v>
      </c>
      <c r="F321" s="8" t="s">
        <v>1341</v>
      </c>
      <c r="G321" s="9" t="s">
        <v>1342</v>
      </c>
    </row>
    <row r="322" spans="1:7" ht="142.5">
      <c r="A322" s="7" t="s">
        <v>324</v>
      </c>
      <c r="B322" s="8" t="s">
        <v>1343</v>
      </c>
      <c r="C322" s="8" t="s">
        <v>66</v>
      </c>
      <c r="D322" s="8" t="s">
        <v>325</v>
      </c>
      <c r="E322" s="21">
        <v>2</v>
      </c>
      <c r="F322" s="8" t="s">
        <v>1344</v>
      </c>
      <c r="G322" s="9" t="s">
        <v>1345</v>
      </c>
    </row>
    <row r="323" spans="1:7" ht="156.75">
      <c r="A323" s="7" t="s">
        <v>324</v>
      </c>
      <c r="B323" s="8" t="s">
        <v>1346</v>
      </c>
      <c r="C323" s="8" t="s">
        <v>66</v>
      </c>
      <c r="D323" s="8" t="s">
        <v>325</v>
      </c>
      <c r="E323" s="21">
        <v>3</v>
      </c>
      <c r="F323" s="8" t="s">
        <v>1347</v>
      </c>
      <c r="G323" s="9" t="s">
        <v>1348</v>
      </c>
    </row>
    <row r="324" spans="1:7" ht="71.25">
      <c r="A324" s="7" t="s">
        <v>324</v>
      </c>
      <c r="B324" s="8" t="s">
        <v>1349</v>
      </c>
      <c r="C324" s="8" t="s">
        <v>66</v>
      </c>
      <c r="D324" s="8" t="s">
        <v>325</v>
      </c>
      <c r="E324" s="21">
        <v>4</v>
      </c>
      <c r="F324" s="8" t="s">
        <v>1350</v>
      </c>
      <c r="G324" s="9" t="s">
        <v>1351</v>
      </c>
    </row>
    <row r="325" spans="1:7" ht="28.5">
      <c r="A325" s="7" t="s">
        <v>327</v>
      </c>
      <c r="B325" s="8" t="s">
        <v>1352</v>
      </c>
      <c r="C325" s="8" t="s">
        <v>66</v>
      </c>
      <c r="D325" s="8" t="s">
        <v>328</v>
      </c>
      <c r="E325" s="21">
        <v>0</v>
      </c>
      <c r="F325" s="8" t="s">
        <v>505</v>
      </c>
      <c r="G325" s="9"/>
    </row>
    <row r="326" spans="1:7" ht="99.75">
      <c r="A326" s="7" t="s">
        <v>327</v>
      </c>
      <c r="B326" s="8" t="s">
        <v>1353</v>
      </c>
      <c r="C326" s="8" t="s">
        <v>66</v>
      </c>
      <c r="D326" s="8" t="s">
        <v>328</v>
      </c>
      <c r="E326" s="21">
        <v>1</v>
      </c>
      <c r="F326" s="8" t="s">
        <v>1354</v>
      </c>
      <c r="G326" s="9" t="s">
        <v>1355</v>
      </c>
    </row>
    <row r="327" spans="1:7" ht="142.5">
      <c r="A327" s="7" t="s">
        <v>327</v>
      </c>
      <c r="B327" s="8" t="s">
        <v>1356</v>
      </c>
      <c r="C327" s="8" t="s">
        <v>66</v>
      </c>
      <c r="D327" s="8" t="s">
        <v>328</v>
      </c>
      <c r="E327" s="21">
        <v>2</v>
      </c>
      <c r="F327" s="8" t="s">
        <v>1357</v>
      </c>
      <c r="G327" s="9" t="s">
        <v>1358</v>
      </c>
    </row>
    <row r="328" spans="1:7" ht="128.25">
      <c r="A328" s="7" t="s">
        <v>327</v>
      </c>
      <c r="B328" s="8" t="s">
        <v>1359</v>
      </c>
      <c r="C328" s="8" t="s">
        <v>66</v>
      </c>
      <c r="D328" s="8" t="s">
        <v>328</v>
      </c>
      <c r="E328" s="21">
        <v>3</v>
      </c>
      <c r="F328" s="8" t="s">
        <v>1360</v>
      </c>
      <c r="G328" s="9" t="s">
        <v>1361</v>
      </c>
    </row>
    <row r="329" spans="1:7" ht="128.25">
      <c r="A329" s="7" t="s">
        <v>327</v>
      </c>
      <c r="B329" s="8" t="s">
        <v>1362</v>
      </c>
      <c r="C329" s="8" t="s">
        <v>66</v>
      </c>
      <c r="D329" s="8" t="s">
        <v>328</v>
      </c>
      <c r="E329" s="21">
        <v>4</v>
      </c>
      <c r="F329" s="8" t="s">
        <v>1363</v>
      </c>
      <c r="G329" s="9" t="s">
        <v>1364</v>
      </c>
    </row>
    <row r="330" spans="1:7" ht="28.5">
      <c r="A330" s="7" t="s">
        <v>330</v>
      </c>
      <c r="B330" s="8" t="s">
        <v>1365</v>
      </c>
      <c r="C330" s="8" t="s">
        <v>66</v>
      </c>
      <c r="D330" s="8" t="s">
        <v>331</v>
      </c>
      <c r="E330" s="21">
        <v>0</v>
      </c>
      <c r="F330" s="8" t="s">
        <v>505</v>
      </c>
      <c r="G330" s="9"/>
    </row>
    <row r="331" spans="1:7" ht="71.25">
      <c r="A331" s="7" t="s">
        <v>330</v>
      </c>
      <c r="B331" s="8" t="s">
        <v>1366</v>
      </c>
      <c r="C331" s="8" t="s">
        <v>66</v>
      </c>
      <c r="D331" s="8" t="s">
        <v>331</v>
      </c>
      <c r="E331" s="21">
        <v>1</v>
      </c>
      <c r="F331" s="8" t="s">
        <v>1367</v>
      </c>
      <c r="G331" s="9" t="s">
        <v>1368</v>
      </c>
    </row>
    <row r="332" spans="1:7" ht="114">
      <c r="A332" s="7" t="s">
        <v>330</v>
      </c>
      <c r="B332" s="8" t="s">
        <v>1369</v>
      </c>
      <c r="C332" s="8" t="s">
        <v>66</v>
      </c>
      <c r="D332" s="8" t="s">
        <v>331</v>
      </c>
      <c r="E332" s="21">
        <v>2</v>
      </c>
      <c r="F332" s="8" t="s">
        <v>1370</v>
      </c>
      <c r="G332" s="9" t="s">
        <v>1371</v>
      </c>
    </row>
    <row r="333" spans="1:7" ht="128.25">
      <c r="A333" s="7" t="s">
        <v>330</v>
      </c>
      <c r="B333" s="8" t="s">
        <v>1372</v>
      </c>
      <c r="C333" s="8" t="s">
        <v>66</v>
      </c>
      <c r="D333" s="8" t="s">
        <v>331</v>
      </c>
      <c r="E333" s="21">
        <v>3</v>
      </c>
      <c r="F333" s="8" t="s">
        <v>1373</v>
      </c>
      <c r="G333" s="9" t="s">
        <v>1374</v>
      </c>
    </row>
    <row r="334" spans="1:7" ht="128.25">
      <c r="A334" s="7" t="s">
        <v>330</v>
      </c>
      <c r="B334" s="8" t="s">
        <v>1375</v>
      </c>
      <c r="C334" s="8" t="s">
        <v>66</v>
      </c>
      <c r="D334" s="8" t="s">
        <v>331</v>
      </c>
      <c r="E334" s="21">
        <v>4</v>
      </c>
      <c r="F334" s="8" t="s">
        <v>1376</v>
      </c>
      <c r="G334" s="9" t="s">
        <v>1377</v>
      </c>
    </row>
    <row r="335" spans="1:7" ht="28.5">
      <c r="A335" s="7" t="s">
        <v>333</v>
      </c>
      <c r="B335" s="8" t="s">
        <v>1378</v>
      </c>
      <c r="C335" s="8" t="s">
        <v>66</v>
      </c>
      <c r="D335" s="8" t="s">
        <v>334</v>
      </c>
      <c r="E335" s="21">
        <v>0</v>
      </c>
      <c r="F335" s="8" t="s">
        <v>1217</v>
      </c>
      <c r="G335" s="9"/>
    </row>
    <row r="336" spans="1:7" ht="114">
      <c r="A336" s="7" t="s">
        <v>333</v>
      </c>
      <c r="B336" s="8" t="s">
        <v>1379</v>
      </c>
      <c r="C336" s="8" t="s">
        <v>66</v>
      </c>
      <c r="D336" s="8" t="s">
        <v>334</v>
      </c>
      <c r="E336" s="21">
        <v>1</v>
      </c>
      <c r="F336" s="8" t="s">
        <v>1380</v>
      </c>
      <c r="G336" s="9" t="s">
        <v>1381</v>
      </c>
    </row>
    <row r="337" spans="1:7" ht="171">
      <c r="A337" s="7" t="s">
        <v>333</v>
      </c>
      <c r="B337" s="8" t="s">
        <v>1382</v>
      </c>
      <c r="C337" s="8" t="s">
        <v>66</v>
      </c>
      <c r="D337" s="8" t="s">
        <v>334</v>
      </c>
      <c r="E337" s="21">
        <v>2</v>
      </c>
      <c r="F337" s="8" t="s">
        <v>1383</v>
      </c>
      <c r="G337" s="9" t="s">
        <v>1384</v>
      </c>
    </row>
    <row r="338" spans="1:7" ht="156.75">
      <c r="A338" s="7" t="s">
        <v>333</v>
      </c>
      <c r="B338" s="8" t="s">
        <v>1385</v>
      </c>
      <c r="C338" s="8" t="s">
        <v>66</v>
      </c>
      <c r="D338" s="8" t="s">
        <v>334</v>
      </c>
      <c r="E338" s="21">
        <v>3</v>
      </c>
      <c r="F338" s="8" t="s">
        <v>1386</v>
      </c>
      <c r="G338" s="9" t="s">
        <v>1387</v>
      </c>
    </row>
    <row r="339" spans="1:7" ht="156.75">
      <c r="A339" s="7" t="s">
        <v>333</v>
      </c>
      <c r="B339" s="8" t="s">
        <v>1388</v>
      </c>
      <c r="C339" s="8" t="s">
        <v>66</v>
      </c>
      <c r="D339" s="8" t="s">
        <v>334</v>
      </c>
      <c r="E339" s="21">
        <v>4</v>
      </c>
      <c r="F339" s="8" t="s">
        <v>1376</v>
      </c>
      <c r="G339" s="9" t="s">
        <v>1389</v>
      </c>
    </row>
    <row r="340" spans="1:7" ht="28.5">
      <c r="A340" s="7" t="s">
        <v>337</v>
      </c>
      <c r="B340" s="8" t="s">
        <v>1390</v>
      </c>
      <c r="C340" s="8" t="s">
        <v>67</v>
      </c>
      <c r="D340" s="8" t="s">
        <v>338</v>
      </c>
      <c r="E340" s="21">
        <v>0</v>
      </c>
      <c r="F340" s="8" t="s">
        <v>1391</v>
      </c>
      <c r="G340" s="9"/>
    </row>
    <row r="341" spans="1:7" ht="185.25">
      <c r="A341" s="7" t="s">
        <v>337</v>
      </c>
      <c r="B341" s="8" t="s">
        <v>1392</v>
      </c>
      <c r="C341" s="8" t="s">
        <v>67</v>
      </c>
      <c r="D341" s="8" t="s">
        <v>338</v>
      </c>
      <c r="E341" s="21">
        <v>1</v>
      </c>
      <c r="F341" s="8" t="s">
        <v>1393</v>
      </c>
      <c r="G341" s="9" t="s">
        <v>1394</v>
      </c>
    </row>
    <row r="342" spans="1:7" ht="142.5">
      <c r="A342" s="7" t="s">
        <v>337</v>
      </c>
      <c r="B342" s="8" t="s">
        <v>1395</v>
      </c>
      <c r="C342" s="8" t="s">
        <v>67</v>
      </c>
      <c r="D342" s="8" t="s">
        <v>338</v>
      </c>
      <c r="E342" s="21">
        <v>2</v>
      </c>
      <c r="F342" s="8" t="s">
        <v>1396</v>
      </c>
      <c r="G342" s="9" t="s">
        <v>1397</v>
      </c>
    </row>
    <row r="343" spans="1:7" ht="99.75">
      <c r="A343" s="7" t="s">
        <v>337</v>
      </c>
      <c r="B343" s="8" t="s">
        <v>1398</v>
      </c>
      <c r="C343" s="8" t="s">
        <v>67</v>
      </c>
      <c r="D343" s="8" t="s">
        <v>338</v>
      </c>
      <c r="E343" s="21">
        <v>3</v>
      </c>
      <c r="F343" s="8" t="s">
        <v>1399</v>
      </c>
      <c r="G343" s="9" t="s">
        <v>1400</v>
      </c>
    </row>
    <row r="344" spans="1:7" ht="171">
      <c r="A344" s="7" t="s">
        <v>337</v>
      </c>
      <c r="B344" s="8" t="s">
        <v>1401</v>
      </c>
      <c r="C344" s="8" t="s">
        <v>67</v>
      </c>
      <c r="D344" s="8" t="s">
        <v>338</v>
      </c>
      <c r="E344" s="21">
        <v>4</v>
      </c>
      <c r="F344" s="8" t="s">
        <v>1402</v>
      </c>
      <c r="G344" s="9" t="s">
        <v>1403</v>
      </c>
    </row>
    <row r="345" spans="1:7" ht="28.5">
      <c r="A345" s="7" t="s">
        <v>340</v>
      </c>
      <c r="B345" s="8" t="s">
        <v>1404</v>
      </c>
      <c r="C345" s="8" t="s">
        <v>67</v>
      </c>
      <c r="D345" s="8" t="s">
        <v>341</v>
      </c>
      <c r="E345" s="21">
        <v>0</v>
      </c>
      <c r="F345" s="8" t="s">
        <v>1391</v>
      </c>
      <c r="G345" s="9"/>
    </row>
    <row r="346" spans="1:7" ht="142.5">
      <c r="A346" s="7" t="s">
        <v>340</v>
      </c>
      <c r="B346" s="8" t="s">
        <v>1405</v>
      </c>
      <c r="C346" s="8" t="s">
        <v>67</v>
      </c>
      <c r="D346" s="8" t="s">
        <v>341</v>
      </c>
      <c r="E346" s="21">
        <v>1</v>
      </c>
      <c r="F346" s="8" t="s">
        <v>1406</v>
      </c>
      <c r="G346" s="9" t="s">
        <v>1407</v>
      </c>
    </row>
    <row r="347" spans="1:7" ht="85.5">
      <c r="A347" s="7" t="s">
        <v>340</v>
      </c>
      <c r="B347" s="8" t="s">
        <v>1408</v>
      </c>
      <c r="C347" s="8" t="s">
        <v>67</v>
      </c>
      <c r="D347" s="8" t="s">
        <v>341</v>
      </c>
      <c r="E347" s="21">
        <v>2</v>
      </c>
      <c r="F347" s="8" t="s">
        <v>1409</v>
      </c>
      <c r="G347" s="9" t="s">
        <v>1410</v>
      </c>
    </row>
    <row r="348" spans="1:7" ht="114">
      <c r="A348" s="7" t="s">
        <v>340</v>
      </c>
      <c r="B348" s="8" t="s">
        <v>1411</v>
      </c>
      <c r="C348" s="8" t="s">
        <v>67</v>
      </c>
      <c r="D348" s="8" t="s">
        <v>341</v>
      </c>
      <c r="E348" s="21">
        <v>3</v>
      </c>
      <c r="F348" s="8" t="s">
        <v>1412</v>
      </c>
      <c r="G348" s="9" t="s">
        <v>1413</v>
      </c>
    </row>
    <row r="349" spans="1:7" ht="128.25">
      <c r="A349" s="7" t="s">
        <v>340</v>
      </c>
      <c r="B349" s="8" t="s">
        <v>1414</v>
      </c>
      <c r="C349" s="8" t="s">
        <v>67</v>
      </c>
      <c r="D349" s="8" t="s">
        <v>341</v>
      </c>
      <c r="E349" s="21">
        <v>4</v>
      </c>
      <c r="F349" s="8" t="s">
        <v>1415</v>
      </c>
      <c r="G349" s="9" t="s">
        <v>1416</v>
      </c>
    </row>
    <row r="350" spans="1:7" ht="28.5">
      <c r="A350" s="7" t="s">
        <v>343</v>
      </c>
      <c r="B350" s="8" t="s">
        <v>1417</v>
      </c>
      <c r="C350" s="8" t="s">
        <v>67</v>
      </c>
      <c r="D350" s="8" t="s">
        <v>344</v>
      </c>
      <c r="E350" s="21">
        <v>0</v>
      </c>
      <c r="F350" s="8" t="s">
        <v>1391</v>
      </c>
      <c r="G350" s="9"/>
    </row>
    <row r="351" spans="1:7" ht="128.25">
      <c r="A351" s="7" t="s">
        <v>343</v>
      </c>
      <c r="B351" s="8" t="s">
        <v>1418</v>
      </c>
      <c r="C351" s="8" t="s">
        <v>67</v>
      </c>
      <c r="D351" s="8" t="s">
        <v>344</v>
      </c>
      <c r="E351" s="21">
        <v>1</v>
      </c>
      <c r="F351" s="8" t="s">
        <v>1419</v>
      </c>
      <c r="G351" s="9" t="s">
        <v>1420</v>
      </c>
    </row>
    <row r="352" spans="1:7" ht="156.75">
      <c r="A352" s="7" t="s">
        <v>343</v>
      </c>
      <c r="B352" s="8" t="s">
        <v>1421</v>
      </c>
      <c r="C352" s="8" t="s">
        <v>67</v>
      </c>
      <c r="D352" s="8" t="s">
        <v>344</v>
      </c>
      <c r="E352" s="21">
        <v>2</v>
      </c>
      <c r="F352" s="8" t="s">
        <v>1422</v>
      </c>
      <c r="G352" s="9" t="s">
        <v>1423</v>
      </c>
    </row>
    <row r="353" spans="1:7" ht="156.75">
      <c r="A353" s="7" t="s">
        <v>343</v>
      </c>
      <c r="B353" s="8" t="s">
        <v>1424</v>
      </c>
      <c r="C353" s="8" t="s">
        <v>67</v>
      </c>
      <c r="D353" s="8" t="s">
        <v>344</v>
      </c>
      <c r="E353" s="21">
        <v>3</v>
      </c>
      <c r="F353" s="8" t="s">
        <v>1425</v>
      </c>
      <c r="G353" s="9" t="s">
        <v>1426</v>
      </c>
    </row>
    <row r="354" spans="1:7" ht="171">
      <c r="A354" s="7" t="s">
        <v>343</v>
      </c>
      <c r="B354" s="8" t="s">
        <v>1427</v>
      </c>
      <c r="C354" s="8" t="s">
        <v>67</v>
      </c>
      <c r="D354" s="8" t="s">
        <v>344</v>
      </c>
      <c r="E354" s="21">
        <v>4</v>
      </c>
      <c r="F354" s="8" t="s">
        <v>1428</v>
      </c>
      <c r="G354" s="9" t="s">
        <v>1429</v>
      </c>
    </row>
    <row r="355" spans="1:7">
      <c r="A355" s="7" t="s">
        <v>346</v>
      </c>
      <c r="B355" s="8" t="s">
        <v>1430</v>
      </c>
      <c r="C355" s="8" t="s">
        <v>67</v>
      </c>
      <c r="D355" s="8" t="s">
        <v>347</v>
      </c>
      <c r="E355" s="21">
        <v>0</v>
      </c>
      <c r="F355" s="8" t="s">
        <v>1431</v>
      </c>
      <c r="G355" s="9"/>
    </row>
    <row r="356" spans="1:7" ht="114">
      <c r="A356" s="7" t="s">
        <v>346</v>
      </c>
      <c r="B356" s="8" t="s">
        <v>1432</v>
      </c>
      <c r="C356" s="8" t="s">
        <v>67</v>
      </c>
      <c r="D356" s="8" t="s">
        <v>347</v>
      </c>
      <c r="E356" s="21">
        <v>1</v>
      </c>
      <c r="F356" s="8" t="s">
        <v>1433</v>
      </c>
      <c r="G356" s="9" t="s">
        <v>1434</v>
      </c>
    </row>
    <row r="357" spans="1:7" ht="99.75">
      <c r="A357" s="7" t="s">
        <v>346</v>
      </c>
      <c r="B357" s="8" t="s">
        <v>1435</v>
      </c>
      <c r="C357" s="8" t="s">
        <v>67</v>
      </c>
      <c r="D357" s="8" t="s">
        <v>347</v>
      </c>
      <c r="E357" s="21">
        <v>2</v>
      </c>
      <c r="F357" s="8" t="s">
        <v>1436</v>
      </c>
      <c r="G357" s="9" t="s">
        <v>1437</v>
      </c>
    </row>
    <row r="358" spans="1:7" ht="128.25">
      <c r="A358" s="7" t="s">
        <v>346</v>
      </c>
      <c r="B358" s="8" t="s">
        <v>1438</v>
      </c>
      <c r="C358" s="8" t="s">
        <v>67</v>
      </c>
      <c r="D358" s="8" t="s">
        <v>347</v>
      </c>
      <c r="E358" s="21">
        <v>3</v>
      </c>
      <c r="F358" s="8" t="s">
        <v>1439</v>
      </c>
      <c r="G358" s="9" t="s">
        <v>1440</v>
      </c>
    </row>
    <row r="359" spans="1:7" ht="114">
      <c r="A359" s="7" t="s">
        <v>346</v>
      </c>
      <c r="B359" s="8" t="s">
        <v>1441</v>
      </c>
      <c r="C359" s="8" t="s">
        <v>67</v>
      </c>
      <c r="D359" s="8" t="s">
        <v>347</v>
      </c>
      <c r="E359" s="21">
        <v>4</v>
      </c>
      <c r="F359" s="8" t="s">
        <v>1442</v>
      </c>
      <c r="G359" s="9" t="s">
        <v>1443</v>
      </c>
    </row>
    <row r="360" spans="1:7" ht="28.5">
      <c r="A360" s="7" t="s">
        <v>349</v>
      </c>
      <c r="B360" s="8" t="s">
        <v>1444</v>
      </c>
      <c r="C360" s="8" t="s">
        <v>67</v>
      </c>
      <c r="D360" s="8" t="s">
        <v>350</v>
      </c>
      <c r="E360" s="21">
        <v>0</v>
      </c>
      <c r="F360" s="8" t="s">
        <v>1445</v>
      </c>
      <c r="G360" s="9"/>
    </row>
    <row r="361" spans="1:7" ht="177" customHeight="1">
      <c r="A361" s="7" t="s">
        <v>349</v>
      </c>
      <c r="B361" s="8" t="s">
        <v>1446</v>
      </c>
      <c r="C361" s="8" t="s">
        <v>67</v>
      </c>
      <c r="D361" s="8" t="s">
        <v>350</v>
      </c>
      <c r="E361" s="21">
        <v>1</v>
      </c>
      <c r="F361" s="8" t="s">
        <v>1447</v>
      </c>
      <c r="G361" s="9" t="s">
        <v>1448</v>
      </c>
    </row>
    <row r="362" spans="1:7" ht="114">
      <c r="A362" s="7" t="s">
        <v>349</v>
      </c>
      <c r="B362" s="8" t="s">
        <v>1449</v>
      </c>
      <c r="C362" s="8" t="s">
        <v>67</v>
      </c>
      <c r="D362" s="8" t="s">
        <v>350</v>
      </c>
      <c r="E362" s="21">
        <v>2</v>
      </c>
      <c r="F362" s="8" t="s">
        <v>1450</v>
      </c>
      <c r="G362" s="9" t="s">
        <v>1451</v>
      </c>
    </row>
    <row r="363" spans="1:7" ht="114">
      <c r="A363" s="7" t="s">
        <v>349</v>
      </c>
      <c r="B363" s="8" t="s">
        <v>1452</v>
      </c>
      <c r="C363" s="8" t="s">
        <v>67</v>
      </c>
      <c r="D363" s="8" t="s">
        <v>350</v>
      </c>
      <c r="E363" s="21">
        <v>3</v>
      </c>
      <c r="F363" s="8" t="s">
        <v>1453</v>
      </c>
      <c r="G363" s="9" t="s">
        <v>1454</v>
      </c>
    </row>
    <row r="364" spans="1:7" ht="156.75">
      <c r="A364" s="7" t="s">
        <v>349</v>
      </c>
      <c r="B364" s="8" t="s">
        <v>1455</v>
      </c>
      <c r="C364" s="8" t="s">
        <v>67</v>
      </c>
      <c r="D364" s="8" t="s">
        <v>350</v>
      </c>
      <c r="E364" s="21">
        <v>4</v>
      </c>
      <c r="F364" s="8" t="s">
        <v>1456</v>
      </c>
      <c r="G364" s="9" t="s">
        <v>1457</v>
      </c>
    </row>
    <row r="365" spans="1:7" ht="28.5">
      <c r="A365" s="7" t="s">
        <v>352</v>
      </c>
      <c r="B365" s="8" t="s">
        <v>1458</v>
      </c>
      <c r="C365" s="8" t="s">
        <v>67</v>
      </c>
      <c r="D365" s="8" t="s">
        <v>353</v>
      </c>
      <c r="E365" s="21">
        <v>0</v>
      </c>
      <c r="F365" s="8" t="s">
        <v>1459</v>
      </c>
      <c r="G365" s="9"/>
    </row>
    <row r="366" spans="1:7" ht="114">
      <c r="A366" s="7" t="s">
        <v>352</v>
      </c>
      <c r="B366" s="8" t="s">
        <v>1460</v>
      </c>
      <c r="C366" s="8" t="s">
        <v>67</v>
      </c>
      <c r="D366" s="8" t="s">
        <v>353</v>
      </c>
      <c r="E366" s="21">
        <v>1</v>
      </c>
      <c r="F366" s="8" t="s">
        <v>1461</v>
      </c>
      <c r="G366" s="9" t="s">
        <v>1462</v>
      </c>
    </row>
    <row r="367" spans="1:7" ht="99.75">
      <c r="A367" s="7" t="s">
        <v>352</v>
      </c>
      <c r="B367" s="8" t="s">
        <v>1463</v>
      </c>
      <c r="C367" s="8" t="s">
        <v>67</v>
      </c>
      <c r="D367" s="8" t="s">
        <v>353</v>
      </c>
      <c r="E367" s="21">
        <v>2</v>
      </c>
      <c r="F367" s="8" t="s">
        <v>1464</v>
      </c>
      <c r="G367" s="9" t="s">
        <v>1465</v>
      </c>
    </row>
    <row r="368" spans="1:7" ht="71.25">
      <c r="A368" s="7" t="s">
        <v>352</v>
      </c>
      <c r="B368" s="8" t="s">
        <v>1466</v>
      </c>
      <c r="C368" s="8" t="s">
        <v>67</v>
      </c>
      <c r="D368" s="8" t="s">
        <v>353</v>
      </c>
      <c r="E368" s="21">
        <v>3</v>
      </c>
      <c r="F368" s="8" t="s">
        <v>1467</v>
      </c>
      <c r="G368" s="9" t="s">
        <v>1468</v>
      </c>
    </row>
    <row r="369" spans="1:7" ht="99.75">
      <c r="A369" s="7" t="s">
        <v>352</v>
      </c>
      <c r="B369" s="8" t="s">
        <v>1469</v>
      </c>
      <c r="C369" s="8" t="s">
        <v>67</v>
      </c>
      <c r="D369" s="8" t="s">
        <v>353</v>
      </c>
      <c r="E369" s="21">
        <v>4</v>
      </c>
      <c r="F369" s="8" t="s">
        <v>1470</v>
      </c>
      <c r="G369" s="9" t="s">
        <v>1471</v>
      </c>
    </row>
    <row r="370" spans="1:7">
      <c r="A370" s="7" t="s">
        <v>355</v>
      </c>
      <c r="B370" s="8" t="s">
        <v>1472</v>
      </c>
      <c r="C370" s="8" t="s">
        <v>67</v>
      </c>
      <c r="D370" s="8" t="s">
        <v>356</v>
      </c>
      <c r="E370" s="21">
        <v>0</v>
      </c>
      <c r="F370" s="8" t="s">
        <v>837</v>
      </c>
      <c r="G370" s="9"/>
    </row>
    <row r="371" spans="1:7" ht="57">
      <c r="A371" s="7" t="s">
        <v>355</v>
      </c>
      <c r="B371" s="8" t="s">
        <v>1473</v>
      </c>
      <c r="C371" s="8" t="s">
        <v>67</v>
      </c>
      <c r="D371" s="8" t="s">
        <v>356</v>
      </c>
      <c r="E371" s="21">
        <v>1</v>
      </c>
      <c r="F371" s="8" t="s">
        <v>1474</v>
      </c>
      <c r="G371" s="9" t="s">
        <v>1475</v>
      </c>
    </row>
    <row r="372" spans="1:7" ht="85.5">
      <c r="A372" s="7" t="s">
        <v>355</v>
      </c>
      <c r="B372" s="8" t="s">
        <v>1476</v>
      </c>
      <c r="C372" s="8" t="s">
        <v>67</v>
      </c>
      <c r="D372" s="8" t="s">
        <v>356</v>
      </c>
      <c r="E372" s="21">
        <v>2</v>
      </c>
      <c r="F372" s="8" t="s">
        <v>1477</v>
      </c>
      <c r="G372" s="9" t="s">
        <v>1478</v>
      </c>
    </row>
    <row r="373" spans="1:7" ht="99.75">
      <c r="A373" s="7" t="s">
        <v>355</v>
      </c>
      <c r="B373" s="8" t="s">
        <v>1479</v>
      </c>
      <c r="C373" s="8" t="s">
        <v>67</v>
      </c>
      <c r="D373" s="8" t="s">
        <v>356</v>
      </c>
      <c r="E373" s="21">
        <v>3</v>
      </c>
      <c r="F373" s="8" t="s">
        <v>1480</v>
      </c>
      <c r="G373" s="9" t="s">
        <v>1481</v>
      </c>
    </row>
    <row r="374" spans="1:7" ht="85.5">
      <c r="A374" s="7" t="s">
        <v>355</v>
      </c>
      <c r="B374" s="8" t="s">
        <v>1482</v>
      </c>
      <c r="C374" s="8" t="s">
        <v>67</v>
      </c>
      <c r="D374" s="8" t="s">
        <v>356</v>
      </c>
      <c r="E374" s="21">
        <v>4</v>
      </c>
      <c r="F374" s="8" t="s">
        <v>1483</v>
      </c>
      <c r="G374" s="9" t="s">
        <v>1484</v>
      </c>
    </row>
    <row r="375" spans="1:7" ht="28.5">
      <c r="A375" s="7" t="s">
        <v>358</v>
      </c>
      <c r="B375" s="8" t="s">
        <v>1485</v>
      </c>
      <c r="C375" s="8" t="s">
        <v>67</v>
      </c>
      <c r="D375" s="8" t="s">
        <v>359</v>
      </c>
      <c r="E375" s="21">
        <v>0</v>
      </c>
      <c r="F375" s="8" t="s">
        <v>1486</v>
      </c>
      <c r="G375" s="9"/>
    </row>
    <row r="376" spans="1:7" ht="128.25">
      <c r="A376" s="7" t="s">
        <v>358</v>
      </c>
      <c r="B376" s="8" t="s">
        <v>1487</v>
      </c>
      <c r="C376" s="8" t="s">
        <v>67</v>
      </c>
      <c r="D376" s="8" t="s">
        <v>359</v>
      </c>
      <c r="E376" s="21">
        <v>1</v>
      </c>
      <c r="F376" s="8" t="s">
        <v>1488</v>
      </c>
      <c r="G376" s="9" t="s">
        <v>1489</v>
      </c>
    </row>
    <row r="377" spans="1:7" ht="71.25">
      <c r="A377" s="7" t="s">
        <v>358</v>
      </c>
      <c r="B377" s="8" t="s">
        <v>1490</v>
      </c>
      <c r="C377" s="8" t="s">
        <v>67</v>
      </c>
      <c r="D377" s="8" t="s">
        <v>359</v>
      </c>
      <c r="E377" s="21">
        <v>2</v>
      </c>
      <c r="F377" s="8" t="s">
        <v>1491</v>
      </c>
      <c r="G377" s="9" t="s">
        <v>1492</v>
      </c>
    </row>
    <row r="378" spans="1:7" ht="114">
      <c r="A378" s="7" t="s">
        <v>358</v>
      </c>
      <c r="B378" s="8" t="s">
        <v>1493</v>
      </c>
      <c r="C378" s="8" t="s">
        <v>67</v>
      </c>
      <c r="D378" s="8" t="s">
        <v>359</v>
      </c>
      <c r="E378" s="21">
        <v>3</v>
      </c>
      <c r="F378" s="8" t="s">
        <v>1494</v>
      </c>
      <c r="G378" s="9" t="s">
        <v>1495</v>
      </c>
    </row>
    <row r="379" spans="1:7" ht="85.5">
      <c r="A379" s="7" t="s">
        <v>358</v>
      </c>
      <c r="B379" s="8" t="s">
        <v>1496</v>
      </c>
      <c r="C379" s="8" t="s">
        <v>67</v>
      </c>
      <c r="D379" s="8" t="s">
        <v>359</v>
      </c>
      <c r="E379" s="21">
        <v>4</v>
      </c>
      <c r="F379" s="8" t="s">
        <v>1497</v>
      </c>
      <c r="G379" s="9" t="s">
        <v>1498</v>
      </c>
    </row>
    <row r="380" spans="1:7" ht="28.5">
      <c r="A380" s="7" t="s">
        <v>361</v>
      </c>
      <c r="B380" s="8" t="s">
        <v>1499</v>
      </c>
      <c r="C380" s="8" t="s">
        <v>67</v>
      </c>
      <c r="D380" s="8" t="s">
        <v>362</v>
      </c>
      <c r="E380" s="21">
        <v>0</v>
      </c>
      <c r="F380" s="8" t="s">
        <v>1500</v>
      </c>
      <c r="G380" s="9"/>
    </row>
    <row r="381" spans="1:7" ht="114">
      <c r="A381" s="7" t="s">
        <v>361</v>
      </c>
      <c r="B381" s="8" t="s">
        <v>1501</v>
      </c>
      <c r="C381" s="8" t="s">
        <v>67</v>
      </c>
      <c r="D381" s="8" t="s">
        <v>362</v>
      </c>
      <c r="E381" s="21">
        <v>1</v>
      </c>
      <c r="F381" s="8" t="s">
        <v>1502</v>
      </c>
      <c r="G381" s="9" t="s">
        <v>1503</v>
      </c>
    </row>
    <row r="382" spans="1:7" ht="99.75">
      <c r="A382" s="7" t="s">
        <v>361</v>
      </c>
      <c r="B382" s="8" t="s">
        <v>1504</v>
      </c>
      <c r="C382" s="8" t="s">
        <v>67</v>
      </c>
      <c r="D382" s="8" t="s">
        <v>362</v>
      </c>
      <c r="E382" s="21">
        <v>2</v>
      </c>
      <c r="F382" s="8" t="s">
        <v>1505</v>
      </c>
      <c r="G382" s="9" t="s">
        <v>1506</v>
      </c>
    </row>
    <row r="383" spans="1:7" ht="156.75">
      <c r="A383" s="7" t="s">
        <v>361</v>
      </c>
      <c r="B383" s="8" t="s">
        <v>1507</v>
      </c>
      <c r="C383" s="8" t="s">
        <v>67</v>
      </c>
      <c r="D383" s="8" t="s">
        <v>362</v>
      </c>
      <c r="E383" s="21">
        <v>3</v>
      </c>
      <c r="F383" s="8" t="s">
        <v>1508</v>
      </c>
      <c r="G383" s="9" t="s">
        <v>1509</v>
      </c>
    </row>
    <row r="384" spans="1:7" ht="99.75">
      <c r="A384" s="7" t="s">
        <v>361</v>
      </c>
      <c r="B384" s="8" t="s">
        <v>1510</v>
      </c>
      <c r="C384" s="8" t="s">
        <v>67</v>
      </c>
      <c r="D384" s="8" t="s">
        <v>362</v>
      </c>
      <c r="E384" s="21">
        <v>4</v>
      </c>
      <c r="F384" s="8" t="s">
        <v>1511</v>
      </c>
      <c r="G384" s="9" t="s">
        <v>1512</v>
      </c>
    </row>
    <row r="385" spans="1:7" ht="28.5">
      <c r="A385" s="7" t="s">
        <v>364</v>
      </c>
      <c r="B385" s="8" t="s">
        <v>1513</v>
      </c>
      <c r="C385" s="8" t="s">
        <v>67</v>
      </c>
      <c r="D385" s="8" t="s">
        <v>365</v>
      </c>
      <c r="E385" s="21">
        <v>0</v>
      </c>
      <c r="F385" s="8" t="s">
        <v>1514</v>
      </c>
      <c r="G385" s="9"/>
    </row>
    <row r="386" spans="1:7" ht="99.75">
      <c r="A386" s="7" t="s">
        <v>364</v>
      </c>
      <c r="B386" s="8" t="s">
        <v>1515</v>
      </c>
      <c r="C386" s="8" t="s">
        <v>67</v>
      </c>
      <c r="D386" s="8" t="s">
        <v>365</v>
      </c>
      <c r="E386" s="21">
        <v>1</v>
      </c>
      <c r="F386" s="8" t="s">
        <v>1516</v>
      </c>
      <c r="G386" s="9" t="s">
        <v>1517</v>
      </c>
    </row>
    <row r="387" spans="1:7" ht="128.25">
      <c r="A387" s="7" t="s">
        <v>364</v>
      </c>
      <c r="B387" s="8" t="s">
        <v>1518</v>
      </c>
      <c r="C387" s="8" t="s">
        <v>67</v>
      </c>
      <c r="D387" s="8" t="s">
        <v>365</v>
      </c>
      <c r="E387" s="21">
        <v>2</v>
      </c>
      <c r="F387" s="8" t="s">
        <v>1519</v>
      </c>
      <c r="G387" s="9" t="s">
        <v>1520</v>
      </c>
    </row>
    <row r="388" spans="1:7" ht="99.75">
      <c r="A388" s="7" t="s">
        <v>364</v>
      </c>
      <c r="B388" s="8" t="s">
        <v>1521</v>
      </c>
      <c r="C388" s="8" t="s">
        <v>67</v>
      </c>
      <c r="D388" s="8" t="s">
        <v>365</v>
      </c>
      <c r="E388" s="21">
        <v>3</v>
      </c>
      <c r="F388" s="8" t="s">
        <v>1522</v>
      </c>
      <c r="G388" s="9" t="s">
        <v>1523</v>
      </c>
    </row>
    <row r="389" spans="1:7" ht="128.25">
      <c r="A389" s="7" t="s">
        <v>364</v>
      </c>
      <c r="B389" s="8" t="s">
        <v>1524</v>
      </c>
      <c r="C389" s="8" t="s">
        <v>67</v>
      </c>
      <c r="D389" s="8" t="s">
        <v>365</v>
      </c>
      <c r="E389" s="21">
        <v>4</v>
      </c>
      <c r="F389" s="8" t="s">
        <v>1525</v>
      </c>
      <c r="G389" s="9" t="s">
        <v>1526</v>
      </c>
    </row>
    <row r="390" spans="1:7" ht="28.5">
      <c r="A390" s="7" t="s">
        <v>367</v>
      </c>
      <c r="B390" s="8" t="s">
        <v>1527</v>
      </c>
      <c r="C390" s="8" t="s">
        <v>67</v>
      </c>
      <c r="D390" s="8" t="s">
        <v>368</v>
      </c>
      <c r="E390" s="21">
        <v>0</v>
      </c>
      <c r="F390" s="8" t="s">
        <v>1041</v>
      </c>
      <c r="G390" s="9"/>
    </row>
    <row r="391" spans="1:7" ht="156.75">
      <c r="A391" s="7" t="s">
        <v>367</v>
      </c>
      <c r="B391" s="8" t="s">
        <v>1528</v>
      </c>
      <c r="C391" s="8" t="s">
        <v>67</v>
      </c>
      <c r="D391" s="8" t="s">
        <v>368</v>
      </c>
      <c r="E391" s="21">
        <v>1</v>
      </c>
      <c r="F391" s="8" t="s">
        <v>1529</v>
      </c>
      <c r="G391" s="9" t="s">
        <v>1530</v>
      </c>
    </row>
    <row r="392" spans="1:7" ht="99.75">
      <c r="A392" s="7" t="s">
        <v>367</v>
      </c>
      <c r="B392" s="8" t="s">
        <v>1531</v>
      </c>
      <c r="C392" s="8" t="s">
        <v>67</v>
      </c>
      <c r="D392" s="8" t="s">
        <v>368</v>
      </c>
      <c r="E392" s="21">
        <v>2</v>
      </c>
      <c r="F392" s="8" t="s">
        <v>1532</v>
      </c>
      <c r="G392" s="9" t="s">
        <v>1533</v>
      </c>
    </row>
    <row r="393" spans="1:7" ht="99.75">
      <c r="A393" s="7" t="s">
        <v>367</v>
      </c>
      <c r="B393" s="8" t="s">
        <v>1534</v>
      </c>
      <c r="C393" s="8" t="s">
        <v>67</v>
      </c>
      <c r="D393" s="8" t="s">
        <v>368</v>
      </c>
      <c r="E393" s="21">
        <v>3</v>
      </c>
      <c r="F393" s="8" t="s">
        <v>1535</v>
      </c>
      <c r="G393" s="9" t="s">
        <v>1536</v>
      </c>
    </row>
    <row r="394" spans="1:7" ht="114">
      <c r="A394" s="7" t="s">
        <v>367</v>
      </c>
      <c r="B394" s="8" t="s">
        <v>1537</v>
      </c>
      <c r="C394" s="8" t="s">
        <v>67</v>
      </c>
      <c r="D394" s="8" t="s">
        <v>368</v>
      </c>
      <c r="E394" s="21">
        <v>4</v>
      </c>
      <c r="F394" s="8" t="s">
        <v>1538</v>
      </c>
      <c r="G394" s="9" t="s">
        <v>1539</v>
      </c>
    </row>
    <row r="395" spans="1:7" ht="42.75">
      <c r="A395" s="7" t="s">
        <v>371</v>
      </c>
      <c r="B395" s="8" t="s">
        <v>1540</v>
      </c>
      <c r="C395" s="8" t="s">
        <v>68</v>
      </c>
      <c r="D395" s="8" t="s">
        <v>372</v>
      </c>
      <c r="E395" s="21">
        <v>0</v>
      </c>
      <c r="F395" s="8" t="s">
        <v>1541</v>
      </c>
      <c r="G395" s="9"/>
    </row>
    <row r="396" spans="1:7" ht="99.75">
      <c r="A396" s="7" t="s">
        <v>371</v>
      </c>
      <c r="B396" s="8" t="s">
        <v>1542</v>
      </c>
      <c r="C396" s="8" t="s">
        <v>68</v>
      </c>
      <c r="D396" s="8" t="s">
        <v>372</v>
      </c>
      <c r="E396" s="21">
        <v>1</v>
      </c>
      <c r="F396" s="8" t="s">
        <v>1543</v>
      </c>
      <c r="G396" s="9" t="s">
        <v>1544</v>
      </c>
    </row>
    <row r="397" spans="1:7" ht="114">
      <c r="A397" s="7" t="s">
        <v>371</v>
      </c>
      <c r="B397" s="8" t="s">
        <v>1545</v>
      </c>
      <c r="C397" s="8" t="s">
        <v>68</v>
      </c>
      <c r="D397" s="8" t="s">
        <v>372</v>
      </c>
      <c r="E397" s="21">
        <v>2</v>
      </c>
      <c r="F397" s="8" t="s">
        <v>1546</v>
      </c>
      <c r="G397" s="9" t="s">
        <v>1547</v>
      </c>
    </row>
    <row r="398" spans="1:7" ht="171">
      <c r="A398" s="7" t="s">
        <v>371</v>
      </c>
      <c r="B398" s="8" t="s">
        <v>1548</v>
      </c>
      <c r="C398" s="8" t="s">
        <v>68</v>
      </c>
      <c r="D398" s="8" t="s">
        <v>372</v>
      </c>
      <c r="E398" s="21">
        <v>3</v>
      </c>
      <c r="F398" s="8" t="s">
        <v>1549</v>
      </c>
      <c r="G398" s="9" t="s">
        <v>1550</v>
      </c>
    </row>
    <row r="399" spans="1:7" ht="185.25">
      <c r="A399" s="7" t="s">
        <v>371</v>
      </c>
      <c r="B399" s="8" t="s">
        <v>1551</v>
      </c>
      <c r="C399" s="8" t="s">
        <v>68</v>
      </c>
      <c r="D399" s="8" t="s">
        <v>372</v>
      </c>
      <c r="E399" s="21">
        <v>4</v>
      </c>
      <c r="F399" s="8" t="s">
        <v>1552</v>
      </c>
      <c r="G399" s="9" t="s">
        <v>1553</v>
      </c>
    </row>
    <row r="400" spans="1:7" ht="28.5">
      <c r="A400" s="7" t="s">
        <v>374</v>
      </c>
      <c r="B400" s="8" t="s">
        <v>1554</v>
      </c>
      <c r="C400" s="8" t="s">
        <v>68</v>
      </c>
      <c r="D400" s="8" t="s">
        <v>375</v>
      </c>
      <c r="E400" s="21">
        <v>0</v>
      </c>
      <c r="F400" s="8" t="s">
        <v>1555</v>
      </c>
      <c r="G400" s="9"/>
    </row>
    <row r="401" spans="1:7" ht="128.25">
      <c r="A401" s="7" t="s">
        <v>374</v>
      </c>
      <c r="B401" s="8" t="s">
        <v>1556</v>
      </c>
      <c r="C401" s="8" t="s">
        <v>68</v>
      </c>
      <c r="D401" s="8" t="s">
        <v>375</v>
      </c>
      <c r="E401" s="21">
        <v>1</v>
      </c>
      <c r="F401" s="8" t="s">
        <v>1557</v>
      </c>
      <c r="G401" s="9" t="s">
        <v>1558</v>
      </c>
    </row>
    <row r="402" spans="1:7" ht="114">
      <c r="A402" s="7" t="s">
        <v>374</v>
      </c>
      <c r="B402" s="8" t="s">
        <v>1559</v>
      </c>
      <c r="C402" s="8" t="s">
        <v>68</v>
      </c>
      <c r="D402" s="8" t="s">
        <v>375</v>
      </c>
      <c r="E402" s="21">
        <v>2</v>
      </c>
      <c r="F402" s="8" t="s">
        <v>1560</v>
      </c>
      <c r="G402" s="9" t="s">
        <v>1561</v>
      </c>
    </row>
    <row r="403" spans="1:7" ht="185.25">
      <c r="A403" s="7" t="s">
        <v>374</v>
      </c>
      <c r="B403" s="8" t="s">
        <v>1562</v>
      </c>
      <c r="C403" s="8" t="s">
        <v>68</v>
      </c>
      <c r="D403" s="8" t="s">
        <v>375</v>
      </c>
      <c r="E403" s="21">
        <v>3</v>
      </c>
      <c r="F403" s="8" t="s">
        <v>1563</v>
      </c>
      <c r="G403" s="9" t="s">
        <v>1564</v>
      </c>
    </row>
    <row r="404" spans="1:7" ht="185.25">
      <c r="A404" s="7" t="s">
        <v>374</v>
      </c>
      <c r="B404" s="8" t="s">
        <v>1565</v>
      </c>
      <c r="C404" s="8" t="s">
        <v>68</v>
      </c>
      <c r="D404" s="8" t="s">
        <v>375</v>
      </c>
      <c r="E404" s="21">
        <v>4</v>
      </c>
      <c r="F404" s="8" t="s">
        <v>1566</v>
      </c>
      <c r="G404" s="9" t="s">
        <v>1567</v>
      </c>
    </row>
    <row r="405" spans="1:7">
      <c r="A405" s="7" t="s">
        <v>377</v>
      </c>
      <c r="B405" s="8" t="s">
        <v>1568</v>
      </c>
      <c r="C405" s="8" t="s">
        <v>68</v>
      </c>
      <c r="D405" s="8" t="s">
        <v>378</v>
      </c>
      <c r="E405" s="21">
        <v>0</v>
      </c>
      <c r="F405" s="8" t="s">
        <v>837</v>
      </c>
      <c r="G405" s="9"/>
    </row>
    <row r="406" spans="1:7" ht="142.5">
      <c r="A406" s="7" t="s">
        <v>377</v>
      </c>
      <c r="B406" s="8" t="s">
        <v>1569</v>
      </c>
      <c r="C406" s="8" t="s">
        <v>68</v>
      </c>
      <c r="D406" s="8" t="s">
        <v>378</v>
      </c>
      <c r="E406" s="21">
        <v>1</v>
      </c>
      <c r="F406" s="8" t="s">
        <v>1570</v>
      </c>
      <c r="G406" s="9" t="s">
        <v>1571</v>
      </c>
    </row>
    <row r="407" spans="1:7" ht="171">
      <c r="A407" s="7" t="s">
        <v>377</v>
      </c>
      <c r="B407" s="8" t="s">
        <v>1572</v>
      </c>
      <c r="C407" s="8" t="s">
        <v>68</v>
      </c>
      <c r="D407" s="8" t="s">
        <v>378</v>
      </c>
      <c r="E407" s="21">
        <v>2</v>
      </c>
      <c r="F407" s="8" t="s">
        <v>1573</v>
      </c>
      <c r="G407" s="9" t="s">
        <v>1574</v>
      </c>
    </row>
    <row r="408" spans="1:7" ht="156.75">
      <c r="A408" s="7" t="s">
        <v>377</v>
      </c>
      <c r="B408" s="8" t="s">
        <v>1575</v>
      </c>
      <c r="C408" s="8" t="s">
        <v>68</v>
      </c>
      <c r="D408" s="8" t="s">
        <v>378</v>
      </c>
      <c r="E408" s="21">
        <v>3</v>
      </c>
      <c r="F408" s="8" t="s">
        <v>1576</v>
      </c>
      <c r="G408" s="9" t="s">
        <v>1577</v>
      </c>
    </row>
    <row r="409" spans="1:7" ht="142.5">
      <c r="A409" s="7" t="s">
        <v>377</v>
      </c>
      <c r="B409" s="8" t="s">
        <v>1578</v>
      </c>
      <c r="C409" s="8" t="s">
        <v>68</v>
      </c>
      <c r="D409" s="8" t="s">
        <v>378</v>
      </c>
      <c r="E409" s="21">
        <v>4</v>
      </c>
      <c r="F409" s="8" t="s">
        <v>1579</v>
      </c>
      <c r="G409" s="9" t="s">
        <v>1580</v>
      </c>
    </row>
    <row r="410" spans="1:7">
      <c r="A410" s="7" t="s">
        <v>380</v>
      </c>
      <c r="B410" s="8" t="s">
        <v>1581</v>
      </c>
      <c r="C410" s="8" t="s">
        <v>68</v>
      </c>
      <c r="D410" s="8" t="s">
        <v>381</v>
      </c>
      <c r="E410" s="21">
        <v>0</v>
      </c>
      <c r="F410" s="8" t="s">
        <v>1582</v>
      </c>
      <c r="G410" s="9"/>
    </row>
    <row r="411" spans="1:7" ht="128.25">
      <c r="A411" s="7" t="s">
        <v>380</v>
      </c>
      <c r="B411" s="8" t="s">
        <v>1583</v>
      </c>
      <c r="C411" s="8" t="s">
        <v>68</v>
      </c>
      <c r="D411" s="8" t="s">
        <v>381</v>
      </c>
      <c r="E411" s="21">
        <v>1</v>
      </c>
      <c r="F411" s="8" t="s">
        <v>1584</v>
      </c>
      <c r="G411" s="9" t="s">
        <v>1585</v>
      </c>
    </row>
    <row r="412" spans="1:7" ht="128.25">
      <c r="A412" s="7" t="s">
        <v>380</v>
      </c>
      <c r="B412" s="8" t="s">
        <v>1586</v>
      </c>
      <c r="C412" s="8" t="s">
        <v>68</v>
      </c>
      <c r="D412" s="8" t="s">
        <v>381</v>
      </c>
      <c r="E412" s="21">
        <v>2</v>
      </c>
      <c r="F412" s="8" t="s">
        <v>1587</v>
      </c>
      <c r="G412" s="9" t="s">
        <v>1588</v>
      </c>
    </row>
    <row r="413" spans="1:7" ht="85.5">
      <c r="A413" s="7" t="s">
        <v>380</v>
      </c>
      <c r="B413" s="8" t="s">
        <v>1589</v>
      </c>
      <c r="C413" s="8" t="s">
        <v>68</v>
      </c>
      <c r="D413" s="8" t="s">
        <v>381</v>
      </c>
      <c r="E413" s="21">
        <v>3</v>
      </c>
      <c r="F413" s="8" t="s">
        <v>1590</v>
      </c>
      <c r="G413" s="9" t="s">
        <v>1591</v>
      </c>
    </row>
    <row r="414" spans="1:7" ht="156.75">
      <c r="A414" s="7" t="s">
        <v>380</v>
      </c>
      <c r="B414" s="8" t="s">
        <v>1592</v>
      </c>
      <c r="C414" s="8" t="s">
        <v>68</v>
      </c>
      <c r="D414" s="8" t="s">
        <v>381</v>
      </c>
      <c r="E414" s="21">
        <v>4</v>
      </c>
      <c r="F414" s="8" t="s">
        <v>1593</v>
      </c>
      <c r="G414" s="9" t="s">
        <v>1594</v>
      </c>
    </row>
    <row r="415" spans="1:7">
      <c r="A415" s="7" t="s">
        <v>383</v>
      </c>
      <c r="B415" s="8" t="s">
        <v>1595</v>
      </c>
      <c r="C415" s="8" t="s">
        <v>68</v>
      </c>
      <c r="D415" s="8" t="s">
        <v>384</v>
      </c>
      <c r="E415" s="21">
        <v>0</v>
      </c>
      <c r="F415" s="8" t="s">
        <v>1596</v>
      </c>
      <c r="G415" s="9"/>
    </row>
    <row r="416" spans="1:7" ht="128.25">
      <c r="A416" s="7" t="s">
        <v>383</v>
      </c>
      <c r="B416" s="8" t="s">
        <v>1597</v>
      </c>
      <c r="C416" s="8" t="s">
        <v>68</v>
      </c>
      <c r="D416" s="8" t="s">
        <v>384</v>
      </c>
      <c r="E416" s="21">
        <v>1</v>
      </c>
      <c r="F416" s="8" t="s">
        <v>1598</v>
      </c>
      <c r="G416" s="9" t="s">
        <v>1599</v>
      </c>
    </row>
    <row r="417" spans="1:7" ht="142.5">
      <c r="A417" s="7" t="s">
        <v>383</v>
      </c>
      <c r="B417" s="8" t="s">
        <v>1600</v>
      </c>
      <c r="C417" s="8" t="s">
        <v>68</v>
      </c>
      <c r="D417" s="8" t="s">
        <v>384</v>
      </c>
      <c r="E417" s="21">
        <v>2</v>
      </c>
      <c r="F417" s="8" t="s">
        <v>1601</v>
      </c>
      <c r="G417" s="9" t="s">
        <v>1602</v>
      </c>
    </row>
    <row r="418" spans="1:7" ht="99.75">
      <c r="A418" s="7" t="s">
        <v>383</v>
      </c>
      <c r="B418" s="8" t="s">
        <v>1603</v>
      </c>
      <c r="C418" s="8" t="s">
        <v>68</v>
      </c>
      <c r="D418" s="8" t="s">
        <v>384</v>
      </c>
      <c r="E418" s="21">
        <v>3</v>
      </c>
      <c r="F418" s="8" t="s">
        <v>1604</v>
      </c>
      <c r="G418" s="9" t="s">
        <v>1605</v>
      </c>
    </row>
    <row r="419" spans="1:7" ht="128.25">
      <c r="A419" s="7" t="s">
        <v>383</v>
      </c>
      <c r="B419" s="8" t="s">
        <v>1606</v>
      </c>
      <c r="C419" s="8" t="s">
        <v>68</v>
      </c>
      <c r="D419" s="8" t="s">
        <v>384</v>
      </c>
      <c r="E419" s="21">
        <v>4</v>
      </c>
      <c r="F419" s="8" t="s">
        <v>1607</v>
      </c>
      <c r="G419" s="9" t="s">
        <v>1608</v>
      </c>
    </row>
    <row r="420" spans="1:7" ht="28.5">
      <c r="A420" s="7" t="s">
        <v>386</v>
      </c>
      <c r="B420" s="8" t="s">
        <v>1609</v>
      </c>
      <c r="C420" s="8" t="s">
        <v>68</v>
      </c>
      <c r="D420" s="8" t="s">
        <v>387</v>
      </c>
      <c r="E420" s="21">
        <v>0</v>
      </c>
      <c r="F420" s="8" t="s">
        <v>1610</v>
      </c>
      <c r="G420" s="9"/>
    </row>
    <row r="421" spans="1:7" ht="185.25">
      <c r="A421" s="7" t="s">
        <v>386</v>
      </c>
      <c r="B421" s="8" t="s">
        <v>1611</v>
      </c>
      <c r="C421" s="8" t="s">
        <v>68</v>
      </c>
      <c r="D421" s="8" t="s">
        <v>387</v>
      </c>
      <c r="E421" s="21">
        <v>1</v>
      </c>
      <c r="F421" s="8" t="s">
        <v>1612</v>
      </c>
      <c r="G421" s="9" t="s">
        <v>1613</v>
      </c>
    </row>
    <row r="422" spans="1:7" ht="128.25">
      <c r="A422" s="7" t="s">
        <v>386</v>
      </c>
      <c r="B422" s="8" t="s">
        <v>1614</v>
      </c>
      <c r="C422" s="8" t="s">
        <v>68</v>
      </c>
      <c r="D422" s="8" t="s">
        <v>387</v>
      </c>
      <c r="E422" s="21">
        <v>2</v>
      </c>
      <c r="F422" s="8" t="s">
        <v>1615</v>
      </c>
      <c r="G422" s="9" t="s">
        <v>1616</v>
      </c>
    </row>
    <row r="423" spans="1:7" ht="99.75">
      <c r="A423" s="7" t="s">
        <v>386</v>
      </c>
      <c r="B423" s="8" t="s">
        <v>1617</v>
      </c>
      <c r="C423" s="8" t="s">
        <v>68</v>
      </c>
      <c r="D423" s="8" t="s">
        <v>387</v>
      </c>
      <c r="E423" s="21">
        <v>3</v>
      </c>
      <c r="F423" s="8" t="s">
        <v>1618</v>
      </c>
      <c r="G423" s="9" t="s">
        <v>1619</v>
      </c>
    </row>
    <row r="424" spans="1:7" ht="114">
      <c r="A424" s="7" t="s">
        <v>386</v>
      </c>
      <c r="B424" s="8" t="s">
        <v>1620</v>
      </c>
      <c r="C424" s="8" t="s">
        <v>68</v>
      </c>
      <c r="D424" s="8" t="s">
        <v>387</v>
      </c>
      <c r="E424" s="21">
        <v>4</v>
      </c>
      <c r="F424" s="8" t="s">
        <v>1621</v>
      </c>
      <c r="G424" s="9" t="s">
        <v>1622</v>
      </c>
    </row>
    <row r="425" spans="1:7">
      <c r="A425" s="7" t="s">
        <v>389</v>
      </c>
      <c r="B425" s="8" t="s">
        <v>1623</v>
      </c>
      <c r="C425" s="8" t="s">
        <v>68</v>
      </c>
      <c r="D425" s="8" t="s">
        <v>390</v>
      </c>
      <c r="E425" s="21">
        <v>0</v>
      </c>
      <c r="F425" s="8" t="s">
        <v>505</v>
      </c>
      <c r="G425" s="9"/>
    </row>
    <row r="426" spans="1:7" ht="114">
      <c r="A426" s="7" t="s">
        <v>389</v>
      </c>
      <c r="B426" s="8" t="s">
        <v>1624</v>
      </c>
      <c r="C426" s="8" t="s">
        <v>68</v>
      </c>
      <c r="D426" s="8" t="s">
        <v>390</v>
      </c>
      <c r="E426" s="21">
        <v>1</v>
      </c>
      <c r="F426" s="8" t="s">
        <v>1625</v>
      </c>
      <c r="G426" s="9" t="s">
        <v>1626</v>
      </c>
    </row>
    <row r="427" spans="1:7" ht="142.5">
      <c r="A427" s="7" t="s">
        <v>389</v>
      </c>
      <c r="B427" s="8" t="s">
        <v>1627</v>
      </c>
      <c r="C427" s="8" t="s">
        <v>68</v>
      </c>
      <c r="D427" s="8" t="s">
        <v>390</v>
      </c>
      <c r="E427" s="21">
        <v>2</v>
      </c>
      <c r="F427" s="8" t="s">
        <v>1628</v>
      </c>
      <c r="G427" s="9" t="s">
        <v>1629</v>
      </c>
    </row>
    <row r="428" spans="1:7" ht="156.75">
      <c r="A428" s="7" t="s">
        <v>389</v>
      </c>
      <c r="B428" s="8" t="s">
        <v>1630</v>
      </c>
      <c r="C428" s="8" t="s">
        <v>68</v>
      </c>
      <c r="D428" s="8" t="s">
        <v>390</v>
      </c>
      <c r="E428" s="21">
        <v>3</v>
      </c>
      <c r="F428" s="8" t="s">
        <v>1631</v>
      </c>
      <c r="G428" s="9" t="s">
        <v>1632</v>
      </c>
    </row>
    <row r="429" spans="1:7" ht="213.75">
      <c r="A429" s="7" t="s">
        <v>389</v>
      </c>
      <c r="B429" s="8" t="s">
        <v>1633</v>
      </c>
      <c r="C429" s="8" t="s">
        <v>68</v>
      </c>
      <c r="D429" s="8" t="s">
        <v>390</v>
      </c>
      <c r="E429" s="21">
        <v>4</v>
      </c>
      <c r="F429" s="8" t="s">
        <v>1634</v>
      </c>
      <c r="G429" s="9" t="s">
        <v>1635</v>
      </c>
    </row>
    <row r="430" spans="1:7" ht="28.5">
      <c r="A430" s="7" t="s">
        <v>392</v>
      </c>
      <c r="B430" s="8" t="s">
        <v>1636</v>
      </c>
      <c r="C430" s="8" t="s">
        <v>68</v>
      </c>
      <c r="D430" s="8" t="s">
        <v>393</v>
      </c>
      <c r="E430" s="21">
        <v>0</v>
      </c>
      <c r="F430" s="8" t="s">
        <v>1637</v>
      </c>
      <c r="G430" s="9"/>
    </row>
    <row r="431" spans="1:7" ht="142.5">
      <c r="A431" s="7" t="s">
        <v>392</v>
      </c>
      <c r="B431" s="8" t="s">
        <v>1638</v>
      </c>
      <c r="C431" s="8" t="s">
        <v>68</v>
      </c>
      <c r="D431" s="8" t="s">
        <v>393</v>
      </c>
      <c r="E431" s="21">
        <v>1</v>
      </c>
      <c r="F431" s="8" t="s">
        <v>1639</v>
      </c>
      <c r="G431" s="9" t="s">
        <v>1640</v>
      </c>
    </row>
    <row r="432" spans="1:7" ht="156.75">
      <c r="A432" s="7" t="s">
        <v>392</v>
      </c>
      <c r="B432" s="8" t="s">
        <v>1641</v>
      </c>
      <c r="C432" s="8" t="s">
        <v>68</v>
      </c>
      <c r="D432" s="8" t="s">
        <v>393</v>
      </c>
      <c r="E432" s="21">
        <v>2</v>
      </c>
      <c r="F432" s="8" t="s">
        <v>1642</v>
      </c>
      <c r="G432" s="9" t="s">
        <v>1643</v>
      </c>
    </row>
    <row r="433" spans="1:7" ht="199.5">
      <c r="A433" s="7" t="s">
        <v>392</v>
      </c>
      <c r="B433" s="8" t="s">
        <v>1644</v>
      </c>
      <c r="C433" s="8" t="s">
        <v>68</v>
      </c>
      <c r="D433" s="8" t="s">
        <v>393</v>
      </c>
      <c r="E433" s="21">
        <v>3</v>
      </c>
      <c r="F433" s="8" t="s">
        <v>1645</v>
      </c>
      <c r="G433" s="9" t="s">
        <v>1646</v>
      </c>
    </row>
    <row r="434" spans="1:7" ht="142.5">
      <c r="A434" s="7" t="s">
        <v>392</v>
      </c>
      <c r="B434" s="8" t="s">
        <v>1647</v>
      </c>
      <c r="C434" s="8" t="s">
        <v>68</v>
      </c>
      <c r="D434" s="8" t="s">
        <v>393</v>
      </c>
      <c r="E434" s="21">
        <v>4</v>
      </c>
      <c r="F434" s="8" t="s">
        <v>1648</v>
      </c>
      <c r="G434" s="9" t="s">
        <v>1649</v>
      </c>
    </row>
    <row r="435" spans="1:7" ht="28.5">
      <c r="A435" s="7" t="s">
        <v>396</v>
      </c>
      <c r="B435" s="8" t="s">
        <v>1650</v>
      </c>
      <c r="C435" s="8" t="s">
        <v>69</v>
      </c>
      <c r="D435" s="8" t="s">
        <v>397</v>
      </c>
      <c r="E435" s="21">
        <v>0</v>
      </c>
      <c r="F435" s="8" t="s">
        <v>1651</v>
      </c>
      <c r="G435" s="9"/>
    </row>
    <row r="436" spans="1:7" ht="128.25">
      <c r="A436" s="7" t="s">
        <v>396</v>
      </c>
      <c r="B436" s="8" t="s">
        <v>1652</v>
      </c>
      <c r="C436" s="8" t="s">
        <v>69</v>
      </c>
      <c r="D436" s="8" t="s">
        <v>397</v>
      </c>
      <c r="E436" s="21">
        <v>1</v>
      </c>
      <c r="F436" s="8" t="s">
        <v>1653</v>
      </c>
      <c r="G436" s="9" t="s">
        <v>1654</v>
      </c>
    </row>
    <row r="437" spans="1:7" ht="142.5">
      <c r="A437" s="7" t="s">
        <v>396</v>
      </c>
      <c r="B437" s="8" t="s">
        <v>1655</v>
      </c>
      <c r="C437" s="8" t="s">
        <v>69</v>
      </c>
      <c r="D437" s="8" t="s">
        <v>397</v>
      </c>
      <c r="E437" s="21">
        <v>2</v>
      </c>
      <c r="F437" s="8" t="s">
        <v>1656</v>
      </c>
      <c r="G437" s="9" t="s">
        <v>1657</v>
      </c>
    </row>
    <row r="438" spans="1:7" ht="114">
      <c r="A438" s="7" t="s">
        <v>396</v>
      </c>
      <c r="B438" s="8" t="s">
        <v>1658</v>
      </c>
      <c r="C438" s="8" t="s">
        <v>69</v>
      </c>
      <c r="D438" s="8" t="s">
        <v>397</v>
      </c>
      <c r="E438" s="21">
        <v>3</v>
      </c>
      <c r="F438" s="8" t="s">
        <v>1659</v>
      </c>
      <c r="G438" s="9" t="s">
        <v>1660</v>
      </c>
    </row>
    <row r="439" spans="1:7" ht="171">
      <c r="A439" s="7" t="s">
        <v>396</v>
      </c>
      <c r="B439" s="8" t="s">
        <v>1661</v>
      </c>
      <c r="C439" s="8" t="s">
        <v>69</v>
      </c>
      <c r="D439" s="8" t="s">
        <v>397</v>
      </c>
      <c r="E439" s="21">
        <v>4</v>
      </c>
      <c r="F439" s="8" t="s">
        <v>1662</v>
      </c>
      <c r="G439" s="9" t="s">
        <v>1663</v>
      </c>
    </row>
    <row r="440" spans="1:7" ht="28.5">
      <c r="A440" s="7" t="s">
        <v>399</v>
      </c>
      <c r="B440" s="8" t="s">
        <v>1664</v>
      </c>
      <c r="C440" s="8" t="s">
        <v>69</v>
      </c>
      <c r="D440" s="8" t="s">
        <v>400</v>
      </c>
      <c r="E440" s="21">
        <v>0</v>
      </c>
      <c r="F440" s="8" t="s">
        <v>1665</v>
      </c>
      <c r="G440" s="9"/>
    </row>
    <row r="441" spans="1:7" ht="99.75">
      <c r="A441" s="7" t="s">
        <v>399</v>
      </c>
      <c r="B441" s="8" t="s">
        <v>1666</v>
      </c>
      <c r="C441" s="8" t="s">
        <v>69</v>
      </c>
      <c r="D441" s="8" t="s">
        <v>400</v>
      </c>
      <c r="E441" s="21">
        <v>1</v>
      </c>
      <c r="F441" s="8" t="s">
        <v>1667</v>
      </c>
      <c r="G441" s="9" t="s">
        <v>1668</v>
      </c>
    </row>
    <row r="442" spans="1:7" ht="256.5">
      <c r="A442" s="7" t="s">
        <v>399</v>
      </c>
      <c r="B442" s="8" t="s">
        <v>1669</v>
      </c>
      <c r="C442" s="8" t="s">
        <v>69</v>
      </c>
      <c r="D442" s="8" t="s">
        <v>400</v>
      </c>
      <c r="E442" s="21">
        <v>2</v>
      </c>
      <c r="F442" s="8" t="s">
        <v>1670</v>
      </c>
      <c r="G442" s="9" t="s">
        <v>1671</v>
      </c>
    </row>
    <row r="443" spans="1:7" ht="142.5">
      <c r="A443" s="7" t="s">
        <v>399</v>
      </c>
      <c r="B443" s="8" t="s">
        <v>1672</v>
      </c>
      <c r="C443" s="8" t="s">
        <v>69</v>
      </c>
      <c r="D443" s="8" t="s">
        <v>400</v>
      </c>
      <c r="E443" s="21">
        <v>3</v>
      </c>
      <c r="F443" s="8" t="s">
        <v>1673</v>
      </c>
      <c r="G443" s="9" t="s">
        <v>1674</v>
      </c>
    </row>
    <row r="444" spans="1:7" ht="142.5">
      <c r="A444" s="7" t="s">
        <v>399</v>
      </c>
      <c r="B444" s="8" t="s">
        <v>1675</v>
      </c>
      <c r="C444" s="8" t="s">
        <v>69</v>
      </c>
      <c r="D444" s="8" t="s">
        <v>400</v>
      </c>
      <c r="E444" s="21">
        <v>4</v>
      </c>
      <c r="F444" s="8" t="s">
        <v>1676</v>
      </c>
      <c r="G444" s="9" t="s">
        <v>1677</v>
      </c>
    </row>
    <row r="445" spans="1:7" ht="28.5">
      <c r="A445" s="7" t="s">
        <v>402</v>
      </c>
      <c r="B445" s="8" t="s">
        <v>1678</v>
      </c>
      <c r="C445" s="8" t="s">
        <v>69</v>
      </c>
      <c r="D445" s="8" t="s">
        <v>403</v>
      </c>
      <c r="E445" s="21">
        <v>0</v>
      </c>
      <c r="F445" s="8" t="s">
        <v>1679</v>
      </c>
      <c r="G445" s="9"/>
    </row>
    <row r="446" spans="1:7" ht="156.75">
      <c r="A446" s="7" t="s">
        <v>402</v>
      </c>
      <c r="B446" s="8" t="s">
        <v>1680</v>
      </c>
      <c r="C446" s="8" t="s">
        <v>69</v>
      </c>
      <c r="D446" s="8" t="s">
        <v>403</v>
      </c>
      <c r="E446" s="21">
        <v>1</v>
      </c>
      <c r="F446" s="8" t="s">
        <v>1681</v>
      </c>
      <c r="G446" s="9" t="s">
        <v>1682</v>
      </c>
    </row>
    <row r="447" spans="1:7" ht="142.5">
      <c r="A447" s="7" t="s">
        <v>402</v>
      </c>
      <c r="B447" s="8" t="s">
        <v>1683</v>
      </c>
      <c r="C447" s="8" t="s">
        <v>69</v>
      </c>
      <c r="D447" s="8" t="s">
        <v>403</v>
      </c>
      <c r="E447" s="21">
        <v>2</v>
      </c>
      <c r="F447" s="8" t="s">
        <v>1684</v>
      </c>
      <c r="G447" s="9" t="s">
        <v>1685</v>
      </c>
    </row>
    <row r="448" spans="1:7" ht="128.25">
      <c r="A448" s="7" t="s">
        <v>402</v>
      </c>
      <c r="B448" s="8" t="s">
        <v>1686</v>
      </c>
      <c r="C448" s="8" t="s">
        <v>69</v>
      </c>
      <c r="D448" s="8" t="s">
        <v>403</v>
      </c>
      <c r="E448" s="21">
        <v>3</v>
      </c>
      <c r="F448" s="8" t="s">
        <v>1687</v>
      </c>
      <c r="G448" s="9" t="s">
        <v>1688</v>
      </c>
    </row>
    <row r="449" spans="1:7" ht="99.75">
      <c r="A449" s="7" t="s">
        <v>402</v>
      </c>
      <c r="B449" s="8" t="s">
        <v>1689</v>
      </c>
      <c r="C449" s="8" t="s">
        <v>69</v>
      </c>
      <c r="D449" s="8" t="s">
        <v>403</v>
      </c>
      <c r="E449" s="21">
        <v>4</v>
      </c>
      <c r="F449" s="8" t="s">
        <v>1690</v>
      </c>
      <c r="G449" s="9" t="s">
        <v>1691</v>
      </c>
    </row>
    <row r="450" spans="1:7" ht="28.5">
      <c r="A450" s="7" t="s">
        <v>405</v>
      </c>
      <c r="B450" s="8" t="s">
        <v>1692</v>
      </c>
      <c r="C450" s="8" t="s">
        <v>69</v>
      </c>
      <c r="D450" s="8" t="s">
        <v>406</v>
      </c>
      <c r="E450" s="21">
        <v>0</v>
      </c>
      <c r="F450" s="8" t="s">
        <v>1693</v>
      </c>
      <c r="G450" s="9"/>
    </row>
    <row r="451" spans="1:7" ht="156.75">
      <c r="A451" s="7" t="s">
        <v>405</v>
      </c>
      <c r="B451" s="8" t="s">
        <v>1694</v>
      </c>
      <c r="C451" s="8" t="s">
        <v>69</v>
      </c>
      <c r="D451" s="8" t="s">
        <v>406</v>
      </c>
      <c r="E451" s="21">
        <v>1</v>
      </c>
      <c r="F451" s="8" t="s">
        <v>1695</v>
      </c>
      <c r="G451" s="9" t="s">
        <v>1696</v>
      </c>
    </row>
    <row r="452" spans="1:7" ht="185.25">
      <c r="A452" s="7" t="s">
        <v>405</v>
      </c>
      <c r="B452" s="8" t="s">
        <v>1697</v>
      </c>
      <c r="C452" s="8" t="s">
        <v>69</v>
      </c>
      <c r="D452" s="8" t="s">
        <v>406</v>
      </c>
      <c r="E452" s="21">
        <v>2</v>
      </c>
      <c r="F452" s="8" t="s">
        <v>1698</v>
      </c>
      <c r="G452" s="9" t="s">
        <v>1699</v>
      </c>
    </row>
    <row r="453" spans="1:7" ht="213.75">
      <c r="A453" s="7" t="s">
        <v>405</v>
      </c>
      <c r="B453" s="8" t="s">
        <v>1700</v>
      </c>
      <c r="C453" s="8" t="s">
        <v>69</v>
      </c>
      <c r="D453" s="8" t="s">
        <v>406</v>
      </c>
      <c r="E453" s="21">
        <v>3</v>
      </c>
      <c r="F453" s="8" t="s">
        <v>1701</v>
      </c>
      <c r="G453" s="9" t="s">
        <v>1702</v>
      </c>
    </row>
    <row r="454" spans="1:7" ht="242.25">
      <c r="A454" s="7" t="s">
        <v>405</v>
      </c>
      <c r="B454" s="8" t="s">
        <v>1703</v>
      </c>
      <c r="C454" s="8" t="s">
        <v>69</v>
      </c>
      <c r="D454" s="8" t="s">
        <v>406</v>
      </c>
      <c r="E454" s="21">
        <v>4</v>
      </c>
      <c r="F454" s="8" t="s">
        <v>1704</v>
      </c>
      <c r="G454" s="9" t="s">
        <v>1705</v>
      </c>
    </row>
    <row r="455" spans="1:7" ht="28.5">
      <c r="A455" s="7" t="s">
        <v>408</v>
      </c>
      <c r="B455" s="8" t="s">
        <v>1706</v>
      </c>
      <c r="C455" s="8" t="s">
        <v>69</v>
      </c>
      <c r="D455" s="8" t="s">
        <v>409</v>
      </c>
      <c r="E455" s="21">
        <v>0</v>
      </c>
      <c r="F455" s="8" t="s">
        <v>1707</v>
      </c>
      <c r="G455" s="9"/>
    </row>
    <row r="456" spans="1:7" ht="128.25">
      <c r="A456" s="7" t="s">
        <v>408</v>
      </c>
      <c r="B456" s="8" t="s">
        <v>1708</v>
      </c>
      <c r="C456" s="8" t="s">
        <v>69</v>
      </c>
      <c r="D456" s="8" t="s">
        <v>409</v>
      </c>
      <c r="E456" s="21">
        <v>1</v>
      </c>
      <c r="F456" s="8" t="s">
        <v>1709</v>
      </c>
      <c r="G456" s="9" t="s">
        <v>1710</v>
      </c>
    </row>
    <row r="457" spans="1:7" ht="114">
      <c r="A457" s="7" t="s">
        <v>408</v>
      </c>
      <c r="B457" s="8" t="s">
        <v>1711</v>
      </c>
      <c r="C457" s="8" t="s">
        <v>69</v>
      </c>
      <c r="D457" s="8" t="s">
        <v>409</v>
      </c>
      <c r="E457" s="21">
        <v>2</v>
      </c>
      <c r="F457" s="8" t="s">
        <v>1712</v>
      </c>
      <c r="G457" s="9" t="s">
        <v>1713</v>
      </c>
    </row>
    <row r="458" spans="1:7" ht="99.75">
      <c r="A458" s="7" t="s">
        <v>408</v>
      </c>
      <c r="B458" s="8" t="s">
        <v>1714</v>
      </c>
      <c r="C458" s="8" t="s">
        <v>69</v>
      </c>
      <c r="D458" s="8" t="s">
        <v>409</v>
      </c>
      <c r="E458" s="21">
        <v>3</v>
      </c>
      <c r="F458" s="8" t="s">
        <v>1715</v>
      </c>
      <c r="G458" s="9" t="s">
        <v>1716</v>
      </c>
    </row>
    <row r="459" spans="1:7" ht="128.25">
      <c r="A459" s="7" t="s">
        <v>408</v>
      </c>
      <c r="B459" s="8" t="s">
        <v>1717</v>
      </c>
      <c r="C459" s="8" t="s">
        <v>69</v>
      </c>
      <c r="D459" s="8" t="s">
        <v>409</v>
      </c>
      <c r="E459" s="21">
        <v>4</v>
      </c>
      <c r="F459" s="8" t="s">
        <v>1718</v>
      </c>
      <c r="G459" s="9" t="s">
        <v>1719</v>
      </c>
    </row>
    <row r="460" spans="1:7" ht="28.5">
      <c r="A460" s="7" t="s">
        <v>411</v>
      </c>
      <c r="B460" s="8" t="s">
        <v>1720</v>
      </c>
      <c r="C460" s="8" t="s">
        <v>69</v>
      </c>
      <c r="D460" s="8" t="s">
        <v>412</v>
      </c>
      <c r="E460" s="21">
        <v>0</v>
      </c>
      <c r="F460" s="8" t="s">
        <v>1721</v>
      </c>
      <c r="G460" s="9"/>
    </row>
    <row r="461" spans="1:7" ht="71.25">
      <c r="A461" s="7" t="s">
        <v>411</v>
      </c>
      <c r="B461" s="8" t="s">
        <v>1722</v>
      </c>
      <c r="C461" s="8" t="s">
        <v>69</v>
      </c>
      <c r="D461" s="8" t="s">
        <v>412</v>
      </c>
      <c r="E461" s="21">
        <v>1</v>
      </c>
      <c r="F461" s="8" t="s">
        <v>1723</v>
      </c>
      <c r="G461" s="9" t="s">
        <v>1724</v>
      </c>
    </row>
    <row r="462" spans="1:7" ht="128.25">
      <c r="A462" s="7" t="s">
        <v>411</v>
      </c>
      <c r="B462" s="8" t="s">
        <v>1725</v>
      </c>
      <c r="C462" s="8" t="s">
        <v>69</v>
      </c>
      <c r="D462" s="8" t="s">
        <v>412</v>
      </c>
      <c r="E462" s="21">
        <v>2</v>
      </c>
      <c r="F462" s="8" t="s">
        <v>1726</v>
      </c>
      <c r="G462" s="9" t="s">
        <v>1727</v>
      </c>
    </row>
    <row r="463" spans="1:7" ht="142.5">
      <c r="A463" s="7" t="s">
        <v>411</v>
      </c>
      <c r="B463" s="8" t="s">
        <v>1728</v>
      </c>
      <c r="C463" s="8" t="s">
        <v>69</v>
      </c>
      <c r="D463" s="8" t="s">
        <v>412</v>
      </c>
      <c r="E463" s="21">
        <v>3</v>
      </c>
      <c r="F463" s="8" t="s">
        <v>1729</v>
      </c>
      <c r="G463" s="9" t="s">
        <v>1730</v>
      </c>
    </row>
    <row r="464" spans="1:7" ht="142.5">
      <c r="A464" s="7" t="s">
        <v>411</v>
      </c>
      <c r="B464" s="8" t="s">
        <v>1731</v>
      </c>
      <c r="C464" s="8" t="s">
        <v>69</v>
      </c>
      <c r="D464" s="8" t="s">
        <v>412</v>
      </c>
      <c r="E464" s="21">
        <v>4</v>
      </c>
      <c r="F464" s="8" t="s">
        <v>1732</v>
      </c>
      <c r="G464" s="9" t="s">
        <v>1733</v>
      </c>
    </row>
    <row r="465" spans="1:7" ht="42.75">
      <c r="A465" s="7" t="s">
        <v>414</v>
      </c>
      <c r="B465" s="8" t="s">
        <v>1734</v>
      </c>
      <c r="C465" s="8" t="s">
        <v>69</v>
      </c>
      <c r="D465" s="8" t="s">
        <v>415</v>
      </c>
      <c r="E465" s="21">
        <v>0</v>
      </c>
      <c r="F465" s="8" t="s">
        <v>1735</v>
      </c>
      <c r="G465" s="9"/>
    </row>
    <row r="466" spans="1:7" ht="128.25">
      <c r="A466" s="7" t="s">
        <v>414</v>
      </c>
      <c r="B466" s="8" t="s">
        <v>1736</v>
      </c>
      <c r="C466" s="8" t="s">
        <v>69</v>
      </c>
      <c r="D466" s="8" t="s">
        <v>415</v>
      </c>
      <c r="E466" s="21">
        <v>1</v>
      </c>
      <c r="F466" s="8" t="s">
        <v>1737</v>
      </c>
      <c r="G466" s="9" t="s">
        <v>1738</v>
      </c>
    </row>
    <row r="467" spans="1:7" ht="114">
      <c r="A467" s="7" t="s">
        <v>414</v>
      </c>
      <c r="B467" s="8" t="s">
        <v>1739</v>
      </c>
      <c r="C467" s="8" t="s">
        <v>69</v>
      </c>
      <c r="D467" s="8" t="s">
        <v>415</v>
      </c>
      <c r="E467" s="21">
        <v>2</v>
      </c>
      <c r="F467" s="8" t="s">
        <v>1740</v>
      </c>
      <c r="G467" s="9" t="s">
        <v>1741</v>
      </c>
    </row>
    <row r="468" spans="1:7" ht="99.75">
      <c r="A468" s="7" t="s">
        <v>414</v>
      </c>
      <c r="B468" s="8" t="s">
        <v>1742</v>
      </c>
      <c r="C468" s="8" t="s">
        <v>69</v>
      </c>
      <c r="D468" s="8" t="s">
        <v>415</v>
      </c>
      <c r="E468" s="21">
        <v>3</v>
      </c>
      <c r="F468" s="8" t="s">
        <v>1743</v>
      </c>
      <c r="G468" s="9" t="s">
        <v>1744</v>
      </c>
    </row>
    <row r="469" spans="1:7" ht="85.5">
      <c r="A469" s="7" t="s">
        <v>414</v>
      </c>
      <c r="B469" s="8" t="s">
        <v>1745</v>
      </c>
      <c r="C469" s="8" t="s">
        <v>69</v>
      </c>
      <c r="D469" s="8" t="s">
        <v>415</v>
      </c>
      <c r="E469" s="21">
        <v>4</v>
      </c>
      <c r="F469" s="8" t="s">
        <v>1746</v>
      </c>
      <c r="G469" s="9" t="s">
        <v>1747</v>
      </c>
    </row>
    <row r="470" spans="1:7" ht="28.5">
      <c r="A470" s="7" t="s">
        <v>417</v>
      </c>
      <c r="B470" s="8" t="s">
        <v>1748</v>
      </c>
      <c r="C470" s="8" t="s">
        <v>69</v>
      </c>
      <c r="D470" s="8" t="s">
        <v>64</v>
      </c>
      <c r="E470" s="21">
        <v>0</v>
      </c>
      <c r="F470" s="8" t="s">
        <v>1749</v>
      </c>
      <c r="G470" s="9"/>
    </row>
    <row r="471" spans="1:7" ht="156.75">
      <c r="A471" s="7" t="s">
        <v>417</v>
      </c>
      <c r="B471" s="8" t="s">
        <v>1750</v>
      </c>
      <c r="C471" s="8" t="s">
        <v>69</v>
      </c>
      <c r="D471" s="8" t="s">
        <v>64</v>
      </c>
      <c r="E471" s="21">
        <v>1</v>
      </c>
      <c r="F471" s="8" t="s">
        <v>1751</v>
      </c>
      <c r="G471" s="9" t="s">
        <v>1752</v>
      </c>
    </row>
    <row r="472" spans="1:7" ht="142.5">
      <c r="A472" s="7" t="s">
        <v>417</v>
      </c>
      <c r="B472" s="8" t="s">
        <v>1753</v>
      </c>
      <c r="C472" s="8" t="s">
        <v>69</v>
      </c>
      <c r="D472" s="8" t="s">
        <v>64</v>
      </c>
      <c r="E472" s="21">
        <v>2</v>
      </c>
      <c r="F472" s="8" t="s">
        <v>1754</v>
      </c>
      <c r="G472" s="9" t="s">
        <v>1755</v>
      </c>
    </row>
    <row r="473" spans="1:7" ht="99.75">
      <c r="A473" s="7" t="s">
        <v>417</v>
      </c>
      <c r="B473" s="8" t="s">
        <v>1756</v>
      </c>
      <c r="C473" s="8" t="s">
        <v>69</v>
      </c>
      <c r="D473" s="8" t="s">
        <v>64</v>
      </c>
      <c r="E473" s="21">
        <v>3</v>
      </c>
      <c r="F473" s="8" t="s">
        <v>1757</v>
      </c>
      <c r="G473" s="9" t="s">
        <v>1758</v>
      </c>
    </row>
    <row r="474" spans="1:7" ht="99.75">
      <c r="A474" s="7" t="s">
        <v>417</v>
      </c>
      <c r="B474" s="8" t="s">
        <v>1759</v>
      </c>
      <c r="C474" s="8" t="s">
        <v>69</v>
      </c>
      <c r="D474" s="8" t="s">
        <v>64</v>
      </c>
      <c r="E474" s="21">
        <v>4</v>
      </c>
      <c r="F474" s="8" t="s">
        <v>1760</v>
      </c>
      <c r="G474" s="9" t="s">
        <v>1761</v>
      </c>
    </row>
    <row r="475" spans="1:7" ht="28.5">
      <c r="A475" s="7" t="s">
        <v>419</v>
      </c>
      <c r="B475" s="8" t="s">
        <v>1762</v>
      </c>
      <c r="C475" s="8" t="s">
        <v>69</v>
      </c>
      <c r="D475" s="8" t="s">
        <v>420</v>
      </c>
      <c r="E475" s="21">
        <v>0</v>
      </c>
      <c r="F475" s="8" t="s">
        <v>1763</v>
      </c>
      <c r="G475" s="9"/>
    </row>
    <row r="476" spans="1:7" ht="99.75">
      <c r="A476" s="7" t="s">
        <v>419</v>
      </c>
      <c r="B476" s="8" t="s">
        <v>1764</v>
      </c>
      <c r="C476" s="8" t="s">
        <v>69</v>
      </c>
      <c r="D476" s="8" t="s">
        <v>420</v>
      </c>
      <c r="E476" s="21">
        <v>1</v>
      </c>
      <c r="F476" s="8" t="s">
        <v>1765</v>
      </c>
      <c r="G476" s="9" t="s">
        <v>1766</v>
      </c>
    </row>
    <row r="477" spans="1:7" ht="171">
      <c r="A477" s="7" t="s">
        <v>419</v>
      </c>
      <c r="B477" s="8" t="s">
        <v>1767</v>
      </c>
      <c r="C477" s="8" t="s">
        <v>69</v>
      </c>
      <c r="D477" s="8" t="s">
        <v>420</v>
      </c>
      <c r="E477" s="21">
        <v>2</v>
      </c>
      <c r="F477" s="8" t="s">
        <v>1768</v>
      </c>
      <c r="G477" s="9" t="s">
        <v>1769</v>
      </c>
    </row>
    <row r="478" spans="1:7" ht="185.25">
      <c r="A478" s="7" t="s">
        <v>419</v>
      </c>
      <c r="B478" s="8" t="s">
        <v>1770</v>
      </c>
      <c r="C478" s="8" t="s">
        <v>69</v>
      </c>
      <c r="D478" s="8" t="s">
        <v>420</v>
      </c>
      <c r="E478" s="21">
        <v>3</v>
      </c>
      <c r="F478" s="8" t="s">
        <v>1771</v>
      </c>
      <c r="G478" s="9" t="s">
        <v>1772</v>
      </c>
    </row>
    <row r="479" spans="1:7" ht="128.25">
      <c r="A479" s="10" t="s">
        <v>419</v>
      </c>
      <c r="B479" s="11" t="s">
        <v>1773</v>
      </c>
      <c r="C479" s="11" t="s">
        <v>69</v>
      </c>
      <c r="D479" s="11" t="s">
        <v>420</v>
      </c>
      <c r="E479" s="22">
        <v>4</v>
      </c>
      <c r="F479" s="11" t="s">
        <v>1774</v>
      </c>
      <c r="G479" s="12" t="s">
        <v>1775</v>
      </c>
    </row>
  </sheetData>
  <mergeCells count="2">
    <mergeCell ref="A1:G1"/>
    <mergeCell ref="A2:G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8"/>
  <sheetViews>
    <sheetView workbookViewId="0">
      <selection sqref="A1:D1"/>
    </sheetView>
  </sheetViews>
  <sheetFormatPr defaultRowHeight="14.25"/>
  <cols>
    <col min="1" max="3" width="18" customWidth="1"/>
    <col min="4" max="4" width="16" customWidth="1"/>
  </cols>
  <sheetData>
    <row r="1" spans="1:4" ht="21.75">
      <c r="A1" s="155" t="s">
        <v>1776</v>
      </c>
      <c r="B1" s="155"/>
      <c r="C1" s="155"/>
      <c r="D1" s="155"/>
    </row>
    <row r="3" spans="1:4">
      <c r="A3" s="1" t="s">
        <v>132</v>
      </c>
      <c r="B3" s="2" t="s">
        <v>450</v>
      </c>
      <c r="C3" s="2" t="s">
        <v>55</v>
      </c>
      <c r="D3" s="3" t="s">
        <v>7</v>
      </c>
    </row>
    <row r="4" spans="1:4">
      <c r="A4" s="4" t="s">
        <v>433</v>
      </c>
      <c r="B4" s="5" t="s">
        <v>433</v>
      </c>
      <c r="C4" s="5" t="s">
        <v>1777</v>
      </c>
      <c r="D4" s="6">
        <v>1</v>
      </c>
    </row>
    <row r="5" spans="1:4">
      <c r="A5" s="7" t="s">
        <v>434</v>
      </c>
      <c r="B5" s="8" t="s">
        <v>434</v>
      </c>
      <c r="C5" s="8" t="s">
        <v>1778</v>
      </c>
      <c r="D5" s="9">
        <v>2</v>
      </c>
    </row>
    <row r="6" spans="1:4">
      <c r="A6" s="7" t="s">
        <v>1779</v>
      </c>
      <c r="B6" s="8" t="s">
        <v>1779</v>
      </c>
      <c r="C6" s="8" t="s">
        <v>1780</v>
      </c>
      <c r="D6" s="9">
        <v>3</v>
      </c>
    </row>
    <row r="7" spans="1:4">
      <c r="A7" s="7" t="s">
        <v>1781</v>
      </c>
      <c r="B7" s="8" t="s">
        <v>435</v>
      </c>
      <c r="C7" s="8" t="s">
        <v>1782</v>
      </c>
      <c r="D7" s="9">
        <v>4</v>
      </c>
    </row>
    <row r="8" spans="1:4">
      <c r="A8" s="10"/>
      <c r="B8" s="11"/>
      <c r="C8" s="11"/>
      <c r="D8" s="12"/>
    </row>
  </sheetData>
  <mergeCells count="1">
    <mergeCell ref="A1:D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40"/>
  <sheetViews>
    <sheetView workbookViewId="0"/>
  </sheetViews>
  <sheetFormatPr defaultRowHeight="14.25"/>
  <cols>
    <col min="1" max="1" width="44" customWidth="1"/>
    <col min="2" max="2" width="34" customWidth="1"/>
    <col min="3" max="3" width="58" customWidth="1"/>
    <col min="4" max="5" width="12" customWidth="1"/>
    <col min="6" max="6" width="16" customWidth="1"/>
    <col min="7" max="7" width="12" customWidth="1"/>
    <col min="8" max="8" width="22" customWidth="1"/>
    <col min="9" max="9" width="15" customWidth="1"/>
    <col min="10" max="10" width="17" customWidth="1"/>
    <col min="11" max="11" width="18" customWidth="1"/>
    <col min="12" max="12" width="44" customWidth="1"/>
    <col min="13" max="13" width="58" customWidth="1"/>
    <col min="14" max="14" width="52" customWidth="1"/>
    <col min="15" max="15" width="18" customWidth="1"/>
    <col min="16" max="23" width="3" customWidth="1"/>
  </cols>
  <sheetData>
    <row r="1" spans="1:23" ht="21.75">
      <c r="A1" s="172" t="s">
        <v>1783</v>
      </c>
      <c r="B1" s="172"/>
      <c r="C1" s="172"/>
      <c r="D1" s="172"/>
      <c r="E1" s="172"/>
      <c r="F1" s="172"/>
      <c r="G1" s="172"/>
      <c r="H1" s="172"/>
      <c r="I1" s="172"/>
      <c r="J1" s="172"/>
      <c r="K1" s="172"/>
      <c r="L1" s="172"/>
      <c r="M1" s="172"/>
      <c r="N1" s="172"/>
      <c r="O1" s="172"/>
      <c r="P1" s="172"/>
      <c r="Q1" s="172"/>
      <c r="R1" s="172"/>
      <c r="S1" s="172"/>
      <c r="T1" s="172"/>
      <c r="U1" s="172"/>
      <c r="V1" s="172"/>
      <c r="W1" s="172"/>
    </row>
    <row r="2" spans="1:23">
      <c r="A2" s="283" t="s">
        <v>1784</v>
      </c>
      <c r="B2" s="284"/>
      <c r="C2" s="284"/>
      <c r="D2" s="284"/>
      <c r="E2" s="284"/>
      <c r="F2" s="284"/>
      <c r="G2" s="284"/>
      <c r="H2" s="284"/>
      <c r="I2" s="284"/>
      <c r="J2" s="284"/>
      <c r="K2" s="284"/>
      <c r="L2" s="284"/>
      <c r="M2" s="284"/>
      <c r="N2" s="284"/>
      <c r="O2" s="284"/>
      <c r="P2" s="284"/>
      <c r="Q2" s="284"/>
      <c r="R2" s="284"/>
      <c r="S2" s="284"/>
      <c r="T2" s="284"/>
      <c r="U2" s="284"/>
      <c r="V2" s="284"/>
      <c r="W2" s="285"/>
    </row>
    <row r="4" spans="1:23" ht="48">
      <c r="A4" s="112" t="s">
        <v>1785</v>
      </c>
      <c r="B4" s="113" t="s">
        <v>44</v>
      </c>
      <c r="C4" s="113" t="s">
        <v>9</v>
      </c>
      <c r="D4" s="113" t="s">
        <v>58</v>
      </c>
      <c r="E4" s="113" t="s">
        <v>60</v>
      </c>
      <c r="F4" s="113" t="s">
        <v>62</v>
      </c>
      <c r="G4" s="113" t="s">
        <v>64</v>
      </c>
      <c r="H4" s="113" t="s">
        <v>66</v>
      </c>
      <c r="I4" s="113" t="s">
        <v>67</v>
      </c>
      <c r="J4" s="113" t="s">
        <v>68</v>
      </c>
      <c r="K4" s="113" t="s">
        <v>69</v>
      </c>
      <c r="L4" s="113" t="s">
        <v>1786</v>
      </c>
      <c r="M4" s="113" t="s">
        <v>1787</v>
      </c>
      <c r="N4" s="113" t="s">
        <v>1788</v>
      </c>
      <c r="O4" s="113" t="s">
        <v>65</v>
      </c>
      <c r="P4" s="113" t="s">
        <v>1789</v>
      </c>
      <c r="Q4" s="113" t="s">
        <v>1790</v>
      </c>
      <c r="R4" s="113" t="s">
        <v>1791</v>
      </c>
      <c r="S4" s="113" t="s">
        <v>1792</v>
      </c>
      <c r="T4" s="113" t="s">
        <v>1793</v>
      </c>
      <c r="U4" s="113" t="s">
        <v>1794</v>
      </c>
      <c r="V4" s="113" t="s">
        <v>1795</v>
      </c>
      <c r="W4" s="114" t="s">
        <v>1796</v>
      </c>
    </row>
    <row r="5" spans="1:23" ht="57">
      <c r="A5" s="115" t="s">
        <v>1797</v>
      </c>
      <c r="B5" s="116" t="s">
        <v>1798</v>
      </c>
      <c r="C5" s="116" t="s">
        <v>1799</v>
      </c>
      <c r="D5" s="130">
        <v>2.5</v>
      </c>
      <c r="E5" s="130">
        <v>3</v>
      </c>
      <c r="F5" s="130">
        <v>2.5</v>
      </c>
      <c r="G5" s="130">
        <v>3</v>
      </c>
      <c r="H5" s="130">
        <v>2</v>
      </c>
      <c r="I5" s="130">
        <v>3</v>
      </c>
      <c r="J5" s="130">
        <v>2.5</v>
      </c>
      <c r="K5" s="130">
        <v>3</v>
      </c>
      <c r="L5" s="116" t="s">
        <v>1800</v>
      </c>
      <c r="M5" s="116" t="s">
        <v>1801</v>
      </c>
      <c r="N5" s="116" t="s">
        <v>1802</v>
      </c>
      <c r="O5" s="117" t="s">
        <v>1803</v>
      </c>
      <c r="P5">
        <v>0</v>
      </c>
      <c r="Q5">
        <v>0</v>
      </c>
      <c r="R5">
        <v>0</v>
      </c>
      <c r="S5">
        <v>1</v>
      </c>
      <c r="T5">
        <v>0</v>
      </c>
      <c r="U5">
        <v>1</v>
      </c>
      <c r="V5">
        <v>0</v>
      </c>
      <c r="W5">
        <v>0</v>
      </c>
    </row>
    <row r="6" spans="1:23" ht="57">
      <c r="A6" s="118" t="s">
        <v>1804</v>
      </c>
      <c r="B6" s="8" t="s">
        <v>1798</v>
      </c>
      <c r="C6" s="8" t="s">
        <v>1805</v>
      </c>
      <c r="D6" s="131">
        <v>2.5</v>
      </c>
      <c r="E6" s="131">
        <v>3</v>
      </c>
      <c r="F6" s="131">
        <v>2.5</v>
      </c>
      <c r="G6" s="131">
        <v>3</v>
      </c>
      <c r="H6" s="131">
        <v>2</v>
      </c>
      <c r="I6" s="131">
        <v>3</v>
      </c>
      <c r="J6" s="131">
        <v>2.5</v>
      </c>
      <c r="K6" s="131">
        <v>3</v>
      </c>
      <c r="L6" s="8" t="s">
        <v>1800</v>
      </c>
      <c r="M6" s="8" t="s">
        <v>1806</v>
      </c>
      <c r="N6" s="8" t="s">
        <v>1802</v>
      </c>
      <c r="O6" s="119" t="s">
        <v>1803</v>
      </c>
      <c r="P6">
        <v>0</v>
      </c>
      <c r="Q6">
        <v>0</v>
      </c>
      <c r="R6">
        <v>0</v>
      </c>
      <c r="S6">
        <v>1</v>
      </c>
      <c r="T6">
        <v>0</v>
      </c>
      <c r="U6">
        <v>1</v>
      </c>
      <c r="V6">
        <v>0</v>
      </c>
      <c r="W6">
        <v>0</v>
      </c>
    </row>
    <row r="7" spans="1:23" ht="57">
      <c r="A7" s="118" t="s">
        <v>1807</v>
      </c>
      <c r="B7" s="8" t="s">
        <v>1798</v>
      </c>
      <c r="C7" s="8" t="s">
        <v>1808</v>
      </c>
      <c r="D7" s="131">
        <v>3</v>
      </c>
      <c r="E7" s="131">
        <v>3</v>
      </c>
      <c r="F7" s="131">
        <v>3</v>
      </c>
      <c r="G7" s="131">
        <v>3</v>
      </c>
      <c r="H7" s="131">
        <v>2.5</v>
      </c>
      <c r="I7" s="131">
        <v>3</v>
      </c>
      <c r="J7" s="131">
        <v>3</v>
      </c>
      <c r="K7" s="131">
        <v>2.5</v>
      </c>
      <c r="L7" s="8" t="s">
        <v>1809</v>
      </c>
      <c r="M7" s="8" t="s">
        <v>1810</v>
      </c>
      <c r="N7" s="8" t="s">
        <v>1802</v>
      </c>
      <c r="O7" s="119" t="s">
        <v>1803</v>
      </c>
      <c r="P7">
        <v>1</v>
      </c>
      <c r="Q7">
        <v>0</v>
      </c>
      <c r="R7">
        <v>0</v>
      </c>
      <c r="S7">
        <v>1</v>
      </c>
      <c r="T7">
        <v>0</v>
      </c>
      <c r="U7">
        <v>1</v>
      </c>
      <c r="V7">
        <v>1</v>
      </c>
      <c r="W7">
        <v>0</v>
      </c>
    </row>
    <row r="8" spans="1:23" ht="57">
      <c r="A8" s="118" t="s">
        <v>1811</v>
      </c>
      <c r="B8" s="8" t="s">
        <v>1798</v>
      </c>
      <c r="C8" s="8" t="s">
        <v>1812</v>
      </c>
      <c r="D8" s="131">
        <v>2</v>
      </c>
      <c r="E8" s="131">
        <v>3</v>
      </c>
      <c r="F8" s="131">
        <v>3</v>
      </c>
      <c r="G8" s="131">
        <v>2.5</v>
      </c>
      <c r="H8" s="131">
        <v>2</v>
      </c>
      <c r="I8" s="131">
        <v>2.5</v>
      </c>
      <c r="J8" s="131">
        <v>2.5</v>
      </c>
      <c r="K8" s="131">
        <v>2.5</v>
      </c>
      <c r="L8" s="8" t="s">
        <v>1813</v>
      </c>
      <c r="M8" s="8" t="s">
        <v>1814</v>
      </c>
      <c r="N8" s="8" t="s">
        <v>1802</v>
      </c>
      <c r="O8" s="119" t="s">
        <v>1803</v>
      </c>
      <c r="P8">
        <v>0</v>
      </c>
      <c r="Q8">
        <v>1</v>
      </c>
      <c r="R8">
        <v>1</v>
      </c>
      <c r="S8">
        <v>1</v>
      </c>
      <c r="T8">
        <v>0</v>
      </c>
      <c r="U8">
        <v>0</v>
      </c>
      <c r="V8">
        <v>0</v>
      </c>
      <c r="W8">
        <v>0</v>
      </c>
    </row>
    <row r="9" spans="1:23" ht="57">
      <c r="A9" s="118" t="s">
        <v>1815</v>
      </c>
      <c r="B9" s="8" t="s">
        <v>1798</v>
      </c>
      <c r="C9" s="8" t="s">
        <v>1816</v>
      </c>
      <c r="D9" s="131">
        <v>2</v>
      </c>
      <c r="E9" s="131">
        <v>3</v>
      </c>
      <c r="F9" s="131">
        <v>3</v>
      </c>
      <c r="G9" s="131">
        <v>3</v>
      </c>
      <c r="H9" s="131">
        <v>2</v>
      </c>
      <c r="I9" s="131">
        <v>2.5</v>
      </c>
      <c r="J9" s="131">
        <v>2.5</v>
      </c>
      <c r="K9" s="131">
        <v>3</v>
      </c>
      <c r="L9" s="8" t="s">
        <v>1817</v>
      </c>
      <c r="M9" s="8" t="s">
        <v>1818</v>
      </c>
      <c r="N9" s="8" t="s">
        <v>1802</v>
      </c>
      <c r="O9" s="119" t="s">
        <v>1803</v>
      </c>
      <c r="P9">
        <v>0</v>
      </c>
      <c r="Q9">
        <v>0</v>
      </c>
      <c r="R9">
        <v>1</v>
      </c>
      <c r="S9">
        <v>1</v>
      </c>
      <c r="T9">
        <v>0</v>
      </c>
      <c r="U9">
        <v>1</v>
      </c>
      <c r="V9">
        <v>0</v>
      </c>
      <c r="W9">
        <v>0</v>
      </c>
    </row>
    <row r="10" spans="1:23" ht="57">
      <c r="A10" s="118" t="s">
        <v>1819</v>
      </c>
      <c r="B10" s="8" t="s">
        <v>1798</v>
      </c>
      <c r="C10" s="8" t="s">
        <v>1820</v>
      </c>
      <c r="D10" s="131">
        <v>3</v>
      </c>
      <c r="E10" s="131">
        <v>2.5</v>
      </c>
      <c r="F10" s="131">
        <v>2.5</v>
      </c>
      <c r="G10" s="131">
        <v>2.5</v>
      </c>
      <c r="H10" s="131">
        <v>2.5</v>
      </c>
      <c r="I10" s="131">
        <v>2.5</v>
      </c>
      <c r="J10" s="131">
        <v>2</v>
      </c>
      <c r="K10" s="131">
        <v>2</v>
      </c>
      <c r="L10" s="8" t="s">
        <v>1821</v>
      </c>
      <c r="M10" s="8" t="s">
        <v>1822</v>
      </c>
      <c r="N10" s="8" t="s">
        <v>1802</v>
      </c>
      <c r="O10" s="119" t="s">
        <v>1803</v>
      </c>
      <c r="P10">
        <v>1</v>
      </c>
      <c r="Q10">
        <v>0</v>
      </c>
      <c r="R10">
        <v>0</v>
      </c>
      <c r="S10">
        <v>1</v>
      </c>
      <c r="T10">
        <v>0</v>
      </c>
      <c r="U10">
        <v>0</v>
      </c>
      <c r="V10">
        <v>0</v>
      </c>
      <c r="W10">
        <v>0</v>
      </c>
    </row>
    <row r="11" spans="1:23" ht="57">
      <c r="A11" s="118" t="s">
        <v>1823</v>
      </c>
      <c r="B11" s="8" t="s">
        <v>1798</v>
      </c>
      <c r="C11" s="8" t="s">
        <v>1824</v>
      </c>
      <c r="D11" s="131">
        <v>2.5</v>
      </c>
      <c r="E11" s="131">
        <v>3</v>
      </c>
      <c r="F11" s="131">
        <v>3</v>
      </c>
      <c r="G11" s="131">
        <v>2.5</v>
      </c>
      <c r="H11" s="131">
        <v>2.5</v>
      </c>
      <c r="I11" s="131">
        <v>3</v>
      </c>
      <c r="J11" s="131">
        <v>2.5</v>
      </c>
      <c r="K11" s="131">
        <v>2.5</v>
      </c>
      <c r="L11" s="8" t="s">
        <v>1813</v>
      </c>
      <c r="M11" s="8" t="s">
        <v>1825</v>
      </c>
      <c r="N11" s="8" t="s">
        <v>1802</v>
      </c>
      <c r="O11" s="119" t="s">
        <v>1803</v>
      </c>
      <c r="P11">
        <v>0</v>
      </c>
      <c r="Q11">
        <v>1</v>
      </c>
      <c r="R11">
        <v>1</v>
      </c>
      <c r="S11">
        <v>1</v>
      </c>
      <c r="T11">
        <v>0</v>
      </c>
      <c r="U11">
        <v>0</v>
      </c>
      <c r="V11">
        <v>0</v>
      </c>
      <c r="W11">
        <v>0</v>
      </c>
    </row>
    <row r="12" spans="1:23" ht="57">
      <c r="A12" s="118" t="s">
        <v>1826</v>
      </c>
      <c r="B12" s="8" t="s">
        <v>1798</v>
      </c>
      <c r="C12" s="8" t="s">
        <v>1827</v>
      </c>
      <c r="D12" s="131">
        <v>3</v>
      </c>
      <c r="E12" s="131">
        <v>3.5</v>
      </c>
      <c r="F12" s="131">
        <v>3</v>
      </c>
      <c r="G12" s="131">
        <v>3</v>
      </c>
      <c r="H12" s="131">
        <v>2.5</v>
      </c>
      <c r="I12" s="131">
        <v>3.5</v>
      </c>
      <c r="J12" s="131">
        <v>3.5</v>
      </c>
      <c r="K12" s="131">
        <v>3</v>
      </c>
      <c r="L12" s="8" t="s">
        <v>1828</v>
      </c>
      <c r="M12" s="8" t="s">
        <v>1829</v>
      </c>
      <c r="N12" s="8" t="s">
        <v>1802</v>
      </c>
      <c r="O12" s="119" t="s">
        <v>1803</v>
      </c>
      <c r="P12">
        <v>1</v>
      </c>
      <c r="Q12">
        <v>1</v>
      </c>
      <c r="R12">
        <v>0</v>
      </c>
      <c r="S12">
        <v>1</v>
      </c>
      <c r="T12">
        <v>0</v>
      </c>
      <c r="U12">
        <v>0</v>
      </c>
      <c r="V12">
        <v>1</v>
      </c>
      <c r="W12">
        <v>0</v>
      </c>
    </row>
    <row r="13" spans="1:23" ht="57">
      <c r="A13" s="118" t="s">
        <v>1830</v>
      </c>
      <c r="B13" s="8" t="s">
        <v>1798</v>
      </c>
      <c r="C13" s="8" t="s">
        <v>1831</v>
      </c>
      <c r="D13" s="131">
        <v>2</v>
      </c>
      <c r="E13" s="131">
        <v>2.5</v>
      </c>
      <c r="F13" s="131">
        <v>2.5</v>
      </c>
      <c r="G13" s="131">
        <v>2.5</v>
      </c>
      <c r="H13" s="131">
        <v>2</v>
      </c>
      <c r="I13" s="131">
        <v>2.5</v>
      </c>
      <c r="J13" s="131">
        <v>2.5</v>
      </c>
      <c r="K13" s="131">
        <v>3</v>
      </c>
      <c r="L13" s="8" t="s">
        <v>1832</v>
      </c>
      <c r="M13" s="8" t="s">
        <v>1833</v>
      </c>
      <c r="N13" s="8" t="s">
        <v>1802</v>
      </c>
      <c r="O13" s="119" t="s">
        <v>1803</v>
      </c>
      <c r="P13">
        <v>0</v>
      </c>
      <c r="Q13">
        <v>0</v>
      </c>
      <c r="R13">
        <v>0</v>
      </c>
      <c r="S13">
        <v>1</v>
      </c>
      <c r="T13">
        <v>0</v>
      </c>
      <c r="U13">
        <v>1</v>
      </c>
      <c r="V13">
        <v>0</v>
      </c>
      <c r="W13">
        <v>1</v>
      </c>
    </row>
    <row r="14" spans="1:23" ht="57">
      <c r="A14" s="118" t="s">
        <v>1834</v>
      </c>
      <c r="B14" s="8" t="s">
        <v>1798</v>
      </c>
      <c r="C14" s="8" t="s">
        <v>1835</v>
      </c>
      <c r="D14" s="131">
        <v>2.5</v>
      </c>
      <c r="E14" s="131">
        <v>3</v>
      </c>
      <c r="F14" s="131">
        <v>3</v>
      </c>
      <c r="G14" s="131">
        <v>3</v>
      </c>
      <c r="H14" s="131">
        <v>2.5</v>
      </c>
      <c r="I14" s="131">
        <v>3</v>
      </c>
      <c r="J14" s="131">
        <v>2.5</v>
      </c>
      <c r="K14" s="131">
        <v>3</v>
      </c>
      <c r="L14" s="8" t="s">
        <v>1832</v>
      </c>
      <c r="M14" s="8" t="s">
        <v>1836</v>
      </c>
      <c r="N14" s="8" t="s">
        <v>1802</v>
      </c>
      <c r="O14" s="119" t="s">
        <v>1803</v>
      </c>
      <c r="P14">
        <v>0</v>
      </c>
      <c r="Q14">
        <v>0</v>
      </c>
      <c r="R14">
        <v>0</v>
      </c>
      <c r="S14">
        <v>1</v>
      </c>
      <c r="T14">
        <v>0</v>
      </c>
      <c r="U14">
        <v>1</v>
      </c>
      <c r="V14">
        <v>0</v>
      </c>
      <c r="W14">
        <v>1</v>
      </c>
    </row>
    <row r="15" spans="1:23" ht="57">
      <c r="A15" s="118" t="s">
        <v>1837</v>
      </c>
      <c r="B15" s="8" t="s">
        <v>1798</v>
      </c>
      <c r="C15" s="8" t="s">
        <v>1838</v>
      </c>
      <c r="D15" s="131">
        <v>2.5</v>
      </c>
      <c r="E15" s="131">
        <v>3</v>
      </c>
      <c r="F15" s="131">
        <v>3</v>
      </c>
      <c r="G15" s="131">
        <v>3</v>
      </c>
      <c r="H15" s="131">
        <v>2.5</v>
      </c>
      <c r="I15" s="131">
        <v>3</v>
      </c>
      <c r="J15" s="131">
        <v>3</v>
      </c>
      <c r="K15" s="131">
        <v>3.5</v>
      </c>
      <c r="L15" s="8" t="s">
        <v>1832</v>
      </c>
      <c r="M15" s="8" t="s">
        <v>1839</v>
      </c>
      <c r="N15" s="8" t="s">
        <v>1802</v>
      </c>
      <c r="O15" s="119" t="s">
        <v>1803</v>
      </c>
      <c r="P15">
        <v>0</v>
      </c>
      <c r="Q15">
        <v>0</v>
      </c>
      <c r="R15">
        <v>0</v>
      </c>
      <c r="S15">
        <v>1</v>
      </c>
      <c r="T15">
        <v>0</v>
      </c>
      <c r="U15">
        <v>1</v>
      </c>
      <c r="V15">
        <v>0</v>
      </c>
      <c r="W15">
        <v>1</v>
      </c>
    </row>
    <row r="16" spans="1:23" ht="57">
      <c r="A16" s="118" t="s">
        <v>1840</v>
      </c>
      <c r="B16" s="8" t="s">
        <v>1798</v>
      </c>
      <c r="C16" s="8" t="s">
        <v>1841</v>
      </c>
      <c r="D16" s="131">
        <v>2.5</v>
      </c>
      <c r="E16" s="131">
        <v>3</v>
      </c>
      <c r="F16" s="131">
        <v>2.5</v>
      </c>
      <c r="G16" s="131">
        <v>3</v>
      </c>
      <c r="H16" s="131">
        <v>2</v>
      </c>
      <c r="I16" s="131">
        <v>2.5</v>
      </c>
      <c r="J16" s="131">
        <v>2</v>
      </c>
      <c r="K16" s="131">
        <v>2</v>
      </c>
      <c r="L16" s="8" t="s">
        <v>1842</v>
      </c>
      <c r="M16" s="8" t="s">
        <v>1843</v>
      </c>
      <c r="N16" s="8" t="s">
        <v>1802</v>
      </c>
      <c r="O16" s="119" t="s">
        <v>1803</v>
      </c>
      <c r="P16">
        <v>1</v>
      </c>
      <c r="Q16">
        <v>1</v>
      </c>
      <c r="R16">
        <v>0</v>
      </c>
      <c r="S16">
        <v>1</v>
      </c>
      <c r="T16">
        <v>0</v>
      </c>
      <c r="U16">
        <v>0</v>
      </c>
      <c r="V16">
        <v>0</v>
      </c>
      <c r="W16">
        <v>0</v>
      </c>
    </row>
    <row r="17" spans="1:23" ht="57">
      <c r="A17" s="118" t="s">
        <v>1844</v>
      </c>
      <c r="B17" s="8" t="s">
        <v>1798</v>
      </c>
      <c r="C17" s="8" t="s">
        <v>1845</v>
      </c>
      <c r="D17" s="131">
        <v>2</v>
      </c>
      <c r="E17" s="131">
        <v>2.5</v>
      </c>
      <c r="F17" s="131">
        <v>2.5</v>
      </c>
      <c r="G17" s="131">
        <v>2</v>
      </c>
      <c r="H17" s="131">
        <v>2</v>
      </c>
      <c r="I17" s="131">
        <v>2</v>
      </c>
      <c r="J17" s="131">
        <v>2</v>
      </c>
      <c r="K17" s="131">
        <v>1.5</v>
      </c>
      <c r="L17" s="8" t="s">
        <v>1846</v>
      </c>
      <c r="M17" s="8" t="s">
        <v>1847</v>
      </c>
      <c r="N17" s="8" t="s">
        <v>1802</v>
      </c>
      <c r="O17" s="119" t="s">
        <v>1803</v>
      </c>
      <c r="P17">
        <v>0</v>
      </c>
      <c r="Q17">
        <v>1</v>
      </c>
      <c r="R17">
        <v>0</v>
      </c>
      <c r="S17">
        <v>1</v>
      </c>
      <c r="T17">
        <v>0</v>
      </c>
      <c r="U17">
        <v>0</v>
      </c>
      <c r="V17">
        <v>0</v>
      </c>
      <c r="W17">
        <v>0</v>
      </c>
    </row>
    <row r="18" spans="1:23" ht="57">
      <c r="A18" s="118" t="s">
        <v>1848</v>
      </c>
      <c r="B18" s="8" t="s">
        <v>1798</v>
      </c>
      <c r="C18" s="8" t="s">
        <v>1849</v>
      </c>
      <c r="D18" s="131">
        <v>2</v>
      </c>
      <c r="E18" s="131">
        <v>2.5</v>
      </c>
      <c r="F18" s="131">
        <v>2.5</v>
      </c>
      <c r="G18" s="131">
        <v>2</v>
      </c>
      <c r="H18" s="131">
        <v>2</v>
      </c>
      <c r="I18" s="131">
        <v>2</v>
      </c>
      <c r="J18" s="131">
        <v>2</v>
      </c>
      <c r="K18" s="131">
        <v>1.5</v>
      </c>
      <c r="L18" s="8" t="s">
        <v>1846</v>
      </c>
      <c r="M18" s="8" t="s">
        <v>1850</v>
      </c>
      <c r="N18" s="8" t="s">
        <v>1802</v>
      </c>
      <c r="O18" s="119" t="s">
        <v>1803</v>
      </c>
      <c r="P18">
        <v>0</v>
      </c>
      <c r="Q18">
        <v>1</v>
      </c>
      <c r="R18">
        <v>0</v>
      </c>
      <c r="S18">
        <v>1</v>
      </c>
      <c r="T18">
        <v>0</v>
      </c>
      <c r="U18">
        <v>0</v>
      </c>
      <c r="V18">
        <v>0</v>
      </c>
      <c r="W18">
        <v>0</v>
      </c>
    </row>
    <row r="19" spans="1:23" ht="57">
      <c r="A19" s="118" t="s">
        <v>1851</v>
      </c>
      <c r="B19" s="8" t="s">
        <v>1798</v>
      </c>
      <c r="C19" s="8" t="s">
        <v>1852</v>
      </c>
      <c r="D19" s="131">
        <v>2.5</v>
      </c>
      <c r="E19" s="131">
        <v>3</v>
      </c>
      <c r="F19" s="131">
        <v>2.5</v>
      </c>
      <c r="G19" s="131">
        <v>2.5</v>
      </c>
      <c r="H19" s="131">
        <v>2.5</v>
      </c>
      <c r="I19" s="131">
        <v>2</v>
      </c>
      <c r="J19" s="131">
        <v>3</v>
      </c>
      <c r="K19" s="131">
        <v>2</v>
      </c>
      <c r="L19" s="8" t="s">
        <v>1853</v>
      </c>
      <c r="M19" s="8" t="s">
        <v>1854</v>
      </c>
      <c r="N19" s="8" t="s">
        <v>1802</v>
      </c>
      <c r="O19" s="119" t="s">
        <v>1803</v>
      </c>
      <c r="P19">
        <v>1</v>
      </c>
      <c r="Q19">
        <v>1</v>
      </c>
      <c r="R19">
        <v>0</v>
      </c>
      <c r="S19">
        <v>0</v>
      </c>
      <c r="T19">
        <v>0</v>
      </c>
      <c r="U19">
        <v>0</v>
      </c>
      <c r="V19">
        <v>1</v>
      </c>
      <c r="W19">
        <v>0</v>
      </c>
    </row>
    <row r="20" spans="1:23" ht="57">
      <c r="A20" s="118" t="s">
        <v>1855</v>
      </c>
      <c r="B20" s="8" t="s">
        <v>1798</v>
      </c>
      <c r="C20" s="8" t="s">
        <v>1856</v>
      </c>
      <c r="D20" s="131">
        <v>2.5</v>
      </c>
      <c r="E20" s="131">
        <v>2.5</v>
      </c>
      <c r="F20" s="131">
        <v>2</v>
      </c>
      <c r="G20" s="131">
        <v>2.5</v>
      </c>
      <c r="H20" s="131">
        <v>3</v>
      </c>
      <c r="I20" s="131">
        <v>2</v>
      </c>
      <c r="J20" s="131">
        <v>3</v>
      </c>
      <c r="K20" s="131">
        <v>2</v>
      </c>
      <c r="L20" s="8" t="s">
        <v>1853</v>
      </c>
      <c r="M20" s="8" t="s">
        <v>1857</v>
      </c>
      <c r="N20" s="8" t="s">
        <v>1802</v>
      </c>
      <c r="O20" s="119" t="s">
        <v>1803</v>
      </c>
      <c r="P20">
        <v>1</v>
      </c>
      <c r="Q20">
        <v>1</v>
      </c>
      <c r="R20">
        <v>0</v>
      </c>
      <c r="S20">
        <v>0</v>
      </c>
      <c r="T20">
        <v>0</v>
      </c>
      <c r="U20">
        <v>0</v>
      </c>
      <c r="V20">
        <v>1</v>
      </c>
      <c r="W20">
        <v>0</v>
      </c>
    </row>
    <row r="21" spans="1:23" ht="57">
      <c r="A21" s="118" t="s">
        <v>1858</v>
      </c>
      <c r="B21" s="8" t="s">
        <v>1798</v>
      </c>
      <c r="C21" s="8" t="s">
        <v>1859</v>
      </c>
      <c r="D21" s="131">
        <v>2.5</v>
      </c>
      <c r="E21" s="131">
        <v>2.5</v>
      </c>
      <c r="F21" s="131">
        <v>2.5</v>
      </c>
      <c r="G21" s="131">
        <v>2.5</v>
      </c>
      <c r="H21" s="131">
        <v>3</v>
      </c>
      <c r="I21" s="131">
        <v>2.5</v>
      </c>
      <c r="J21" s="131">
        <v>3</v>
      </c>
      <c r="K21" s="131">
        <v>2.5</v>
      </c>
      <c r="L21" s="8" t="s">
        <v>1860</v>
      </c>
      <c r="M21" s="8" t="s">
        <v>1861</v>
      </c>
      <c r="N21" s="8" t="s">
        <v>1802</v>
      </c>
      <c r="O21" s="119" t="s">
        <v>1803</v>
      </c>
      <c r="P21">
        <v>1</v>
      </c>
      <c r="Q21">
        <v>0</v>
      </c>
      <c r="R21">
        <v>0</v>
      </c>
      <c r="S21">
        <v>1</v>
      </c>
      <c r="T21">
        <v>1</v>
      </c>
      <c r="U21">
        <v>0</v>
      </c>
      <c r="V21">
        <v>0</v>
      </c>
      <c r="W21">
        <v>0</v>
      </c>
    </row>
    <row r="22" spans="1:23" ht="57">
      <c r="A22" s="118" t="s">
        <v>1862</v>
      </c>
      <c r="B22" s="8" t="s">
        <v>1798</v>
      </c>
      <c r="C22" s="8" t="s">
        <v>1863</v>
      </c>
      <c r="D22" s="131">
        <v>2</v>
      </c>
      <c r="E22" s="131">
        <v>2.5</v>
      </c>
      <c r="F22" s="131">
        <v>2.5</v>
      </c>
      <c r="G22" s="131">
        <v>2.5</v>
      </c>
      <c r="H22" s="131">
        <v>2</v>
      </c>
      <c r="I22" s="131">
        <v>2.5</v>
      </c>
      <c r="J22" s="131">
        <v>2.5</v>
      </c>
      <c r="K22" s="131">
        <v>2</v>
      </c>
      <c r="L22" s="8" t="s">
        <v>1846</v>
      </c>
      <c r="M22" s="8" t="s">
        <v>1864</v>
      </c>
      <c r="N22" s="8" t="s">
        <v>1802</v>
      </c>
      <c r="O22" s="119" t="s">
        <v>1803</v>
      </c>
      <c r="P22">
        <v>0</v>
      </c>
      <c r="Q22">
        <v>1</v>
      </c>
      <c r="R22">
        <v>0</v>
      </c>
      <c r="S22">
        <v>1</v>
      </c>
      <c r="T22">
        <v>0</v>
      </c>
      <c r="U22">
        <v>0</v>
      </c>
      <c r="V22">
        <v>0</v>
      </c>
      <c r="W22">
        <v>0</v>
      </c>
    </row>
    <row r="23" spans="1:23" ht="57">
      <c r="A23" s="118" t="s">
        <v>365</v>
      </c>
      <c r="B23" s="8" t="s">
        <v>1798</v>
      </c>
      <c r="C23" s="8" t="s">
        <v>1865</v>
      </c>
      <c r="D23" s="131">
        <v>2</v>
      </c>
      <c r="E23" s="131">
        <v>2.5</v>
      </c>
      <c r="F23" s="131">
        <v>2.5</v>
      </c>
      <c r="G23" s="131">
        <v>2.5</v>
      </c>
      <c r="H23" s="131">
        <v>3</v>
      </c>
      <c r="I23" s="131">
        <v>2.5</v>
      </c>
      <c r="J23" s="131">
        <v>3</v>
      </c>
      <c r="K23" s="131">
        <v>2.5</v>
      </c>
      <c r="L23" s="8" t="s">
        <v>1866</v>
      </c>
      <c r="M23" s="8" t="s">
        <v>1867</v>
      </c>
      <c r="N23" s="8" t="s">
        <v>1802</v>
      </c>
      <c r="O23" s="119" t="s">
        <v>1803</v>
      </c>
      <c r="P23">
        <v>0</v>
      </c>
      <c r="Q23">
        <v>1</v>
      </c>
      <c r="R23">
        <v>0</v>
      </c>
      <c r="S23">
        <v>1</v>
      </c>
      <c r="T23">
        <v>1</v>
      </c>
      <c r="U23">
        <v>0</v>
      </c>
      <c r="V23">
        <v>0</v>
      </c>
      <c r="W23">
        <v>0</v>
      </c>
    </row>
    <row r="24" spans="1:23" ht="57">
      <c r="A24" s="118" t="s">
        <v>1868</v>
      </c>
      <c r="B24" s="8" t="s">
        <v>1869</v>
      </c>
      <c r="C24" s="8" t="s">
        <v>1870</v>
      </c>
      <c r="D24" s="131">
        <v>2.5</v>
      </c>
      <c r="E24" s="131">
        <v>3</v>
      </c>
      <c r="F24" s="131">
        <v>2.5</v>
      </c>
      <c r="G24" s="131">
        <v>3</v>
      </c>
      <c r="H24" s="131">
        <v>2.5</v>
      </c>
      <c r="I24" s="131">
        <v>2.5</v>
      </c>
      <c r="J24" s="131">
        <v>2.5</v>
      </c>
      <c r="K24" s="131">
        <v>2</v>
      </c>
      <c r="L24" s="8" t="s">
        <v>1842</v>
      </c>
      <c r="M24" s="8" t="s">
        <v>1871</v>
      </c>
      <c r="N24" s="8" t="s">
        <v>1802</v>
      </c>
      <c r="O24" s="119" t="s">
        <v>1803</v>
      </c>
      <c r="P24">
        <v>1</v>
      </c>
      <c r="Q24">
        <v>1</v>
      </c>
      <c r="R24">
        <v>0</v>
      </c>
      <c r="S24">
        <v>1</v>
      </c>
      <c r="T24">
        <v>0</v>
      </c>
      <c r="U24">
        <v>0</v>
      </c>
      <c r="V24">
        <v>0</v>
      </c>
      <c r="W24">
        <v>0</v>
      </c>
    </row>
    <row r="25" spans="1:23" ht="57">
      <c r="A25" s="118" t="s">
        <v>1872</v>
      </c>
      <c r="B25" s="8" t="s">
        <v>1869</v>
      </c>
      <c r="C25" s="8" t="s">
        <v>1873</v>
      </c>
      <c r="D25" s="131">
        <v>3</v>
      </c>
      <c r="E25" s="131">
        <v>2.5</v>
      </c>
      <c r="F25" s="131">
        <v>2.5</v>
      </c>
      <c r="G25" s="131">
        <v>2.5</v>
      </c>
      <c r="H25" s="131">
        <v>2.5</v>
      </c>
      <c r="I25" s="131">
        <v>2.5</v>
      </c>
      <c r="J25" s="131">
        <v>3</v>
      </c>
      <c r="K25" s="131">
        <v>2</v>
      </c>
      <c r="L25" s="8" t="s">
        <v>1821</v>
      </c>
      <c r="M25" s="8" t="s">
        <v>1874</v>
      </c>
      <c r="N25" s="8" t="s">
        <v>1802</v>
      </c>
      <c r="O25" s="119" t="s">
        <v>1803</v>
      </c>
      <c r="P25">
        <v>1</v>
      </c>
      <c r="Q25">
        <v>0</v>
      </c>
      <c r="R25">
        <v>0</v>
      </c>
      <c r="S25">
        <v>1</v>
      </c>
      <c r="T25">
        <v>0</v>
      </c>
      <c r="U25">
        <v>0</v>
      </c>
      <c r="V25">
        <v>0</v>
      </c>
      <c r="W25">
        <v>0</v>
      </c>
    </row>
    <row r="26" spans="1:23" ht="57">
      <c r="A26" s="118" t="s">
        <v>1875</v>
      </c>
      <c r="B26" s="8" t="s">
        <v>1869</v>
      </c>
      <c r="C26" s="8" t="s">
        <v>1876</v>
      </c>
      <c r="D26" s="131">
        <v>2.5</v>
      </c>
      <c r="E26" s="131">
        <v>3</v>
      </c>
      <c r="F26" s="131">
        <v>2.5</v>
      </c>
      <c r="G26" s="131">
        <v>3</v>
      </c>
      <c r="H26" s="131">
        <v>2.5</v>
      </c>
      <c r="I26" s="131">
        <v>2.5</v>
      </c>
      <c r="J26" s="131">
        <v>3</v>
      </c>
      <c r="K26" s="131">
        <v>2.5</v>
      </c>
      <c r="L26" s="8" t="s">
        <v>1842</v>
      </c>
      <c r="M26" s="8" t="s">
        <v>1877</v>
      </c>
      <c r="N26" s="8" t="s">
        <v>1802</v>
      </c>
      <c r="O26" s="119" t="s">
        <v>1803</v>
      </c>
      <c r="P26">
        <v>1</v>
      </c>
      <c r="Q26">
        <v>1</v>
      </c>
      <c r="R26">
        <v>0</v>
      </c>
      <c r="S26">
        <v>1</v>
      </c>
      <c r="T26">
        <v>0</v>
      </c>
      <c r="U26">
        <v>0</v>
      </c>
      <c r="V26">
        <v>0</v>
      </c>
      <c r="W26">
        <v>0</v>
      </c>
    </row>
    <row r="27" spans="1:23" ht="57">
      <c r="A27" s="118" t="s">
        <v>1878</v>
      </c>
      <c r="B27" s="8" t="s">
        <v>1879</v>
      </c>
      <c r="C27" s="8" t="s">
        <v>1880</v>
      </c>
      <c r="D27" s="131">
        <v>3</v>
      </c>
      <c r="E27" s="131">
        <v>3.5</v>
      </c>
      <c r="F27" s="131">
        <v>3.5</v>
      </c>
      <c r="G27" s="131">
        <v>3.5</v>
      </c>
      <c r="H27" s="131">
        <v>3</v>
      </c>
      <c r="I27" s="131">
        <v>4</v>
      </c>
      <c r="J27" s="131">
        <v>3</v>
      </c>
      <c r="K27" s="131">
        <v>3.5</v>
      </c>
      <c r="L27" s="8" t="s">
        <v>1881</v>
      </c>
      <c r="M27" s="8" t="s">
        <v>1882</v>
      </c>
      <c r="N27" s="8" t="s">
        <v>1802</v>
      </c>
      <c r="O27" s="119" t="s">
        <v>1803</v>
      </c>
      <c r="P27">
        <v>1</v>
      </c>
      <c r="Q27">
        <v>1</v>
      </c>
      <c r="R27">
        <v>1</v>
      </c>
      <c r="S27">
        <v>1</v>
      </c>
      <c r="T27">
        <v>0</v>
      </c>
      <c r="U27">
        <v>1</v>
      </c>
      <c r="V27">
        <v>0</v>
      </c>
      <c r="W27">
        <v>0</v>
      </c>
    </row>
    <row r="28" spans="1:23" ht="57">
      <c r="A28" s="118" t="s">
        <v>1883</v>
      </c>
      <c r="B28" s="8" t="s">
        <v>1879</v>
      </c>
      <c r="C28" s="8" t="s">
        <v>1884</v>
      </c>
      <c r="D28" s="131">
        <v>3</v>
      </c>
      <c r="E28" s="131">
        <v>3.5</v>
      </c>
      <c r="F28" s="131">
        <v>3.5</v>
      </c>
      <c r="G28" s="131">
        <v>3.5</v>
      </c>
      <c r="H28" s="131">
        <v>3</v>
      </c>
      <c r="I28" s="131">
        <v>4</v>
      </c>
      <c r="J28" s="131">
        <v>3</v>
      </c>
      <c r="K28" s="131">
        <v>3.5</v>
      </c>
      <c r="L28" s="8" t="s">
        <v>1881</v>
      </c>
      <c r="M28" s="8" t="s">
        <v>1885</v>
      </c>
      <c r="N28" s="8" t="s">
        <v>1802</v>
      </c>
      <c r="O28" s="119" t="s">
        <v>1803</v>
      </c>
      <c r="P28">
        <v>1</v>
      </c>
      <c r="Q28">
        <v>1</v>
      </c>
      <c r="R28">
        <v>1</v>
      </c>
      <c r="S28">
        <v>1</v>
      </c>
      <c r="T28">
        <v>0</v>
      </c>
      <c r="U28">
        <v>1</v>
      </c>
      <c r="V28">
        <v>0</v>
      </c>
      <c r="W28">
        <v>0</v>
      </c>
    </row>
    <row r="29" spans="1:23" ht="57">
      <c r="A29" s="118" t="s">
        <v>1886</v>
      </c>
      <c r="B29" s="8" t="s">
        <v>1879</v>
      </c>
      <c r="C29" s="8" t="s">
        <v>1887</v>
      </c>
      <c r="D29" s="131">
        <v>3</v>
      </c>
      <c r="E29" s="131">
        <v>3.5</v>
      </c>
      <c r="F29" s="131">
        <v>3.5</v>
      </c>
      <c r="G29" s="131">
        <v>3.5</v>
      </c>
      <c r="H29" s="131">
        <v>3</v>
      </c>
      <c r="I29" s="131">
        <v>4</v>
      </c>
      <c r="J29" s="131">
        <v>3</v>
      </c>
      <c r="K29" s="131">
        <v>3.5</v>
      </c>
      <c r="L29" s="8" t="s">
        <v>1881</v>
      </c>
      <c r="M29" s="8" t="s">
        <v>1888</v>
      </c>
      <c r="N29" s="8" t="s">
        <v>1802</v>
      </c>
      <c r="O29" s="119" t="s">
        <v>1803</v>
      </c>
      <c r="P29">
        <v>1</v>
      </c>
      <c r="Q29">
        <v>1</v>
      </c>
      <c r="R29">
        <v>1</v>
      </c>
      <c r="S29">
        <v>1</v>
      </c>
      <c r="T29">
        <v>0</v>
      </c>
      <c r="U29">
        <v>1</v>
      </c>
      <c r="V29">
        <v>0</v>
      </c>
      <c r="W29">
        <v>0</v>
      </c>
    </row>
    <row r="30" spans="1:23" ht="28.5">
      <c r="A30" s="118" t="s">
        <v>1889</v>
      </c>
      <c r="B30" s="8" t="s">
        <v>1890</v>
      </c>
      <c r="C30" s="8" t="s">
        <v>1891</v>
      </c>
      <c r="D30" s="131">
        <v>3</v>
      </c>
      <c r="E30" s="131">
        <v>3.5</v>
      </c>
      <c r="F30" s="131">
        <v>3.5</v>
      </c>
      <c r="G30" s="131">
        <v>3.5</v>
      </c>
      <c r="H30" s="131">
        <v>3</v>
      </c>
      <c r="I30" s="131">
        <v>4</v>
      </c>
      <c r="J30" s="131">
        <v>3</v>
      </c>
      <c r="K30" s="131">
        <v>3.5</v>
      </c>
      <c r="L30" s="8" t="s">
        <v>1881</v>
      </c>
      <c r="M30" s="8" t="s">
        <v>1892</v>
      </c>
      <c r="N30" s="8" t="s">
        <v>1893</v>
      </c>
      <c r="O30" s="119" t="s">
        <v>1894</v>
      </c>
      <c r="P30">
        <v>1</v>
      </c>
      <c r="Q30">
        <v>1</v>
      </c>
      <c r="R30">
        <v>1</v>
      </c>
      <c r="S30">
        <v>1</v>
      </c>
      <c r="T30">
        <v>0</v>
      </c>
      <c r="U30">
        <v>1</v>
      </c>
      <c r="V30">
        <v>0</v>
      </c>
      <c r="W30">
        <v>0</v>
      </c>
    </row>
    <row r="31" spans="1:23" ht="28.5">
      <c r="A31" s="118" t="s">
        <v>1895</v>
      </c>
      <c r="B31" s="8" t="s">
        <v>1890</v>
      </c>
      <c r="C31" s="8" t="s">
        <v>1896</v>
      </c>
      <c r="D31" s="131">
        <v>3</v>
      </c>
      <c r="E31" s="131">
        <v>3.5</v>
      </c>
      <c r="F31" s="131">
        <v>3.5</v>
      </c>
      <c r="G31" s="131">
        <v>3.5</v>
      </c>
      <c r="H31" s="131">
        <v>3</v>
      </c>
      <c r="I31" s="131">
        <v>4</v>
      </c>
      <c r="J31" s="131">
        <v>3</v>
      </c>
      <c r="K31" s="131">
        <v>3.5</v>
      </c>
      <c r="L31" s="8" t="s">
        <v>1881</v>
      </c>
      <c r="M31" s="8" t="s">
        <v>1897</v>
      </c>
      <c r="N31" s="8" t="s">
        <v>1893</v>
      </c>
      <c r="O31" s="119" t="s">
        <v>1894</v>
      </c>
      <c r="P31">
        <v>1</v>
      </c>
      <c r="Q31">
        <v>1</v>
      </c>
      <c r="R31">
        <v>1</v>
      </c>
      <c r="S31">
        <v>1</v>
      </c>
      <c r="T31">
        <v>0</v>
      </c>
      <c r="U31">
        <v>1</v>
      </c>
      <c r="V31">
        <v>0</v>
      </c>
      <c r="W31">
        <v>0</v>
      </c>
    </row>
    <row r="32" spans="1:23" ht="28.5">
      <c r="A32" s="118" t="s">
        <v>1898</v>
      </c>
      <c r="B32" s="8" t="s">
        <v>1890</v>
      </c>
      <c r="C32" s="8" t="s">
        <v>1899</v>
      </c>
      <c r="D32" s="131">
        <v>2.5</v>
      </c>
      <c r="E32" s="131">
        <v>3</v>
      </c>
      <c r="F32" s="131">
        <v>3</v>
      </c>
      <c r="G32" s="131">
        <v>3</v>
      </c>
      <c r="H32" s="131">
        <v>2.5</v>
      </c>
      <c r="I32" s="131">
        <v>3.5</v>
      </c>
      <c r="J32" s="131">
        <v>2.5</v>
      </c>
      <c r="K32" s="131">
        <v>3</v>
      </c>
      <c r="L32" s="8" t="s">
        <v>1900</v>
      </c>
      <c r="M32" s="8" t="s">
        <v>1901</v>
      </c>
      <c r="N32" s="8" t="s">
        <v>1893</v>
      </c>
      <c r="O32" s="119" t="s">
        <v>1894</v>
      </c>
      <c r="P32">
        <v>0</v>
      </c>
      <c r="Q32">
        <v>1</v>
      </c>
      <c r="R32">
        <v>1</v>
      </c>
      <c r="S32">
        <v>1</v>
      </c>
      <c r="T32">
        <v>0</v>
      </c>
      <c r="U32">
        <v>1</v>
      </c>
      <c r="V32">
        <v>0</v>
      </c>
      <c r="W32">
        <v>0</v>
      </c>
    </row>
    <row r="33" spans="1:23" ht="57">
      <c r="A33" s="118" t="s">
        <v>1902</v>
      </c>
      <c r="B33" s="8" t="s">
        <v>1903</v>
      </c>
      <c r="C33" s="8" t="s">
        <v>1904</v>
      </c>
      <c r="D33" s="131">
        <v>3.5</v>
      </c>
      <c r="E33" s="131">
        <v>4</v>
      </c>
      <c r="F33" s="131">
        <v>3.5</v>
      </c>
      <c r="G33" s="131">
        <v>3.5</v>
      </c>
      <c r="H33" s="131">
        <v>4</v>
      </c>
      <c r="I33" s="131">
        <v>3</v>
      </c>
      <c r="J33" s="131">
        <v>4</v>
      </c>
      <c r="K33" s="131">
        <v>4</v>
      </c>
      <c r="L33" s="8" t="s">
        <v>1905</v>
      </c>
      <c r="M33" s="8" t="s">
        <v>1906</v>
      </c>
      <c r="N33" s="8" t="s">
        <v>1907</v>
      </c>
      <c r="O33" s="119" t="s">
        <v>1894</v>
      </c>
      <c r="P33">
        <v>1</v>
      </c>
      <c r="Q33">
        <v>1</v>
      </c>
      <c r="R33">
        <v>0</v>
      </c>
      <c r="S33">
        <v>1</v>
      </c>
      <c r="T33">
        <v>0</v>
      </c>
      <c r="U33">
        <v>0</v>
      </c>
      <c r="V33">
        <v>1</v>
      </c>
      <c r="W33">
        <v>1</v>
      </c>
    </row>
    <row r="34" spans="1:23" ht="57">
      <c r="A34" s="118" t="s">
        <v>1908</v>
      </c>
      <c r="B34" s="8" t="s">
        <v>1903</v>
      </c>
      <c r="C34" s="8" t="s">
        <v>1909</v>
      </c>
      <c r="D34" s="131">
        <v>3</v>
      </c>
      <c r="E34" s="131">
        <v>3.5</v>
      </c>
      <c r="F34" s="131">
        <v>3</v>
      </c>
      <c r="G34" s="131">
        <v>3</v>
      </c>
      <c r="H34" s="131">
        <v>3.5</v>
      </c>
      <c r="I34" s="131">
        <v>3</v>
      </c>
      <c r="J34" s="131">
        <v>3.5</v>
      </c>
      <c r="K34" s="131">
        <v>3.5</v>
      </c>
      <c r="L34" s="8" t="s">
        <v>1905</v>
      </c>
      <c r="M34" s="8" t="s">
        <v>1910</v>
      </c>
      <c r="N34" s="8" t="s">
        <v>1907</v>
      </c>
      <c r="O34" s="119" t="s">
        <v>1894</v>
      </c>
      <c r="P34">
        <v>1</v>
      </c>
      <c r="Q34">
        <v>1</v>
      </c>
      <c r="R34">
        <v>0</v>
      </c>
      <c r="S34">
        <v>1</v>
      </c>
      <c r="T34">
        <v>0</v>
      </c>
      <c r="U34">
        <v>0</v>
      </c>
      <c r="V34">
        <v>1</v>
      </c>
      <c r="W34">
        <v>1</v>
      </c>
    </row>
    <row r="35" spans="1:23" ht="42.75">
      <c r="A35" s="118" t="s">
        <v>1911</v>
      </c>
      <c r="B35" s="8" t="s">
        <v>1903</v>
      </c>
      <c r="C35" s="8" t="s">
        <v>1912</v>
      </c>
      <c r="D35" s="131">
        <v>3.5</v>
      </c>
      <c r="E35" s="131">
        <v>4</v>
      </c>
      <c r="F35" s="131">
        <v>4</v>
      </c>
      <c r="G35" s="131">
        <v>4</v>
      </c>
      <c r="H35" s="131">
        <v>4</v>
      </c>
      <c r="I35" s="131">
        <v>4</v>
      </c>
      <c r="J35" s="131">
        <v>4</v>
      </c>
      <c r="K35" s="131">
        <v>4</v>
      </c>
      <c r="L35" s="8" t="s">
        <v>1913</v>
      </c>
      <c r="M35" s="8" t="s">
        <v>1914</v>
      </c>
      <c r="N35" s="8" t="s">
        <v>1893</v>
      </c>
      <c r="O35" s="119" t="s">
        <v>1894</v>
      </c>
      <c r="P35">
        <v>1</v>
      </c>
      <c r="Q35">
        <v>1</v>
      </c>
      <c r="R35">
        <v>1</v>
      </c>
      <c r="S35">
        <v>1</v>
      </c>
      <c r="T35">
        <v>1</v>
      </c>
      <c r="U35">
        <v>1</v>
      </c>
      <c r="V35">
        <v>1</v>
      </c>
      <c r="W35">
        <v>1</v>
      </c>
    </row>
    <row r="36" spans="1:23" ht="57">
      <c r="A36" s="118" t="s">
        <v>1915</v>
      </c>
      <c r="B36" s="8" t="s">
        <v>1916</v>
      </c>
      <c r="C36" s="8" t="s">
        <v>1917</v>
      </c>
      <c r="D36" s="131">
        <v>3</v>
      </c>
      <c r="E36" s="131">
        <v>3.5</v>
      </c>
      <c r="F36" s="131">
        <v>3.5</v>
      </c>
      <c r="G36" s="131">
        <v>3.5</v>
      </c>
      <c r="H36" s="131">
        <v>2.5</v>
      </c>
      <c r="I36" s="131">
        <v>3.5</v>
      </c>
      <c r="J36" s="131">
        <v>3</v>
      </c>
      <c r="K36" s="131">
        <v>4</v>
      </c>
      <c r="L36" s="8" t="s">
        <v>1918</v>
      </c>
      <c r="M36" s="8" t="s">
        <v>1919</v>
      </c>
      <c r="N36" s="8" t="s">
        <v>1802</v>
      </c>
      <c r="O36" s="119" t="s">
        <v>1894</v>
      </c>
      <c r="P36">
        <v>1</v>
      </c>
      <c r="Q36">
        <v>1</v>
      </c>
      <c r="R36">
        <v>1</v>
      </c>
      <c r="S36">
        <v>1</v>
      </c>
      <c r="T36">
        <v>0</v>
      </c>
      <c r="U36">
        <v>0</v>
      </c>
      <c r="V36">
        <v>0</v>
      </c>
      <c r="W36">
        <v>1</v>
      </c>
    </row>
    <row r="37" spans="1:23" ht="57">
      <c r="A37" s="118" t="s">
        <v>1920</v>
      </c>
      <c r="B37" s="8" t="s">
        <v>1916</v>
      </c>
      <c r="C37" s="8" t="s">
        <v>1921</v>
      </c>
      <c r="D37" s="131">
        <v>3</v>
      </c>
      <c r="E37" s="131">
        <v>3</v>
      </c>
      <c r="F37" s="131">
        <v>3</v>
      </c>
      <c r="G37" s="131">
        <v>3</v>
      </c>
      <c r="H37" s="131">
        <v>2.5</v>
      </c>
      <c r="I37" s="131">
        <v>3</v>
      </c>
      <c r="J37" s="131">
        <v>3.5</v>
      </c>
      <c r="K37" s="131">
        <v>3.5</v>
      </c>
      <c r="L37" s="8" t="s">
        <v>1828</v>
      </c>
      <c r="M37" s="8" t="s">
        <v>1922</v>
      </c>
      <c r="N37" s="8" t="s">
        <v>1802</v>
      </c>
      <c r="O37" s="119" t="s">
        <v>1894</v>
      </c>
      <c r="P37">
        <v>1</v>
      </c>
      <c r="Q37">
        <v>1</v>
      </c>
      <c r="R37">
        <v>0</v>
      </c>
      <c r="S37">
        <v>1</v>
      </c>
      <c r="T37">
        <v>0</v>
      </c>
      <c r="U37">
        <v>0</v>
      </c>
      <c r="V37">
        <v>1</v>
      </c>
      <c r="W37">
        <v>0</v>
      </c>
    </row>
    <row r="38" spans="1:23" ht="57">
      <c r="A38" s="118" t="s">
        <v>1923</v>
      </c>
      <c r="B38" s="8" t="s">
        <v>1916</v>
      </c>
      <c r="C38" s="8" t="s">
        <v>1924</v>
      </c>
      <c r="D38" s="131">
        <v>2.5</v>
      </c>
      <c r="E38" s="131">
        <v>3</v>
      </c>
      <c r="F38" s="131">
        <v>3</v>
      </c>
      <c r="G38" s="131">
        <v>2.5</v>
      </c>
      <c r="H38" s="131">
        <v>3.5</v>
      </c>
      <c r="I38" s="131">
        <v>3</v>
      </c>
      <c r="J38" s="131">
        <v>3</v>
      </c>
      <c r="K38" s="131">
        <v>2.5</v>
      </c>
      <c r="L38" s="8" t="s">
        <v>1925</v>
      </c>
      <c r="M38" s="8" t="s">
        <v>1926</v>
      </c>
      <c r="N38" s="8" t="s">
        <v>1802</v>
      </c>
      <c r="O38" s="119" t="s">
        <v>1894</v>
      </c>
      <c r="P38">
        <v>0</v>
      </c>
      <c r="Q38">
        <v>1</v>
      </c>
      <c r="R38">
        <v>1</v>
      </c>
      <c r="S38">
        <v>0</v>
      </c>
      <c r="T38">
        <v>1</v>
      </c>
      <c r="U38">
        <v>0</v>
      </c>
      <c r="V38">
        <v>0</v>
      </c>
      <c r="W38">
        <v>0</v>
      </c>
    </row>
    <row r="39" spans="1:23" ht="57">
      <c r="A39" s="118" t="s">
        <v>1927</v>
      </c>
      <c r="B39" s="8" t="s">
        <v>1916</v>
      </c>
      <c r="C39" s="8" t="s">
        <v>1928</v>
      </c>
      <c r="D39" s="131">
        <v>3</v>
      </c>
      <c r="E39" s="131">
        <v>3</v>
      </c>
      <c r="F39" s="131">
        <v>3</v>
      </c>
      <c r="G39" s="131">
        <v>3.5</v>
      </c>
      <c r="H39" s="131">
        <v>4</v>
      </c>
      <c r="I39" s="131">
        <v>2.5</v>
      </c>
      <c r="J39" s="131">
        <v>3.5</v>
      </c>
      <c r="K39" s="131">
        <v>2.5</v>
      </c>
      <c r="L39" s="8" t="s">
        <v>1929</v>
      </c>
      <c r="M39" s="8" t="s">
        <v>1930</v>
      </c>
      <c r="N39" s="8" t="s">
        <v>1802</v>
      </c>
      <c r="O39" s="119" t="s">
        <v>1894</v>
      </c>
      <c r="P39">
        <v>1</v>
      </c>
      <c r="Q39">
        <v>0</v>
      </c>
      <c r="R39">
        <v>0</v>
      </c>
      <c r="S39">
        <v>1</v>
      </c>
      <c r="T39">
        <v>1</v>
      </c>
      <c r="U39">
        <v>0</v>
      </c>
      <c r="V39">
        <v>1</v>
      </c>
      <c r="W39">
        <v>0</v>
      </c>
    </row>
    <row r="40" spans="1:23" ht="57">
      <c r="A40" s="120" t="s">
        <v>1931</v>
      </c>
      <c r="B40" s="121" t="s">
        <v>1916</v>
      </c>
      <c r="C40" s="121" t="s">
        <v>1932</v>
      </c>
      <c r="D40" s="132">
        <v>3.5</v>
      </c>
      <c r="E40" s="132">
        <v>3</v>
      </c>
      <c r="F40" s="132">
        <v>2.5</v>
      </c>
      <c r="G40" s="132">
        <v>2.5</v>
      </c>
      <c r="H40" s="132">
        <v>3</v>
      </c>
      <c r="I40" s="132">
        <v>2.5</v>
      </c>
      <c r="J40" s="132">
        <v>4</v>
      </c>
      <c r="K40" s="132">
        <v>3</v>
      </c>
      <c r="L40" s="121" t="s">
        <v>1933</v>
      </c>
      <c r="M40" s="121" t="s">
        <v>1934</v>
      </c>
      <c r="N40" s="121" t="s">
        <v>1907</v>
      </c>
      <c r="O40" s="122" t="s">
        <v>1894</v>
      </c>
      <c r="P40">
        <v>1</v>
      </c>
      <c r="Q40">
        <v>0</v>
      </c>
      <c r="R40">
        <v>0</v>
      </c>
      <c r="S40">
        <v>0</v>
      </c>
      <c r="T40">
        <v>0</v>
      </c>
      <c r="U40">
        <v>0</v>
      </c>
      <c r="V40">
        <v>1</v>
      </c>
      <c r="W40">
        <v>0</v>
      </c>
    </row>
  </sheetData>
  <mergeCells count="2">
    <mergeCell ref="A1:W1"/>
    <mergeCell ref="A2:W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Start Here</vt:lpstr>
      <vt:lpstr>Decision Readiness</vt:lpstr>
      <vt:lpstr>Dashboard</vt:lpstr>
      <vt:lpstr>Governance</vt:lpstr>
      <vt:lpstr>Management</vt:lpstr>
      <vt:lpstr>Human Resources</vt:lpstr>
      <vt:lpstr>Finance</vt:lpstr>
      <vt:lpstr>Marketing &amp; Communications</vt:lpstr>
      <vt:lpstr>NOC Services</vt:lpstr>
      <vt:lpstr>External Relations</vt:lpstr>
      <vt:lpstr>Sporting Environment</vt:lpstr>
      <vt:lpstr>Priority Actions</vt:lpstr>
      <vt:lpstr>Strategic Plan Report</vt:lpstr>
      <vt:lpstr>Criteria Library</vt:lpstr>
      <vt:lpstr>Lists</vt:lpstr>
      <vt:lpstr>Programme Profiles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Brian Minikin</cp:lastModifiedBy>
  <dcterms:created xsi:type="dcterms:W3CDTF">2026-08-30T09:36:42Z</dcterms:created>
  <dcterms:modified xsi:type="dcterms:W3CDTF">2026-08-30T09:37:24Z</dcterms:modified>
</cp:coreProperties>
</file>