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y Projects\Excel Draw Sheets\Finalised Draws\"/>
    </mc:Choice>
  </mc:AlternateContent>
  <xr:revisionPtr revIDLastSave="0" documentId="8_{9A58FDEA-4FDA-4FE8-98DF-8A9FCB0D3E4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HOME" sheetId="1" r:id="rId1"/>
    <sheet name="Setup" sheetId="2" r:id="rId2"/>
    <sheet name="Teams" sheetId="3" r:id="rId3"/>
    <sheet name="Match Entry" sheetId="9" r:id="rId4"/>
    <sheet name="Scores" sheetId="4" state="hidden" r:id="rId5"/>
    <sheet name="Calculations" sheetId="5" state="hidden" r:id="rId6"/>
    <sheet name="Pool Tables" sheetId="6" r:id="rId7"/>
    <sheet name="Finals" sheetId="7" r:id="rId8"/>
    <sheet name="Fixture Library" sheetId="8" state="hidden" r:id="rId9"/>
    <sheet name="Sheet1" sheetId="12" state="hidden" r:id="rId10"/>
    <sheet name="Finals Bracket" sheetId="10" r:id="rId11"/>
    <sheet name="Competition Summary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11" l="1"/>
  <c r="N25" i="11"/>
  <c r="M25" i="11"/>
  <c r="K25" i="11"/>
  <c r="J25" i="11"/>
  <c r="I25" i="11"/>
  <c r="G25" i="11"/>
  <c r="F25" i="11"/>
  <c r="E25" i="11"/>
  <c r="C25" i="11"/>
  <c r="B25" i="11"/>
  <c r="A25" i="11"/>
  <c r="M24" i="11"/>
  <c r="I24" i="11"/>
  <c r="E24" i="11"/>
  <c r="A24" i="11"/>
  <c r="O14" i="11"/>
  <c r="N14" i="11"/>
  <c r="M14" i="11"/>
  <c r="K14" i="11"/>
  <c r="J14" i="11"/>
  <c r="I14" i="11"/>
  <c r="G14" i="11"/>
  <c r="F14" i="11"/>
  <c r="E14" i="11"/>
  <c r="C14" i="11"/>
  <c r="B14" i="11"/>
  <c r="A14" i="11"/>
  <c r="M13" i="11"/>
  <c r="I13" i="11"/>
  <c r="E13" i="11"/>
  <c r="A13" i="11"/>
  <c r="C5" i="11"/>
  <c r="B2" i="11"/>
  <c r="N39" i="10"/>
  <c r="F2" i="7"/>
  <c r="B2" i="7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2" i="6"/>
  <c r="A42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29" i="6"/>
  <c r="A29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6" i="6"/>
  <c r="A16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N5" i="6"/>
  <c r="A5" i="6"/>
  <c r="N3" i="6"/>
  <c r="A3" i="6"/>
  <c r="A1" i="6"/>
  <c r="F65" i="5"/>
  <c r="E65" i="5"/>
  <c r="F64" i="5"/>
  <c r="E64" i="5"/>
  <c r="F63" i="5"/>
  <c r="E63" i="5"/>
  <c r="F62" i="5"/>
  <c r="E62" i="5"/>
  <c r="F61" i="5"/>
  <c r="E61" i="5"/>
  <c r="F60" i="5"/>
  <c r="E60" i="5"/>
  <c r="F59" i="5"/>
  <c r="E59" i="5"/>
  <c r="F58" i="5"/>
  <c r="E58" i="5"/>
  <c r="F57" i="5"/>
  <c r="E57" i="5"/>
  <c r="F56" i="5"/>
  <c r="E56" i="5"/>
  <c r="F55" i="5"/>
  <c r="E55" i="5"/>
  <c r="F54" i="5"/>
  <c r="E54" i="5"/>
  <c r="F53" i="5"/>
  <c r="E53" i="5"/>
  <c r="F52" i="5"/>
  <c r="E52" i="5"/>
  <c r="F51" i="5"/>
  <c r="E51" i="5"/>
  <c r="F50" i="5"/>
  <c r="E50" i="5"/>
  <c r="F49" i="5"/>
  <c r="E49" i="5"/>
  <c r="F48" i="5"/>
  <c r="E48" i="5"/>
  <c r="F47" i="5"/>
  <c r="E47" i="5"/>
  <c r="F46" i="5"/>
  <c r="E46" i="5"/>
  <c r="F45" i="5"/>
  <c r="E45" i="5"/>
  <c r="F44" i="5"/>
  <c r="E44" i="5"/>
  <c r="F43" i="5"/>
  <c r="E43" i="5"/>
  <c r="F42" i="5"/>
  <c r="E42" i="5"/>
  <c r="F41" i="5"/>
  <c r="E41" i="5"/>
  <c r="F40" i="5"/>
  <c r="E40" i="5"/>
  <c r="F39" i="5"/>
  <c r="E39" i="5"/>
  <c r="F38" i="5"/>
  <c r="E38" i="5"/>
  <c r="F37" i="5"/>
  <c r="E37" i="5"/>
  <c r="F36" i="5"/>
  <c r="E36" i="5"/>
  <c r="F35" i="5"/>
  <c r="E35" i="5"/>
  <c r="F34" i="5"/>
  <c r="E34" i="5"/>
  <c r="F33" i="5"/>
  <c r="E33" i="5"/>
  <c r="F32" i="5"/>
  <c r="E32" i="5"/>
  <c r="F31" i="5"/>
  <c r="E31" i="5"/>
  <c r="F30" i="5"/>
  <c r="E30" i="5"/>
  <c r="F29" i="5"/>
  <c r="E29" i="5"/>
  <c r="F28" i="5"/>
  <c r="E28" i="5"/>
  <c r="F27" i="5"/>
  <c r="E27" i="5"/>
  <c r="F26" i="5"/>
  <c r="E26" i="5"/>
  <c r="F25" i="5"/>
  <c r="E25" i="5"/>
  <c r="F24" i="5"/>
  <c r="E24" i="5"/>
  <c r="F23" i="5"/>
  <c r="E23" i="5"/>
  <c r="F22" i="5"/>
  <c r="E22" i="5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F12" i="5"/>
  <c r="E12" i="5"/>
  <c r="F11" i="5"/>
  <c r="E11" i="5"/>
  <c r="F10" i="5"/>
  <c r="E10" i="5"/>
  <c r="F9" i="5"/>
  <c r="E9" i="5"/>
  <c r="F8" i="5"/>
  <c r="E8" i="5"/>
  <c r="F7" i="5"/>
  <c r="E7" i="5"/>
  <c r="F6" i="5"/>
  <c r="E6" i="5"/>
  <c r="F5" i="5"/>
  <c r="E5" i="5"/>
  <c r="F4" i="5"/>
  <c r="E4" i="5"/>
  <c r="F3" i="5"/>
  <c r="E3" i="5"/>
  <c r="F2" i="5"/>
  <c r="E2" i="5"/>
  <c r="E225" i="4"/>
  <c r="D225" i="4"/>
  <c r="H225" i="4" s="1"/>
  <c r="I225" i="4" s="1"/>
  <c r="AC225" i="4" s="1"/>
  <c r="C225" i="4"/>
  <c r="B225" i="4"/>
  <c r="F225" i="4" s="1"/>
  <c r="G225" i="4" s="1"/>
  <c r="D224" i="4"/>
  <c r="B224" i="4"/>
  <c r="C224" i="4" s="1"/>
  <c r="D223" i="4"/>
  <c r="B223" i="4"/>
  <c r="D222" i="4"/>
  <c r="B222" i="4"/>
  <c r="D221" i="4"/>
  <c r="B221" i="4"/>
  <c r="F221" i="4" s="1"/>
  <c r="G221" i="4" s="1"/>
  <c r="D220" i="4"/>
  <c r="H220" i="4" s="1"/>
  <c r="I220" i="4" s="1"/>
  <c r="AC220" i="4" s="1"/>
  <c r="B220" i="4"/>
  <c r="F220" i="4" s="1"/>
  <c r="G220" i="4" s="1"/>
  <c r="E219" i="4"/>
  <c r="D219" i="4"/>
  <c r="C219" i="4"/>
  <c r="B219" i="4"/>
  <c r="H219" i="4" s="1"/>
  <c r="I219" i="4" s="1"/>
  <c r="AC219" i="4" s="1"/>
  <c r="D218" i="4"/>
  <c r="B218" i="4"/>
  <c r="D217" i="4"/>
  <c r="B217" i="4"/>
  <c r="F217" i="4" s="1"/>
  <c r="G217" i="4" s="1"/>
  <c r="D216" i="4"/>
  <c r="B216" i="4"/>
  <c r="D215" i="4"/>
  <c r="B215" i="4"/>
  <c r="H215" i="4" s="1"/>
  <c r="I215" i="4" s="1"/>
  <c r="AC215" i="4" s="1"/>
  <c r="D214" i="4"/>
  <c r="B214" i="4"/>
  <c r="H214" i="4" s="1"/>
  <c r="I214" i="4" s="1"/>
  <c r="AC214" i="4" s="1"/>
  <c r="D213" i="4"/>
  <c r="B213" i="4"/>
  <c r="F213" i="4" s="1"/>
  <c r="G213" i="4" s="1"/>
  <c r="F212" i="4"/>
  <c r="G212" i="4" s="1"/>
  <c r="D212" i="4"/>
  <c r="H212" i="4" s="1"/>
  <c r="I212" i="4" s="1"/>
  <c r="B212" i="4"/>
  <c r="D211" i="4"/>
  <c r="B211" i="4"/>
  <c r="H211" i="4" s="1"/>
  <c r="I211" i="4" s="1"/>
  <c r="AC211" i="4" s="1"/>
  <c r="D210" i="4"/>
  <c r="B210" i="4"/>
  <c r="H210" i="4" s="1"/>
  <c r="I210" i="4" s="1"/>
  <c r="AC210" i="4" s="1"/>
  <c r="E209" i="4"/>
  <c r="D209" i="4"/>
  <c r="B209" i="4"/>
  <c r="F209" i="4" s="1"/>
  <c r="G209" i="4" s="1"/>
  <c r="D208" i="4"/>
  <c r="B208" i="4"/>
  <c r="D207" i="4"/>
  <c r="B207" i="4"/>
  <c r="D206" i="4"/>
  <c r="B206" i="4"/>
  <c r="D205" i="4"/>
  <c r="B205" i="4"/>
  <c r="F204" i="4"/>
  <c r="G204" i="4" s="1"/>
  <c r="D204" i="4"/>
  <c r="B204" i="4"/>
  <c r="D203" i="4"/>
  <c r="B203" i="4"/>
  <c r="D202" i="4"/>
  <c r="B202" i="4"/>
  <c r="E201" i="4"/>
  <c r="D201" i="4"/>
  <c r="H201" i="4" s="1"/>
  <c r="I201" i="4" s="1"/>
  <c r="AC201" i="4" s="1"/>
  <c r="B201" i="4"/>
  <c r="F201" i="4" s="1"/>
  <c r="G201" i="4" s="1"/>
  <c r="D200" i="4"/>
  <c r="B200" i="4"/>
  <c r="D199" i="4"/>
  <c r="C199" i="4"/>
  <c r="B199" i="4"/>
  <c r="H199" i="4" s="1"/>
  <c r="I199" i="4" s="1"/>
  <c r="AC199" i="4" s="1"/>
  <c r="D198" i="4"/>
  <c r="B198" i="4"/>
  <c r="H198" i="4" s="1"/>
  <c r="I198" i="4" s="1"/>
  <c r="AC198" i="4" s="1"/>
  <c r="D197" i="4"/>
  <c r="B197" i="4"/>
  <c r="F197" i="4" s="1"/>
  <c r="G197" i="4" s="1"/>
  <c r="D196" i="4"/>
  <c r="B196" i="4"/>
  <c r="F196" i="4" s="1"/>
  <c r="G196" i="4" s="1"/>
  <c r="D195" i="4"/>
  <c r="B195" i="4"/>
  <c r="H195" i="4" s="1"/>
  <c r="I195" i="4" s="1"/>
  <c r="AC195" i="4" s="1"/>
  <c r="F194" i="4"/>
  <c r="G194" i="4" s="1"/>
  <c r="D194" i="4"/>
  <c r="B194" i="4"/>
  <c r="H193" i="4"/>
  <c r="I193" i="4" s="1"/>
  <c r="AC193" i="4" s="1"/>
  <c r="D193" i="4"/>
  <c r="E193" i="4" s="1"/>
  <c r="C193" i="4"/>
  <c r="B193" i="4"/>
  <c r="F193" i="4" s="1"/>
  <c r="G193" i="4" s="1"/>
  <c r="D192" i="4"/>
  <c r="C192" i="4"/>
  <c r="B192" i="4"/>
  <c r="D191" i="4"/>
  <c r="B191" i="4"/>
  <c r="C191" i="4" s="1"/>
  <c r="D190" i="4"/>
  <c r="B190" i="4"/>
  <c r="D189" i="4"/>
  <c r="B189" i="4"/>
  <c r="F189" i="4" s="1"/>
  <c r="G189" i="4" s="1"/>
  <c r="D188" i="4"/>
  <c r="B188" i="4"/>
  <c r="C188" i="4" s="1"/>
  <c r="D187" i="4"/>
  <c r="H187" i="4" s="1"/>
  <c r="I187" i="4" s="1"/>
  <c r="AC187" i="4" s="1"/>
  <c r="B187" i="4"/>
  <c r="C187" i="4" s="1"/>
  <c r="D186" i="4"/>
  <c r="B186" i="4"/>
  <c r="D185" i="4"/>
  <c r="C185" i="4"/>
  <c r="B185" i="4"/>
  <c r="F185" i="4" s="1"/>
  <c r="G185" i="4" s="1"/>
  <c r="D184" i="4"/>
  <c r="C184" i="4"/>
  <c r="B184" i="4"/>
  <c r="D183" i="4"/>
  <c r="B183" i="4"/>
  <c r="C183" i="4" s="1"/>
  <c r="D182" i="4"/>
  <c r="B182" i="4"/>
  <c r="F182" i="4" s="1"/>
  <c r="G182" i="4" s="1"/>
  <c r="D181" i="4"/>
  <c r="B181" i="4"/>
  <c r="F181" i="4" s="1"/>
  <c r="G181" i="4" s="1"/>
  <c r="D180" i="4"/>
  <c r="B180" i="4"/>
  <c r="C180" i="4" s="1"/>
  <c r="D179" i="4"/>
  <c r="B179" i="4"/>
  <c r="C179" i="4" s="1"/>
  <c r="D178" i="4"/>
  <c r="B178" i="4"/>
  <c r="F178" i="4" s="1"/>
  <c r="G178" i="4" s="1"/>
  <c r="D177" i="4"/>
  <c r="B177" i="4"/>
  <c r="F177" i="4" s="1"/>
  <c r="G177" i="4" s="1"/>
  <c r="D176" i="4"/>
  <c r="B176" i="4"/>
  <c r="F176" i="4" s="1"/>
  <c r="G176" i="4" s="1"/>
  <c r="H175" i="4"/>
  <c r="I175" i="4" s="1"/>
  <c r="AC175" i="4" s="1"/>
  <c r="D175" i="4"/>
  <c r="B175" i="4"/>
  <c r="C175" i="4" s="1"/>
  <c r="F174" i="4"/>
  <c r="G174" i="4" s="1"/>
  <c r="D174" i="4"/>
  <c r="B174" i="4"/>
  <c r="E174" i="4" s="1"/>
  <c r="D173" i="4"/>
  <c r="B173" i="4"/>
  <c r="D172" i="4"/>
  <c r="B172" i="4"/>
  <c r="C172" i="4" s="1"/>
  <c r="D171" i="4"/>
  <c r="B171" i="4"/>
  <c r="C171" i="4" s="1"/>
  <c r="D170" i="4"/>
  <c r="B170" i="4"/>
  <c r="F170" i="4" s="1"/>
  <c r="G170" i="4" s="1"/>
  <c r="D169" i="4"/>
  <c r="C169" i="4"/>
  <c r="B169" i="4"/>
  <c r="F169" i="4" s="1"/>
  <c r="G169" i="4" s="1"/>
  <c r="J169" i="4" s="1"/>
  <c r="H168" i="4"/>
  <c r="I168" i="4" s="1"/>
  <c r="AC168" i="4" s="1"/>
  <c r="D168" i="4"/>
  <c r="E168" i="4" s="1"/>
  <c r="B168" i="4"/>
  <c r="F168" i="4" s="1"/>
  <c r="G168" i="4" s="1"/>
  <c r="D167" i="4"/>
  <c r="B167" i="4"/>
  <c r="C167" i="4" s="1"/>
  <c r="D166" i="4"/>
  <c r="B166" i="4"/>
  <c r="H166" i="4" s="1"/>
  <c r="I166" i="4" s="1"/>
  <c r="AC166" i="4" s="1"/>
  <c r="D165" i="4"/>
  <c r="B165" i="4"/>
  <c r="F165" i="4" s="1"/>
  <c r="G165" i="4" s="1"/>
  <c r="E164" i="4"/>
  <c r="D164" i="4"/>
  <c r="B164" i="4"/>
  <c r="F164" i="4" s="1"/>
  <c r="G164" i="4" s="1"/>
  <c r="E163" i="4"/>
  <c r="D163" i="4"/>
  <c r="B163" i="4"/>
  <c r="C163" i="4" s="1"/>
  <c r="D162" i="4"/>
  <c r="B162" i="4"/>
  <c r="H162" i="4" s="1"/>
  <c r="I162" i="4" s="1"/>
  <c r="AC162" i="4" s="1"/>
  <c r="D161" i="4"/>
  <c r="B161" i="4"/>
  <c r="D160" i="4"/>
  <c r="B160" i="4"/>
  <c r="D159" i="4"/>
  <c r="B159" i="4"/>
  <c r="D158" i="4"/>
  <c r="B158" i="4"/>
  <c r="F158" i="4" s="1"/>
  <c r="G158" i="4" s="1"/>
  <c r="D157" i="4"/>
  <c r="B157" i="4"/>
  <c r="C157" i="4" s="1"/>
  <c r="D156" i="4"/>
  <c r="C156" i="4"/>
  <c r="B156" i="4"/>
  <c r="F156" i="4" s="1"/>
  <c r="G156" i="4" s="1"/>
  <c r="D155" i="4"/>
  <c r="B155" i="4"/>
  <c r="F155" i="4" s="1"/>
  <c r="G155" i="4" s="1"/>
  <c r="R155" i="4" s="1"/>
  <c r="D154" i="4"/>
  <c r="B154" i="4"/>
  <c r="F154" i="4" s="1"/>
  <c r="G154" i="4" s="1"/>
  <c r="D153" i="4"/>
  <c r="B153" i="4"/>
  <c r="C153" i="4" s="1"/>
  <c r="D152" i="4"/>
  <c r="B152" i="4"/>
  <c r="F152" i="4" s="1"/>
  <c r="G152" i="4" s="1"/>
  <c r="D151" i="4"/>
  <c r="B151" i="4"/>
  <c r="F151" i="4" s="1"/>
  <c r="G151" i="4" s="1"/>
  <c r="D150" i="4"/>
  <c r="B150" i="4"/>
  <c r="D149" i="4"/>
  <c r="C149" i="4"/>
  <c r="B149" i="4"/>
  <c r="F149" i="4" s="1"/>
  <c r="G149" i="4" s="1"/>
  <c r="AB149" i="4" s="1"/>
  <c r="D148" i="4"/>
  <c r="C148" i="4"/>
  <c r="B148" i="4"/>
  <c r="F148" i="4" s="1"/>
  <c r="G148" i="4" s="1"/>
  <c r="D147" i="4"/>
  <c r="B147" i="4"/>
  <c r="F147" i="4" s="1"/>
  <c r="G147" i="4" s="1"/>
  <c r="J147" i="4" s="1"/>
  <c r="D146" i="4"/>
  <c r="B146" i="4"/>
  <c r="D145" i="4"/>
  <c r="B145" i="4"/>
  <c r="D144" i="4"/>
  <c r="B144" i="4"/>
  <c r="D143" i="4"/>
  <c r="B143" i="4"/>
  <c r="D142" i="4"/>
  <c r="C142" i="4"/>
  <c r="B142" i="4"/>
  <c r="F142" i="4" s="1"/>
  <c r="G142" i="4" s="1"/>
  <c r="D141" i="4"/>
  <c r="B141" i="4"/>
  <c r="C141" i="4" s="1"/>
  <c r="D140" i="4"/>
  <c r="B140" i="4"/>
  <c r="F140" i="4" s="1"/>
  <c r="G140" i="4" s="1"/>
  <c r="D139" i="4"/>
  <c r="B139" i="4"/>
  <c r="F139" i="4" s="1"/>
  <c r="G139" i="4" s="1"/>
  <c r="D138" i="4"/>
  <c r="B138" i="4"/>
  <c r="F138" i="4" s="1"/>
  <c r="G138" i="4" s="1"/>
  <c r="S138" i="4" s="1"/>
  <c r="D137" i="4"/>
  <c r="B137" i="4"/>
  <c r="C137" i="4" s="1"/>
  <c r="D136" i="4"/>
  <c r="C136" i="4"/>
  <c r="B136" i="4"/>
  <c r="F136" i="4" s="1"/>
  <c r="G136" i="4" s="1"/>
  <c r="D135" i="4"/>
  <c r="B135" i="4"/>
  <c r="F135" i="4" s="1"/>
  <c r="G135" i="4" s="1"/>
  <c r="D134" i="4"/>
  <c r="B134" i="4"/>
  <c r="D133" i="4"/>
  <c r="B133" i="4"/>
  <c r="D132" i="4"/>
  <c r="B132" i="4"/>
  <c r="E132" i="4" s="1"/>
  <c r="F131" i="4"/>
  <c r="G131" i="4" s="1"/>
  <c r="D131" i="4"/>
  <c r="B131" i="4"/>
  <c r="D130" i="4"/>
  <c r="B130" i="4"/>
  <c r="F130" i="4" s="1"/>
  <c r="G130" i="4" s="1"/>
  <c r="D129" i="4"/>
  <c r="B129" i="4"/>
  <c r="F129" i="4" s="1"/>
  <c r="G129" i="4" s="1"/>
  <c r="D128" i="4"/>
  <c r="B128" i="4"/>
  <c r="F128" i="4" s="1"/>
  <c r="G128" i="4" s="1"/>
  <c r="D127" i="4"/>
  <c r="B127" i="4"/>
  <c r="D126" i="4"/>
  <c r="B126" i="4"/>
  <c r="D125" i="4"/>
  <c r="B125" i="4"/>
  <c r="C125" i="4" s="1"/>
  <c r="E124" i="4"/>
  <c r="D124" i="4"/>
  <c r="B124" i="4"/>
  <c r="D123" i="4"/>
  <c r="B123" i="4"/>
  <c r="F123" i="4" s="1"/>
  <c r="G123" i="4" s="1"/>
  <c r="R123" i="4" s="1"/>
  <c r="D122" i="4"/>
  <c r="B122" i="4"/>
  <c r="F122" i="4" s="1"/>
  <c r="G122" i="4" s="1"/>
  <c r="D121" i="4"/>
  <c r="C121" i="4"/>
  <c r="B121" i="4"/>
  <c r="H121" i="4" s="1"/>
  <c r="I121" i="4" s="1"/>
  <c r="AC121" i="4" s="1"/>
  <c r="D120" i="4"/>
  <c r="H120" i="4" s="1"/>
  <c r="I120" i="4" s="1"/>
  <c r="AC120" i="4" s="1"/>
  <c r="C120" i="4"/>
  <c r="B120" i="4"/>
  <c r="F120" i="4" s="1"/>
  <c r="G120" i="4" s="1"/>
  <c r="D119" i="4"/>
  <c r="B119" i="4"/>
  <c r="F119" i="4" s="1"/>
  <c r="G119" i="4" s="1"/>
  <c r="D118" i="4"/>
  <c r="B118" i="4"/>
  <c r="F118" i="4" s="1"/>
  <c r="G118" i="4" s="1"/>
  <c r="D117" i="4"/>
  <c r="C117" i="4"/>
  <c r="B117" i="4"/>
  <c r="F117" i="4" s="1"/>
  <c r="G117" i="4" s="1"/>
  <c r="AB117" i="4" s="1"/>
  <c r="E116" i="4"/>
  <c r="D116" i="4"/>
  <c r="H116" i="4" s="1"/>
  <c r="I116" i="4" s="1"/>
  <c r="AC116" i="4" s="1"/>
  <c r="B116" i="4"/>
  <c r="F116" i="4" s="1"/>
  <c r="G116" i="4" s="1"/>
  <c r="Q116" i="4" s="1"/>
  <c r="F115" i="4"/>
  <c r="G115" i="4" s="1"/>
  <c r="D115" i="4"/>
  <c r="B115" i="4"/>
  <c r="D114" i="4"/>
  <c r="B114" i="4"/>
  <c r="F114" i="4" s="1"/>
  <c r="G114" i="4" s="1"/>
  <c r="D113" i="4"/>
  <c r="B113" i="4"/>
  <c r="D112" i="4"/>
  <c r="C112" i="4"/>
  <c r="B112" i="4"/>
  <c r="D111" i="4"/>
  <c r="B111" i="4"/>
  <c r="D110" i="4"/>
  <c r="B110" i="4"/>
  <c r="F110" i="4" s="1"/>
  <c r="G110" i="4" s="1"/>
  <c r="D109" i="4"/>
  <c r="C109" i="4"/>
  <c r="B109" i="4"/>
  <c r="D108" i="4"/>
  <c r="B108" i="4"/>
  <c r="F108" i="4" s="1"/>
  <c r="G108" i="4" s="1"/>
  <c r="D107" i="4"/>
  <c r="B107" i="4"/>
  <c r="F107" i="4" s="1"/>
  <c r="G107" i="4" s="1"/>
  <c r="D106" i="4"/>
  <c r="C106" i="4"/>
  <c r="B106" i="4"/>
  <c r="F106" i="4" s="1"/>
  <c r="G106" i="4" s="1"/>
  <c r="S106" i="4" s="1"/>
  <c r="H105" i="4"/>
  <c r="I105" i="4" s="1"/>
  <c r="AC105" i="4" s="1"/>
  <c r="D105" i="4"/>
  <c r="C105" i="4"/>
  <c r="B105" i="4"/>
  <c r="D104" i="4"/>
  <c r="H104" i="4" s="1"/>
  <c r="I104" i="4" s="1"/>
  <c r="AC104" i="4" s="1"/>
  <c r="B104" i="4"/>
  <c r="F104" i="4" s="1"/>
  <c r="G104" i="4" s="1"/>
  <c r="M104" i="4" s="1"/>
  <c r="D103" i="4"/>
  <c r="B103" i="4"/>
  <c r="F103" i="4" s="1"/>
  <c r="G103" i="4" s="1"/>
  <c r="D102" i="4"/>
  <c r="C102" i="4"/>
  <c r="B102" i="4"/>
  <c r="F102" i="4" s="1"/>
  <c r="G102" i="4" s="1"/>
  <c r="D101" i="4"/>
  <c r="B101" i="4"/>
  <c r="C101" i="4" s="1"/>
  <c r="D100" i="4"/>
  <c r="B100" i="4"/>
  <c r="C100" i="4" s="1"/>
  <c r="D99" i="4"/>
  <c r="B99" i="4"/>
  <c r="F99" i="4" s="1"/>
  <c r="G99" i="4" s="1"/>
  <c r="R99" i="4" s="1"/>
  <c r="D98" i="4"/>
  <c r="B98" i="4"/>
  <c r="D97" i="4"/>
  <c r="B97" i="4"/>
  <c r="C97" i="4" s="1"/>
  <c r="D96" i="4"/>
  <c r="C96" i="4"/>
  <c r="B96" i="4"/>
  <c r="D95" i="4"/>
  <c r="B95" i="4"/>
  <c r="D94" i="4"/>
  <c r="B94" i="4"/>
  <c r="F94" i="4" s="1"/>
  <c r="G94" i="4" s="1"/>
  <c r="O94" i="4" s="1"/>
  <c r="D93" i="4"/>
  <c r="C93" i="4"/>
  <c r="B93" i="4"/>
  <c r="D92" i="4"/>
  <c r="B92" i="4"/>
  <c r="F92" i="4" s="1"/>
  <c r="G92" i="4" s="1"/>
  <c r="D91" i="4"/>
  <c r="B91" i="4"/>
  <c r="F91" i="4" s="1"/>
  <c r="G91" i="4" s="1"/>
  <c r="R91" i="4" s="1"/>
  <c r="D90" i="4"/>
  <c r="B90" i="4"/>
  <c r="D89" i="4"/>
  <c r="C89" i="4"/>
  <c r="B89" i="4"/>
  <c r="E88" i="4"/>
  <c r="D88" i="4"/>
  <c r="C88" i="4"/>
  <c r="B88" i="4"/>
  <c r="F88" i="4" s="1"/>
  <c r="G88" i="4" s="1"/>
  <c r="D87" i="4"/>
  <c r="B87" i="4"/>
  <c r="D86" i="4"/>
  <c r="B86" i="4"/>
  <c r="F86" i="4" s="1"/>
  <c r="G86" i="4" s="1"/>
  <c r="K86" i="4" s="1"/>
  <c r="D85" i="4"/>
  <c r="H85" i="4" s="1"/>
  <c r="I85" i="4" s="1"/>
  <c r="AC85" i="4" s="1"/>
  <c r="B85" i="4"/>
  <c r="F85" i="4" s="1"/>
  <c r="G85" i="4" s="1"/>
  <c r="E84" i="4"/>
  <c r="D84" i="4"/>
  <c r="H84" i="4" s="1"/>
  <c r="I84" i="4" s="1"/>
  <c r="AC84" i="4" s="1"/>
  <c r="B84" i="4"/>
  <c r="F84" i="4" s="1"/>
  <c r="G84" i="4" s="1"/>
  <c r="D83" i="4"/>
  <c r="B83" i="4"/>
  <c r="C83" i="4" s="1"/>
  <c r="D82" i="4"/>
  <c r="C82" i="4"/>
  <c r="B82" i="4"/>
  <c r="H82" i="4" s="1"/>
  <c r="I82" i="4" s="1"/>
  <c r="AC82" i="4" s="1"/>
  <c r="D81" i="4"/>
  <c r="H81" i="4" s="1"/>
  <c r="I81" i="4" s="1"/>
  <c r="AC81" i="4" s="1"/>
  <c r="B81" i="4"/>
  <c r="F81" i="4" s="1"/>
  <c r="G81" i="4" s="1"/>
  <c r="K81" i="4" s="1"/>
  <c r="D80" i="4"/>
  <c r="B80" i="4"/>
  <c r="F80" i="4" s="1"/>
  <c r="G80" i="4" s="1"/>
  <c r="D79" i="4"/>
  <c r="B79" i="4"/>
  <c r="C79" i="4" s="1"/>
  <c r="D78" i="4"/>
  <c r="C78" i="4"/>
  <c r="B78" i="4"/>
  <c r="D77" i="4"/>
  <c r="B77" i="4"/>
  <c r="F77" i="4" s="1"/>
  <c r="G77" i="4" s="1"/>
  <c r="D76" i="4"/>
  <c r="B76" i="4"/>
  <c r="F76" i="4" s="1"/>
  <c r="G76" i="4" s="1"/>
  <c r="D75" i="4"/>
  <c r="C75" i="4"/>
  <c r="B75" i="4"/>
  <c r="F75" i="4" s="1"/>
  <c r="G75" i="4" s="1"/>
  <c r="P75" i="4" s="1"/>
  <c r="E74" i="4"/>
  <c r="D74" i="4"/>
  <c r="H74" i="4" s="1"/>
  <c r="I74" i="4" s="1"/>
  <c r="AC74" i="4" s="1"/>
  <c r="C74" i="4"/>
  <c r="B74" i="4"/>
  <c r="F74" i="4" s="1"/>
  <c r="G74" i="4" s="1"/>
  <c r="M74" i="4" s="1"/>
  <c r="D73" i="4"/>
  <c r="B73" i="4"/>
  <c r="F73" i="4" s="1"/>
  <c r="G73" i="4" s="1"/>
  <c r="N73" i="4" s="1"/>
  <c r="D72" i="4"/>
  <c r="C72" i="4"/>
  <c r="B72" i="4"/>
  <c r="F72" i="4" s="1"/>
  <c r="G72" i="4" s="1"/>
  <c r="D71" i="4"/>
  <c r="B71" i="4"/>
  <c r="F71" i="4" s="1"/>
  <c r="G71" i="4" s="1"/>
  <c r="D70" i="4"/>
  <c r="H70" i="4" s="1"/>
  <c r="I70" i="4" s="1"/>
  <c r="B70" i="4"/>
  <c r="F70" i="4" s="1"/>
  <c r="G70" i="4" s="1"/>
  <c r="Q70" i="4" s="1"/>
  <c r="D69" i="4"/>
  <c r="B69" i="4"/>
  <c r="D68" i="4"/>
  <c r="B68" i="4"/>
  <c r="D67" i="4"/>
  <c r="H67" i="4" s="1"/>
  <c r="I67" i="4" s="1"/>
  <c r="AC67" i="4" s="1"/>
  <c r="C67" i="4"/>
  <c r="B67" i="4"/>
  <c r="D66" i="4"/>
  <c r="B66" i="4"/>
  <c r="E66" i="4" s="1"/>
  <c r="D65" i="4"/>
  <c r="B65" i="4"/>
  <c r="D64" i="4"/>
  <c r="C64" i="4"/>
  <c r="B64" i="4"/>
  <c r="F64" i="4" s="1"/>
  <c r="G64" i="4" s="1"/>
  <c r="D63" i="4"/>
  <c r="B63" i="4"/>
  <c r="C63" i="4" s="1"/>
  <c r="D62" i="4"/>
  <c r="B62" i="4"/>
  <c r="C62" i="4" s="1"/>
  <c r="D61" i="4"/>
  <c r="B61" i="4"/>
  <c r="F61" i="4" s="1"/>
  <c r="G61" i="4" s="1"/>
  <c r="D60" i="4"/>
  <c r="C60" i="4"/>
  <c r="B60" i="4"/>
  <c r="F60" i="4" s="1"/>
  <c r="G60" i="4" s="1"/>
  <c r="D59" i="4"/>
  <c r="B59" i="4"/>
  <c r="F59" i="4" s="1"/>
  <c r="G59" i="4" s="1"/>
  <c r="P59" i="4" s="1"/>
  <c r="D58" i="4"/>
  <c r="H58" i="4" s="1"/>
  <c r="I58" i="4" s="1"/>
  <c r="AC58" i="4" s="1"/>
  <c r="B58" i="4"/>
  <c r="F58" i="4" s="1"/>
  <c r="G58" i="4" s="1"/>
  <c r="M58" i="4" s="1"/>
  <c r="F57" i="4"/>
  <c r="G57" i="4" s="1"/>
  <c r="N57" i="4" s="1"/>
  <c r="D57" i="4"/>
  <c r="B57" i="4"/>
  <c r="D56" i="4"/>
  <c r="B56" i="4"/>
  <c r="F56" i="4" s="1"/>
  <c r="G56" i="4" s="1"/>
  <c r="D55" i="4"/>
  <c r="C55" i="4"/>
  <c r="B55" i="4"/>
  <c r="F55" i="4" s="1"/>
  <c r="G55" i="4" s="1"/>
  <c r="E54" i="4"/>
  <c r="D54" i="4"/>
  <c r="C54" i="4"/>
  <c r="B54" i="4"/>
  <c r="F54" i="4" s="1"/>
  <c r="G54" i="4" s="1"/>
  <c r="Q54" i="4" s="1"/>
  <c r="D53" i="4"/>
  <c r="B53" i="4"/>
  <c r="D52" i="4"/>
  <c r="B52" i="4"/>
  <c r="D51" i="4"/>
  <c r="H51" i="4" s="1"/>
  <c r="I51" i="4" s="1"/>
  <c r="AC51" i="4" s="1"/>
  <c r="B51" i="4"/>
  <c r="C51" i="4" s="1"/>
  <c r="D50" i="4"/>
  <c r="B50" i="4"/>
  <c r="E50" i="4" s="1"/>
  <c r="D49" i="4"/>
  <c r="B49" i="4"/>
  <c r="F49" i="4" s="1"/>
  <c r="G49" i="4" s="1"/>
  <c r="D48" i="4"/>
  <c r="C48" i="4"/>
  <c r="B48" i="4"/>
  <c r="F48" i="4" s="1"/>
  <c r="G48" i="4" s="1"/>
  <c r="D47" i="4"/>
  <c r="B47" i="4"/>
  <c r="C47" i="4" s="1"/>
  <c r="D46" i="4"/>
  <c r="B46" i="4"/>
  <c r="F46" i="4" s="1"/>
  <c r="G46" i="4" s="1"/>
  <c r="D45" i="4"/>
  <c r="B45" i="4"/>
  <c r="F45" i="4" s="1"/>
  <c r="G45" i="4" s="1"/>
  <c r="J45" i="4" s="1"/>
  <c r="D44" i="4"/>
  <c r="B44" i="4"/>
  <c r="F44" i="4" s="1"/>
  <c r="G44" i="4" s="1"/>
  <c r="K44" i="4" s="1"/>
  <c r="D43" i="4"/>
  <c r="C43" i="4"/>
  <c r="B43" i="4"/>
  <c r="D42" i="4"/>
  <c r="B42" i="4"/>
  <c r="F42" i="4" s="1"/>
  <c r="G42" i="4" s="1"/>
  <c r="M42" i="4" s="1"/>
  <c r="F41" i="4"/>
  <c r="G41" i="4" s="1"/>
  <c r="D41" i="4"/>
  <c r="B41" i="4"/>
  <c r="D40" i="4"/>
  <c r="B40" i="4"/>
  <c r="F40" i="4" s="1"/>
  <c r="G40" i="4" s="1"/>
  <c r="O40" i="4" s="1"/>
  <c r="D39" i="4"/>
  <c r="B39" i="4"/>
  <c r="F39" i="4" s="1"/>
  <c r="G39" i="4" s="1"/>
  <c r="D38" i="4"/>
  <c r="B38" i="4"/>
  <c r="F38" i="4" s="1"/>
  <c r="G38" i="4" s="1"/>
  <c r="Q38" i="4" s="1"/>
  <c r="D37" i="4"/>
  <c r="B37" i="4"/>
  <c r="D36" i="4"/>
  <c r="C36" i="4"/>
  <c r="B36" i="4"/>
  <c r="F36" i="4" s="1"/>
  <c r="G36" i="4" s="1"/>
  <c r="D35" i="4"/>
  <c r="B35" i="4"/>
  <c r="C35" i="4" s="1"/>
  <c r="D34" i="4"/>
  <c r="B34" i="4"/>
  <c r="F34" i="4" s="1"/>
  <c r="G34" i="4" s="1"/>
  <c r="D33" i="4"/>
  <c r="B33" i="4"/>
  <c r="F33" i="4" s="1"/>
  <c r="G33" i="4" s="1"/>
  <c r="D32" i="4"/>
  <c r="C32" i="4"/>
  <c r="B32" i="4"/>
  <c r="F32" i="4" s="1"/>
  <c r="G32" i="4" s="1"/>
  <c r="D31" i="4"/>
  <c r="B31" i="4"/>
  <c r="C31" i="4" s="1"/>
  <c r="D30" i="4"/>
  <c r="H30" i="4" s="1"/>
  <c r="I30" i="4" s="1"/>
  <c r="AC30" i="4" s="1"/>
  <c r="C30" i="4"/>
  <c r="B30" i="4"/>
  <c r="F30" i="4" s="1"/>
  <c r="G30" i="4" s="1"/>
  <c r="D29" i="4"/>
  <c r="B29" i="4"/>
  <c r="F29" i="4" s="1"/>
  <c r="G29" i="4" s="1"/>
  <c r="J29" i="4" s="1"/>
  <c r="D28" i="4"/>
  <c r="C28" i="4"/>
  <c r="B28" i="4"/>
  <c r="F28" i="4" s="1"/>
  <c r="G28" i="4" s="1"/>
  <c r="K28" i="4" s="1"/>
  <c r="H27" i="4"/>
  <c r="I27" i="4" s="1"/>
  <c r="AC27" i="4" s="1"/>
  <c r="D27" i="4"/>
  <c r="B27" i="4"/>
  <c r="F27" i="4" s="1"/>
  <c r="G27" i="4" s="1"/>
  <c r="P27" i="4" s="1"/>
  <c r="D26" i="4"/>
  <c r="B26" i="4"/>
  <c r="F26" i="4" s="1"/>
  <c r="G26" i="4" s="1"/>
  <c r="M26" i="4" s="1"/>
  <c r="D25" i="4"/>
  <c r="B25" i="4"/>
  <c r="F25" i="4" s="1"/>
  <c r="G25" i="4" s="1"/>
  <c r="D24" i="4"/>
  <c r="B24" i="4"/>
  <c r="F24" i="4" s="1"/>
  <c r="G24" i="4" s="1"/>
  <c r="O24" i="4" s="1"/>
  <c r="D23" i="4"/>
  <c r="B23" i="4"/>
  <c r="F23" i="4" s="1"/>
  <c r="G23" i="4" s="1"/>
  <c r="D22" i="4"/>
  <c r="B22" i="4"/>
  <c r="F22" i="4" s="1"/>
  <c r="G22" i="4" s="1"/>
  <c r="Q22" i="4" s="1"/>
  <c r="D21" i="4"/>
  <c r="B21" i="4"/>
  <c r="D20" i="4"/>
  <c r="B20" i="4"/>
  <c r="F20" i="4" s="1"/>
  <c r="G20" i="4" s="1"/>
  <c r="D19" i="4"/>
  <c r="B19" i="4"/>
  <c r="C19" i="4" s="1"/>
  <c r="D18" i="4"/>
  <c r="B18" i="4"/>
  <c r="F18" i="4" s="1"/>
  <c r="G18" i="4" s="1"/>
  <c r="M18" i="4" s="1"/>
  <c r="D17" i="4"/>
  <c r="B17" i="4"/>
  <c r="F17" i="4" s="1"/>
  <c r="G17" i="4" s="1"/>
  <c r="D16" i="4"/>
  <c r="C16" i="4"/>
  <c r="B16" i="4"/>
  <c r="F16" i="4" s="1"/>
  <c r="G16" i="4" s="1"/>
  <c r="D15" i="4"/>
  <c r="B15" i="4"/>
  <c r="C15" i="4" s="1"/>
  <c r="D14" i="4"/>
  <c r="B14" i="4"/>
  <c r="F14" i="4" s="1"/>
  <c r="G14" i="4" s="1"/>
  <c r="F13" i="4"/>
  <c r="G13" i="4" s="1"/>
  <c r="J13" i="4" s="1"/>
  <c r="D13" i="4"/>
  <c r="B13" i="4"/>
  <c r="D12" i="4"/>
  <c r="C12" i="4"/>
  <c r="B12" i="4"/>
  <c r="F12" i="4" s="1"/>
  <c r="G12" i="4" s="1"/>
  <c r="K12" i="4" s="1"/>
  <c r="H11" i="4"/>
  <c r="I11" i="4" s="1"/>
  <c r="AC11" i="4" s="1"/>
  <c r="D11" i="4"/>
  <c r="C11" i="4"/>
  <c r="B11" i="4"/>
  <c r="F11" i="4" s="1"/>
  <c r="G11" i="4" s="1"/>
  <c r="P11" i="4" s="1"/>
  <c r="D10" i="4"/>
  <c r="B10" i="4"/>
  <c r="F10" i="4" s="1"/>
  <c r="G10" i="4" s="1"/>
  <c r="M10" i="4" s="1"/>
  <c r="F9" i="4"/>
  <c r="G9" i="4" s="1"/>
  <c r="N9" i="4" s="1"/>
  <c r="D9" i="4"/>
  <c r="B9" i="4"/>
  <c r="E8" i="4"/>
  <c r="D8" i="4"/>
  <c r="B8" i="4"/>
  <c r="F8" i="4" s="1"/>
  <c r="G8" i="4" s="1"/>
  <c r="D7" i="4"/>
  <c r="B7" i="4"/>
  <c r="C7" i="4" s="1"/>
  <c r="E6" i="4"/>
  <c r="D6" i="4"/>
  <c r="B6" i="4"/>
  <c r="F6" i="4" s="1"/>
  <c r="G6" i="4" s="1"/>
  <c r="D5" i="4"/>
  <c r="B5" i="4"/>
  <c r="H5" i="4" s="1"/>
  <c r="I5" i="4" s="1"/>
  <c r="AC5" i="4" s="1"/>
  <c r="D4" i="4"/>
  <c r="B4" i="4"/>
  <c r="F4" i="4" s="1"/>
  <c r="G4" i="4" s="1"/>
  <c r="D3" i="4"/>
  <c r="B3" i="4"/>
  <c r="H3" i="4" s="1"/>
  <c r="I3" i="4" s="1"/>
  <c r="AC3" i="4" s="1"/>
  <c r="D2" i="4"/>
  <c r="B2" i="4"/>
  <c r="C2" i="4" s="1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B13" i="2"/>
  <c r="C228" i="9" s="1"/>
  <c r="E7" i="2"/>
  <c r="E4" i="2"/>
  <c r="C6" i="1"/>
  <c r="A6" i="1"/>
  <c r="A55" i="9" l="1"/>
  <c r="A91" i="9"/>
  <c r="E107" i="9"/>
  <c r="B146" i="9"/>
  <c r="A192" i="9"/>
  <c r="C212" i="9"/>
  <c r="A7" i="9"/>
  <c r="B38" i="9"/>
  <c r="D60" i="9"/>
  <c r="B78" i="9"/>
  <c r="A95" i="9"/>
  <c r="B114" i="9"/>
  <c r="E131" i="9"/>
  <c r="B150" i="9"/>
  <c r="B173" i="9"/>
  <c r="D197" i="9"/>
  <c r="B218" i="9"/>
  <c r="B74" i="9"/>
  <c r="B167" i="9"/>
  <c r="A19" i="9"/>
  <c r="D44" i="9"/>
  <c r="D64" i="9"/>
  <c r="B82" i="9"/>
  <c r="E99" i="9"/>
  <c r="B118" i="9"/>
  <c r="E135" i="9"/>
  <c r="B154" i="9"/>
  <c r="A179" i="9"/>
  <c r="B202" i="9"/>
  <c r="E223" i="9"/>
  <c r="A31" i="9"/>
  <c r="A127" i="9"/>
  <c r="B26" i="9"/>
  <c r="B50" i="9"/>
  <c r="C69" i="9"/>
  <c r="A87" i="9"/>
  <c r="E103" i="9"/>
  <c r="B122" i="9"/>
  <c r="E139" i="9"/>
  <c r="A159" i="9"/>
  <c r="D184" i="9"/>
  <c r="E207" i="9"/>
  <c r="C4" i="4"/>
  <c r="C18" i="4"/>
  <c r="C23" i="4"/>
  <c r="C24" i="4"/>
  <c r="H39" i="4"/>
  <c r="I39" i="4" s="1"/>
  <c r="AC39" i="4" s="1"/>
  <c r="H50" i="4"/>
  <c r="I50" i="4" s="1"/>
  <c r="AC50" i="4" s="1"/>
  <c r="C56" i="4"/>
  <c r="E58" i="4"/>
  <c r="E70" i="4"/>
  <c r="C92" i="4"/>
  <c r="C108" i="4"/>
  <c r="C114" i="4"/>
  <c r="C128" i="4"/>
  <c r="C129" i="4"/>
  <c r="C130" i="4"/>
  <c r="C158" i="4"/>
  <c r="C181" i="4"/>
  <c r="C189" i="4"/>
  <c r="E211" i="4"/>
  <c r="C221" i="4"/>
  <c r="C6" i="4"/>
  <c r="H7" i="4"/>
  <c r="I7" i="4" s="1"/>
  <c r="AC7" i="4" s="1"/>
  <c r="C14" i="4"/>
  <c r="C20" i="4"/>
  <c r="C27" i="4"/>
  <c r="E83" i="4"/>
  <c r="H92" i="4"/>
  <c r="I92" i="4" s="1"/>
  <c r="AC92" i="4" s="1"/>
  <c r="H108" i="4"/>
  <c r="I108" i="4" s="1"/>
  <c r="AC108" i="4" s="1"/>
  <c r="C118" i="4"/>
  <c r="E120" i="4"/>
  <c r="H128" i="4"/>
  <c r="I128" i="4" s="1"/>
  <c r="AC128" i="4" s="1"/>
  <c r="C140" i="4"/>
  <c r="C152" i="4"/>
  <c r="H153" i="4"/>
  <c r="I153" i="4" s="1"/>
  <c r="AC153" i="4" s="1"/>
  <c r="F163" i="4"/>
  <c r="G163" i="4" s="1"/>
  <c r="C166" i="4"/>
  <c r="E176" i="4"/>
  <c r="H183" i="4"/>
  <c r="I183" i="4" s="1"/>
  <c r="AC183" i="4" s="1"/>
  <c r="H191" i="4"/>
  <c r="I191" i="4" s="1"/>
  <c r="AC191" i="4" s="1"/>
  <c r="C197" i="4"/>
  <c r="C209" i="4"/>
  <c r="H213" i="4"/>
  <c r="I213" i="4" s="1"/>
  <c r="AC213" i="4" s="1"/>
  <c r="F214" i="4"/>
  <c r="G214" i="4" s="1"/>
  <c r="AB214" i="4" s="1"/>
  <c r="E215" i="4"/>
  <c r="C217" i="4"/>
  <c r="H221" i="4"/>
  <c r="I221" i="4" s="1"/>
  <c r="AC221" i="4" s="1"/>
  <c r="L163" i="4"/>
  <c r="H6" i="4"/>
  <c r="I6" i="4" s="1"/>
  <c r="AC6" i="4" s="1"/>
  <c r="H14" i="4"/>
  <c r="I14" i="4" s="1"/>
  <c r="AC14" i="4" s="1"/>
  <c r="H23" i="4"/>
  <c r="I23" i="4" s="1"/>
  <c r="AC23" i="4" s="1"/>
  <c r="C34" i="4"/>
  <c r="C39" i="4"/>
  <c r="C40" i="4"/>
  <c r="C46" i="4"/>
  <c r="H54" i="4"/>
  <c r="I54" i="4" s="1"/>
  <c r="C58" i="4"/>
  <c r="C59" i="4"/>
  <c r="C70" i="4"/>
  <c r="C71" i="4"/>
  <c r="C76" i="4"/>
  <c r="C81" i="4"/>
  <c r="C85" i="4"/>
  <c r="C94" i="4"/>
  <c r="C104" i="4"/>
  <c r="C110" i="4"/>
  <c r="C116" i="4"/>
  <c r="C122" i="4"/>
  <c r="H125" i="4"/>
  <c r="I125" i="4" s="1"/>
  <c r="AC125" i="4" s="1"/>
  <c r="E128" i="4"/>
  <c r="H129" i="4"/>
  <c r="I129" i="4" s="1"/>
  <c r="AC129" i="4" s="1"/>
  <c r="H137" i="4"/>
  <c r="I137" i="4" s="1"/>
  <c r="AC137" i="4" s="1"/>
  <c r="C165" i="4"/>
  <c r="C168" i="4"/>
  <c r="E175" i="4"/>
  <c r="H176" i="4"/>
  <c r="I176" i="4" s="1"/>
  <c r="AC176" i="4" s="1"/>
  <c r="H209" i="4"/>
  <c r="I209" i="4" s="1"/>
  <c r="AC209" i="4" s="1"/>
  <c r="E213" i="4"/>
  <c r="E221" i="4"/>
  <c r="C9" i="9"/>
  <c r="B14" i="9"/>
  <c r="D20" i="9"/>
  <c r="A27" i="9"/>
  <c r="B34" i="9"/>
  <c r="A39" i="9"/>
  <c r="B46" i="9"/>
  <c r="A51" i="9"/>
  <c r="C57" i="9"/>
  <c r="C61" i="9"/>
  <c r="C65" i="9"/>
  <c r="B70" i="9"/>
  <c r="A75" i="9"/>
  <c r="A79" i="9"/>
  <c r="A83" i="9"/>
  <c r="E87" i="9"/>
  <c r="E91" i="9"/>
  <c r="E95" i="9"/>
  <c r="D100" i="9"/>
  <c r="D104" i="9"/>
  <c r="B110" i="9"/>
  <c r="A115" i="9"/>
  <c r="A119" i="9"/>
  <c r="A123" i="9"/>
  <c r="E127" i="9"/>
  <c r="D132" i="9"/>
  <c r="D136" i="9"/>
  <c r="B142" i="9"/>
  <c r="A147" i="9"/>
  <c r="A151" i="9"/>
  <c r="A155" i="9"/>
  <c r="E159" i="9"/>
  <c r="D168" i="9"/>
  <c r="A176" i="9"/>
  <c r="D181" i="9"/>
  <c r="B186" i="9"/>
  <c r="E194" i="9"/>
  <c r="A198" i="9"/>
  <c r="E204" i="9"/>
  <c r="A208" i="9"/>
  <c r="A214" i="9"/>
  <c r="E220" i="9"/>
  <c r="A224" i="9"/>
  <c r="M34" i="4"/>
  <c r="B10" i="9"/>
  <c r="A15" i="9"/>
  <c r="B22" i="9"/>
  <c r="D28" i="9"/>
  <c r="A35" i="9"/>
  <c r="B42" i="9"/>
  <c r="A47" i="9"/>
  <c r="D52" i="9"/>
  <c r="B58" i="9"/>
  <c r="B62" i="9"/>
  <c r="B66" i="9"/>
  <c r="A71" i="9"/>
  <c r="D76" i="9"/>
  <c r="D80" i="9"/>
  <c r="D84" i="9"/>
  <c r="D88" i="9"/>
  <c r="D92" i="9"/>
  <c r="B98" i="9"/>
  <c r="B102" i="9"/>
  <c r="B106" i="9"/>
  <c r="A111" i="9"/>
  <c r="E115" i="9"/>
  <c r="E119" i="9"/>
  <c r="E123" i="9"/>
  <c r="B130" i="9"/>
  <c r="B134" i="9"/>
  <c r="B138" i="9"/>
  <c r="A143" i="9"/>
  <c r="E147" i="9"/>
  <c r="E151" i="9"/>
  <c r="E155" i="9"/>
  <c r="A163" i="9"/>
  <c r="B170" i="9"/>
  <c r="C177" i="9"/>
  <c r="A182" i="9"/>
  <c r="B189" i="9"/>
  <c r="A195" i="9"/>
  <c r="B199" i="9"/>
  <c r="B205" i="9"/>
  <c r="E210" i="9"/>
  <c r="B215" i="9"/>
  <c r="B221" i="9"/>
  <c r="E226" i="9"/>
  <c r="Q30" i="4"/>
  <c r="E6" i="1"/>
  <c r="B6" i="9"/>
  <c r="A11" i="9"/>
  <c r="B18" i="9"/>
  <c r="A23" i="9"/>
  <c r="B30" i="9"/>
  <c r="D36" i="9"/>
  <c r="A43" i="9"/>
  <c r="D48" i="9"/>
  <c r="B54" i="9"/>
  <c r="A59" i="9"/>
  <c r="A63" i="9"/>
  <c r="A67" i="9"/>
  <c r="C73" i="9"/>
  <c r="C77" i="9"/>
  <c r="C81" i="9"/>
  <c r="B86" i="9"/>
  <c r="B90" i="9"/>
  <c r="B94" i="9"/>
  <c r="A99" i="9"/>
  <c r="A103" i="9"/>
  <c r="A107" i="9"/>
  <c r="E111" i="9"/>
  <c r="D116" i="9"/>
  <c r="D120" i="9"/>
  <c r="B126" i="9"/>
  <c r="A131" i="9"/>
  <c r="A135" i="9"/>
  <c r="A139" i="9"/>
  <c r="E143" i="9"/>
  <c r="D148" i="9"/>
  <c r="D152" i="9"/>
  <c r="B158" i="9"/>
  <c r="A166" i="9"/>
  <c r="D171" i="9"/>
  <c r="E178" i="9"/>
  <c r="B183" i="9"/>
  <c r="C190" i="9"/>
  <c r="C196" i="9"/>
  <c r="D200" i="9"/>
  <c r="C206" i="9"/>
  <c r="A211" i="9"/>
  <c r="D216" i="9"/>
  <c r="C222" i="9"/>
  <c r="A227" i="9"/>
  <c r="C53" i="9"/>
  <c r="F98" i="4"/>
  <c r="G98" i="4" s="1"/>
  <c r="K98" i="4" s="1"/>
  <c r="C98" i="4"/>
  <c r="F113" i="4"/>
  <c r="G113" i="4" s="1"/>
  <c r="H113" i="4"/>
  <c r="I113" i="4" s="1"/>
  <c r="AC113" i="4" s="1"/>
  <c r="F126" i="4"/>
  <c r="G126" i="4" s="1"/>
  <c r="O126" i="4" s="1"/>
  <c r="C126" i="4"/>
  <c r="D32" i="9"/>
  <c r="F3" i="4"/>
  <c r="G3" i="4" s="1"/>
  <c r="O3" i="4" s="1"/>
  <c r="C10" i="4"/>
  <c r="S12" i="4"/>
  <c r="R13" i="4"/>
  <c r="E14" i="4"/>
  <c r="C17" i="9" s="1"/>
  <c r="H15" i="4"/>
  <c r="I15" i="4" s="1"/>
  <c r="AC15" i="4" s="1"/>
  <c r="H18" i="4"/>
  <c r="I18" i="4" s="1"/>
  <c r="AC18" i="4" s="1"/>
  <c r="C22" i="4"/>
  <c r="C26" i="4"/>
  <c r="S28" i="4"/>
  <c r="R29" i="4"/>
  <c r="E30" i="4"/>
  <c r="C33" i="9" s="1"/>
  <c r="H31" i="4"/>
  <c r="I31" i="4" s="1"/>
  <c r="AC31" i="4" s="1"/>
  <c r="H34" i="4"/>
  <c r="I34" i="4" s="1"/>
  <c r="AC34" i="4" s="1"/>
  <c r="C38" i="4"/>
  <c r="C42" i="4"/>
  <c r="F43" i="4"/>
  <c r="G43" i="4" s="1"/>
  <c r="P43" i="4" s="1"/>
  <c r="H43" i="4"/>
  <c r="I43" i="4" s="1"/>
  <c r="AC43" i="4" s="1"/>
  <c r="C44" i="4"/>
  <c r="H47" i="4"/>
  <c r="I47" i="4" s="1"/>
  <c r="AC47" i="4" s="1"/>
  <c r="J61" i="4"/>
  <c r="R61" i="4"/>
  <c r="F68" i="4"/>
  <c r="G68" i="4" s="1"/>
  <c r="N68" i="4" s="1"/>
  <c r="C68" i="4"/>
  <c r="K76" i="4"/>
  <c r="S76" i="4"/>
  <c r="C80" i="4"/>
  <c r="F96" i="4"/>
  <c r="G96" i="4" s="1"/>
  <c r="E96" i="4"/>
  <c r="F100" i="4"/>
  <c r="G100" i="4" s="1"/>
  <c r="E100" i="4"/>
  <c r="F112" i="4"/>
  <c r="G112" i="4" s="1"/>
  <c r="E112" i="4"/>
  <c r="C113" i="4"/>
  <c r="F160" i="4"/>
  <c r="G160" i="4" s="1"/>
  <c r="M160" i="4" s="1"/>
  <c r="E160" i="4"/>
  <c r="C160" i="4"/>
  <c r="F173" i="4"/>
  <c r="G173" i="4" s="1"/>
  <c r="N173" i="4" s="1"/>
  <c r="C173" i="4"/>
  <c r="F205" i="4"/>
  <c r="G205" i="4" s="1"/>
  <c r="E205" i="4"/>
  <c r="C205" i="4"/>
  <c r="H207" i="4"/>
  <c r="I207" i="4" s="1"/>
  <c r="AC207" i="4" s="1"/>
  <c r="E207" i="4"/>
  <c r="C207" i="4"/>
  <c r="F101" i="4"/>
  <c r="G101" i="4" s="1"/>
  <c r="H101" i="4"/>
  <c r="I101" i="4" s="1"/>
  <c r="AC101" i="4" s="1"/>
  <c r="F134" i="4"/>
  <c r="G134" i="4" s="1"/>
  <c r="C134" i="4"/>
  <c r="F145" i="4"/>
  <c r="G145" i="4" s="1"/>
  <c r="H145" i="4"/>
  <c r="I145" i="4" s="1"/>
  <c r="AC145" i="4" s="1"/>
  <c r="C145" i="4"/>
  <c r="F150" i="4"/>
  <c r="G150" i="4" s="1"/>
  <c r="J150" i="4" s="1"/>
  <c r="C150" i="4"/>
  <c r="H2" i="4"/>
  <c r="I2" i="4" s="1"/>
  <c r="AC2" i="4" s="1"/>
  <c r="E4" i="4"/>
  <c r="C8" i="4"/>
  <c r="H10" i="4"/>
  <c r="I10" i="4" s="1"/>
  <c r="AC10" i="4" s="1"/>
  <c r="E18" i="4"/>
  <c r="C21" i="9" s="1"/>
  <c r="H19" i="4"/>
  <c r="I19" i="4" s="1"/>
  <c r="AC19" i="4" s="1"/>
  <c r="H22" i="4"/>
  <c r="I22" i="4" s="1"/>
  <c r="AC22" i="4" s="1"/>
  <c r="H26" i="4"/>
  <c r="I26" i="4" s="1"/>
  <c r="AC26" i="4" s="1"/>
  <c r="E34" i="4"/>
  <c r="C37" i="9" s="1"/>
  <c r="H35" i="4"/>
  <c r="I35" i="4" s="1"/>
  <c r="AC35" i="4" s="1"/>
  <c r="H38" i="4"/>
  <c r="I38" i="4" s="1"/>
  <c r="AC38" i="4" s="1"/>
  <c r="H42" i="4"/>
  <c r="I42" i="4" s="1"/>
  <c r="AC42" i="4" s="1"/>
  <c r="R45" i="4"/>
  <c r="E46" i="4"/>
  <c r="C49" i="9" s="1"/>
  <c r="F52" i="4"/>
  <c r="G52" i="4" s="1"/>
  <c r="J52" i="4" s="1"/>
  <c r="C52" i="4"/>
  <c r="K60" i="4"/>
  <c r="S60" i="4"/>
  <c r="F66" i="4"/>
  <c r="G66" i="4" s="1"/>
  <c r="M66" i="4" s="1"/>
  <c r="C66" i="4"/>
  <c r="F78" i="4"/>
  <c r="G78" i="4" s="1"/>
  <c r="L78" i="4" s="1"/>
  <c r="E78" i="4"/>
  <c r="F89" i="4"/>
  <c r="G89" i="4" s="1"/>
  <c r="S89" i="4" s="1"/>
  <c r="H89" i="4"/>
  <c r="I89" i="4" s="1"/>
  <c r="AC89" i="4" s="1"/>
  <c r="F90" i="4"/>
  <c r="G90" i="4" s="1"/>
  <c r="Q90" i="4" s="1"/>
  <c r="C90" i="4"/>
  <c r="F124" i="4"/>
  <c r="G124" i="4" s="1"/>
  <c r="AB124" i="4" s="1"/>
  <c r="C124" i="4"/>
  <c r="F133" i="4"/>
  <c r="G133" i="4" s="1"/>
  <c r="S133" i="4" s="1"/>
  <c r="H133" i="4"/>
  <c r="I133" i="4" s="1"/>
  <c r="AC133" i="4" s="1"/>
  <c r="C133" i="4"/>
  <c r="F144" i="4"/>
  <c r="G144" i="4" s="1"/>
  <c r="E144" i="4"/>
  <c r="C144" i="4"/>
  <c r="F146" i="4"/>
  <c r="G146" i="4" s="1"/>
  <c r="N146" i="4" s="1"/>
  <c r="C146" i="4"/>
  <c r="H223" i="4"/>
  <c r="I223" i="4" s="1"/>
  <c r="AC223" i="4" s="1"/>
  <c r="E223" i="4"/>
  <c r="C223" i="4"/>
  <c r="J77" i="4"/>
  <c r="R77" i="4"/>
  <c r="F97" i="4"/>
  <c r="G97" i="4" s="1"/>
  <c r="P97" i="4" s="1"/>
  <c r="H97" i="4"/>
  <c r="I97" i="4" s="1"/>
  <c r="AC97" i="4" s="1"/>
  <c r="E10" i="4"/>
  <c r="E22" i="4"/>
  <c r="C25" i="9" s="1"/>
  <c r="E26" i="4"/>
  <c r="C29" i="9" s="1"/>
  <c r="E38" i="4"/>
  <c r="C41" i="9" s="1"/>
  <c r="E42" i="4"/>
  <c r="C45" i="9" s="1"/>
  <c r="S44" i="4"/>
  <c r="F50" i="4"/>
  <c r="G50" i="4" s="1"/>
  <c r="M50" i="4" s="1"/>
  <c r="C50" i="4"/>
  <c r="F62" i="4"/>
  <c r="G62" i="4" s="1"/>
  <c r="E62" i="4"/>
  <c r="F132" i="4"/>
  <c r="G132" i="4" s="1"/>
  <c r="L132" i="4" s="1"/>
  <c r="C132" i="4"/>
  <c r="F161" i="4"/>
  <c r="G161" i="4" s="1"/>
  <c r="P161" i="4" s="1"/>
  <c r="H161" i="4"/>
  <c r="I161" i="4" s="1"/>
  <c r="AC161" i="4" s="1"/>
  <c r="C161" i="4"/>
  <c r="H203" i="4"/>
  <c r="I203" i="4" s="1"/>
  <c r="AC203" i="4" s="1"/>
  <c r="E203" i="4"/>
  <c r="C203" i="4"/>
  <c r="H206" i="4"/>
  <c r="I206" i="4" s="1"/>
  <c r="AC206" i="4" s="1"/>
  <c r="F206" i="4"/>
  <c r="G206" i="4" s="1"/>
  <c r="AB206" i="4" s="1"/>
  <c r="H46" i="4"/>
  <c r="I46" i="4" s="1"/>
  <c r="AC46" i="4" s="1"/>
  <c r="H55" i="4"/>
  <c r="I55" i="4" s="1"/>
  <c r="AC55" i="4" s="1"/>
  <c r="H59" i="4"/>
  <c r="I59" i="4" s="1"/>
  <c r="AC59" i="4" s="1"/>
  <c r="H62" i="4"/>
  <c r="I62" i="4" s="1"/>
  <c r="AC62" i="4" s="1"/>
  <c r="H71" i="4"/>
  <c r="I71" i="4" s="1"/>
  <c r="AC71" i="4" s="1"/>
  <c r="H75" i="4"/>
  <c r="I75" i="4" s="1"/>
  <c r="AC75" i="4" s="1"/>
  <c r="H78" i="4"/>
  <c r="I78" i="4" s="1"/>
  <c r="AC78" i="4" s="1"/>
  <c r="H88" i="4"/>
  <c r="I88" i="4" s="1"/>
  <c r="AC88" i="4" s="1"/>
  <c r="E92" i="4"/>
  <c r="H93" i="4"/>
  <c r="I93" i="4" s="1"/>
  <c r="AC93" i="4" s="1"/>
  <c r="H96" i="4"/>
  <c r="I96" i="4" s="1"/>
  <c r="AC96" i="4" s="1"/>
  <c r="H100" i="4"/>
  <c r="I100" i="4" s="1"/>
  <c r="AC100" i="4" s="1"/>
  <c r="E104" i="4"/>
  <c r="E108" i="4"/>
  <c r="H109" i="4"/>
  <c r="I109" i="4" s="1"/>
  <c r="AC109" i="4" s="1"/>
  <c r="H112" i="4"/>
  <c r="I112" i="4" s="1"/>
  <c r="AC112" i="4" s="1"/>
  <c r="H117" i="4"/>
  <c r="I117" i="4" s="1"/>
  <c r="AC117" i="4" s="1"/>
  <c r="H136" i="4"/>
  <c r="I136" i="4" s="1"/>
  <c r="AC136" i="4" s="1"/>
  <c r="H140" i="4"/>
  <c r="I140" i="4" s="1"/>
  <c r="AC140" i="4" s="1"/>
  <c r="H148" i="4"/>
  <c r="I148" i="4" s="1"/>
  <c r="AC148" i="4" s="1"/>
  <c r="H152" i="4"/>
  <c r="I152" i="4" s="1"/>
  <c r="AC152" i="4" s="1"/>
  <c r="H156" i="4"/>
  <c r="I156" i="4" s="1"/>
  <c r="AC156" i="4" s="1"/>
  <c r="H164" i="4"/>
  <c r="I164" i="4" s="1"/>
  <c r="AC164" i="4" s="1"/>
  <c r="H165" i="4"/>
  <c r="I165" i="4" s="1"/>
  <c r="AC165" i="4" s="1"/>
  <c r="E167" i="4"/>
  <c r="E182" i="4"/>
  <c r="E183" i="4"/>
  <c r="E187" i="4"/>
  <c r="E191" i="4"/>
  <c r="H196" i="4"/>
  <c r="I196" i="4" s="1"/>
  <c r="AC196" i="4" s="1"/>
  <c r="H197" i="4"/>
  <c r="I197" i="4" s="1"/>
  <c r="AC197" i="4" s="1"/>
  <c r="F198" i="4"/>
  <c r="G198" i="4" s="1"/>
  <c r="AB198" i="4" s="1"/>
  <c r="H217" i="4"/>
  <c r="I217" i="4" s="1"/>
  <c r="AC217" i="4" s="1"/>
  <c r="H224" i="4"/>
  <c r="I224" i="4" s="1"/>
  <c r="AC224" i="4" s="1"/>
  <c r="H63" i="4"/>
  <c r="I63" i="4" s="1"/>
  <c r="AC63" i="4" s="1"/>
  <c r="H66" i="4"/>
  <c r="I66" i="4" s="1"/>
  <c r="AC66" i="4" s="1"/>
  <c r="H79" i="4"/>
  <c r="I79" i="4" s="1"/>
  <c r="AC79" i="4" s="1"/>
  <c r="C84" i="4"/>
  <c r="H124" i="4"/>
  <c r="I124" i="4" s="1"/>
  <c r="AC124" i="4" s="1"/>
  <c r="H132" i="4"/>
  <c r="I132" i="4" s="1"/>
  <c r="AC132" i="4" s="1"/>
  <c r="E136" i="4"/>
  <c r="C138" i="4"/>
  <c r="E140" i="4"/>
  <c r="H141" i="4"/>
  <c r="I141" i="4" s="1"/>
  <c r="AC141" i="4" s="1"/>
  <c r="H144" i="4"/>
  <c r="I144" i="4" s="1"/>
  <c r="AC144" i="4" s="1"/>
  <c r="E148" i="4"/>
  <c r="H149" i="4"/>
  <c r="I149" i="4" s="1"/>
  <c r="AC149" i="4" s="1"/>
  <c r="E152" i="4"/>
  <c r="C154" i="4"/>
  <c r="E156" i="4"/>
  <c r="H157" i="4"/>
  <c r="I157" i="4" s="1"/>
  <c r="AC157" i="4" s="1"/>
  <c r="H160" i="4"/>
  <c r="I160" i="4" s="1"/>
  <c r="AC160" i="4" s="1"/>
  <c r="C162" i="4"/>
  <c r="C164" i="4"/>
  <c r="C176" i="4"/>
  <c r="C177" i="4"/>
  <c r="C195" i="4"/>
  <c r="E197" i="4"/>
  <c r="E199" i="4"/>
  <c r="C201" i="4"/>
  <c r="H204" i="4"/>
  <c r="I204" i="4" s="1"/>
  <c r="AC204" i="4" s="1"/>
  <c r="H205" i="4"/>
  <c r="I205" i="4" s="1"/>
  <c r="C211" i="4"/>
  <c r="C213" i="4"/>
  <c r="C215" i="4"/>
  <c r="E217" i="4"/>
  <c r="N52" i="4"/>
  <c r="AB52" i="4"/>
  <c r="S52" i="4"/>
  <c r="R68" i="4"/>
  <c r="M68" i="4"/>
  <c r="O68" i="4"/>
  <c r="R84" i="4"/>
  <c r="N84" i="4"/>
  <c r="J84" i="4"/>
  <c r="P84" i="4"/>
  <c r="K84" i="4"/>
  <c r="O84" i="4"/>
  <c r="S84" i="4"/>
  <c r="M84" i="4"/>
  <c r="AB84" i="4"/>
  <c r="Q84" i="4"/>
  <c r="L84" i="4"/>
  <c r="R36" i="4"/>
  <c r="N36" i="4"/>
  <c r="J36" i="4"/>
  <c r="Q36" i="4"/>
  <c r="M36" i="4"/>
  <c r="AB36" i="4"/>
  <c r="P36" i="4"/>
  <c r="L36" i="4"/>
  <c r="O36" i="4"/>
  <c r="K36" i="4"/>
  <c r="S36" i="4"/>
  <c r="R8" i="4"/>
  <c r="N8" i="4"/>
  <c r="J8" i="4"/>
  <c r="Q8" i="4"/>
  <c r="M8" i="4"/>
  <c r="AB8" i="4"/>
  <c r="P8" i="4"/>
  <c r="L8" i="4"/>
  <c r="S8" i="4"/>
  <c r="K8" i="4"/>
  <c r="O8" i="4"/>
  <c r="Q17" i="4"/>
  <c r="M17" i="4"/>
  <c r="AB17" i="4"/>
  <c r="P17" i="4"/>
  <c r="L17" i="4"/>
  <c r="S17" i="4"/>
  <c r="O17" i="4"/>
  <c r="K17" i="4"/>
  <c r="J17" i="4"/>
  <c r="R17" i="4"/>
  <c r="N17" i="4"/>
  <c r="Q33" i="4"/>
  <c r="M33" i="4"/>
  <c r="AB33" i="4"/>
  <c r="P33" i="4"/>
  <c r="L33" i="4"/>
  <c r="S33" i="4"/>
  <c r="O33" i="4"/>
  <c r="K33" i="4"/>
  <c r="J33" i="4"/>
  <c r="R33" i="4"/>
  <c r="N33" i="4"/>
  <c r="Q49" i="4"/>
  <c r="M49" i="4"/>
  <c r="AB49" i="4"/>
  <c r="P49" i="4"/>
  <c r="L49" i="4"/>
  <c r="S49" i="4"/>
  <c r="O49" i="4"/>
  <c r="K49" i="4"/>
  <c r="J49" i="4"/>
  <c r="R49" i="4"/>
  <c r="N49" i="4"/>
  <c r="R4" i="4"/>
  <c r="N4" i="4"/>
  <c r="J4" i="4"/>
  <c r="AB4" i="4"/>
  <c r="P4" i="4"/>
  <c r="L4" i="4"/>
  <c r="S4" i="4"/>
  <c r="K4" i="4"/>
  <c r="O4" i="4"/>
  <c r="Q4" i="4"/>
  <c r="M4" i="4"/>
  <c r="R20" i="4"/>
  <c r="N20" i="4"/>
  <c r="J20" i="4"/>
  <c r="Q20" i="4"/>
  <c r="M20" i="4"/>
  <c r="AB20" i="4"/>
  <c r="P20" i="4"/>
  <c r="L20" i="4"/>
  <c r="O20" i="4"/>
  <c r="K20" i="4"/>
  <c r="S20" i="4"/>
  <c r="AB6" i="4"/>
  <c r="P6" i="4"/>
  <c r="L6" i="4"/>
  <c r="R6" i="4"/>
  <c r="N6" i="4"/>
  <c r="J6" i="4"/>
  <c r="M6" i="4"/>
  <c r="Q6" i="4"/>
  <c r="S6" i="4"/>
  <c r="K6" i="4"/>
  <c r="O6" i="4"/>
  <c r="R16" i="4"/>
  <c r="N16" i="4"/>
  <c r="J16" i="4"/>
  <c r="Q16" i="4"/>
  <c r="M16" i="4"/>
  <c r="AB16" i="4"/>
  <c r="P16" i="4"/>
  <c r="L16" i="4"/>
  <c r="K16" i="4"/>
  <c r="S16" i="4"/>
  <c r="O16" i="4"/>
  <c r="R32" i="4"/>
  <c r="N32" i="4"/>
  <c r="J32" i="4"/>
  <c r="Q32" i="4"/>
  <c r="M32" i="4"/>
  <c r="AB32" i="4"/>
  <c r="P32" i="4"/>
  <c r="L32" i="4"/>
  <c r="K32" i="4"/>
  <c r="S32" i="4"/>
  <c r="O32" i="4"/>
  <c r="R48" i="4"/>
  <c r="N48" i="4"/>
  <c r="J48" i="4"/>
  <c r="Q48" i="4"/>
  <c r="M48" i="4"/>
  <c r="AB48" i="4"/>
  <c r="P48" i="4"/>
  <c r="L48" i="4"/>
  <c r="K48" i="4"/>
  <c r="S48" i="4"/>
  <c r="O48" i="4"/>
  <c r="AC54" i="4"/>
  <c r="R64" i="4"/>
  <c r="N64" i="4"/>
  <c r="J64" i="4"/>
  <c r="Q64" i="4"/>
  <c r="M64" i="4"/>
  <c r="AB64" i="4"/>
  <c r="P64" i="4"/>
  <c r="L64" i="4"/>
  <c r="K64" i="4"/>
  <c r="S64" i="4"/>
  <c r="O64" i="4"/>
  <c r="AC70" i="4"/>
  <c r="AB80" i="4"/>
  <c r="R80" i="4"/>
  <c r="N80" i="4"/>
  <c r="J80" i="4"/>
  <c r="Q80" i="4"/>
  <c r="M80" i="4"/>
  <c r="P80" i="4"/>
  <c r="L80" i="4"/>
  <c r="K80" i="4"/>
  <c r="S80" i="4"/>
  <c r="O80" i="4"/>
  <c r="M3" i="4"/>
  <c r="AB14" i="4"/>
  <c r="P14" i="4"/>
  <c r="L14" i="4"/>
  <c r="S14" i="4"/>
  <c r="O14" i="4"/>
  <c r="K14" i="4"/>
  <c r="R14" i="4"/>
  <c r="V14" i="4" s="1"/>
  <c r="N14" i="4"/>
  <c r="J14" i="4"/>
  <c r="Q25" i="4"/>
  <c r="M25" i="4"/>
  <c r="AB25" i="4"/>
  <c r="P25" i="4"/>
  <c r="L25" i="4"/>
  <c r="S25" i="4"/>
  <c r="O25" i="4"/>
  <c r="K25" i="4"/>
  <c r="AB39" i="4"/>
  <c r="Q41" i="4"/>
  <c r="M41" i="4"/>
  <c r="AB41" i="4"/>
  <c r="P41" i="4"/>
  <c r="L41" i="4"/>
  <c r="S41" i="4"/>
  <c r="O41" i="4"/>
  <c r="K41" i="4"/>
  <c r="AB46" i="4"/>
  <c r="P46" i="4"/>
  <c r="L46" i="4"/>
  <c r="S46" i="4"/>
  <c r="O46" i="4"/>
  <c r="K46" i="4"/>
  <c r="R46" i="4"/>
  <c r="N46" i="4"/>
  <c r="J46" i="4"/>
  <c r="L55" i="4"/>
  <c r="AB55" i="4"/>
  <c r="R56" i="4"/>
  <c r="N56" i="4"/>
  <c r="J56" i="4"/>
  <c r="Q56" i="4"/>
  <c r="M56" i="4"/>
  <c r="AB56" i="4"/>
  <c r="P56" i="4"/>
  <c r="L56" i="4"/>
  <c r="AB62" i="4"/>
  <c r="P62" i="4"/>
  <c r="L62" i="4"/>
  <c r="S62" i="4"/>
  <c r="O62" i="4"/>
  <c r="K62" i="4"/>
  <c r="R62" i="4"/>
  <c r="N62" i="4"/>
  <c r="J62" i="4"/>
  <c r="E65" i="4"/>
  <c r="H65" i="4"/>
  <c r="I65" i="4" s="1"/>
  <c r="AC65" i="4" s="1"/>
  <c r="C65" i="4"/>
  <c r="S71" i="4"/>
  <c r="O71" i="4"/>
  <c r="K71" i="4"/>
  <c r="R71" i="4"/>
  <c r="N71" i="4"/>
  <c r="J71" i="4"/>
  <c r="Q71" i="4"/>
  <c r="M71" i="4"/>
  <c r="L71" i="4"/>
  <c r="AB71" i="4"/>
  <c r="R72" i="4"/>
  <c r="N72" i="4"/>
  <c r="J72" i="4"/>
  <c r="Q72" i="4"/>
  <c r="M72" i="4"/>
  <c r="AB72" i="4"/>
  <c r="P72" i="4"/>
  <c r="L72" i="4"/>
  <c r="P78" i="4"/>
  <c r="K78" i="4"/>
  <c r="Q85" i="4"/>
  <c r="M85" i="4"/>
  <c r="S85" i="4"/>
  <c r="N85" i="4"/>
  <c r="AB85" i="4"/>
  <c r="R85" i="4"/>
  <c r="L85" i="4"/>
  <c r="P85" i="4"/>
  <c r="K85" i="4"/>
  <c r="W85" i="4" s="1"/>
  <c r="S101" i="4"/>
  <c r="O101" i="4"/>
  <c r="K101" i="4"/>
  <c r="R101" i="4"/>
  <c r="N101" i="4"/>
  <c r="J101" i="4"/>
  <c r="Q101" i="4"/>
  <c r="M101" i="4"/>
  <c r="P101" i="4"/>
  <c r="L101" i="4"/>
  <c r="R110" i="4"/>
  <c r="N110" i="4"/>
  <c r="J110" i="4"/>
  <c r="Q110" i="4"/>
  <c r="M110" i="4"/>
  <c r="AB110" i="4"/>
  <c r="P110" i="4"/>
  <c r="L110" i="4"/>
  <c r="K110" i="4"/>
  <c r="S110" i="4"/>
  <c r="R122" i="4"/>
  <c r="N122" i="4"/>
  <c r="J122" i="4"/>
  <c r="Q122" i="4"/>
  <c r="M122" i="4"/>
  <c r="AB122" i="4"/>
  <c r="P122" i="4"/>
  <c r="L122" i="4"/>
  <c r="O122" i="4"/>
  <c r="K122" i="4"/>
  <c r="AB140" i="4"/>
  <c r="P140" i="4"/>
  <c r="L140" i="4"/>
  <c r="S140" i="4"/>
  <c r="O140" i="4"/>
  <c r="K140" i="4"/>
  <c r="R140" i="4"/>
  <c r="N140" i="4"/>
  <c r="J140" i="4"/>
  <c r="Q140" i="4"/>
  <c r="M140" i="4"/>
  <c r="Q163" i="4"/>
  <c r="A5" i="9"/>
  <c r="E5" i="9"/>
  <c r="C7" i="9"/>
  <c r="B8" i="9"/>
  <c r="A9" i="9"/>
  <c r="E9" i="9"/>
  <c r="C11" i="9"/>
  <c r="B12" i="9"/>
  <c r="A13" i="9"/>
  <c r="D14" i="9"/>
  <c r="B16" i="9"/>
  <c r="A17" i="9"/>
  <c r="E17" i="9"/>
  <c r="B20" i="9"/>
  <c r="A21" i="9"/>
  <c r="E21" i="9"/>
  <c r="B24" i="9"/>
  <c r="A25" i="9"/>
  <c r="E25" i="9"/>
  <c r="D26" i="9"/>
  <c r="B28" i="9"/>
  <c r="A29" i="9"/>
  <c r="E29" i="9"/>
  <c r="D30" i="9"/>
  <c r="B32" i="9"/>
  <c r="A33" i="9"/>
  <c r="E33" i="9"/>
  <c r="B36" i="9"/>
  <c r="A37" i="9"/>
  <c r="E37" i="9"/>
  <c r="B40" i="9"/>
  <c r="A41" i="9"/>
  <c r="E41" i="9"/>
  <c r="D42" i="9"/>
  <c r="B44" i="9"/>
  <c r="A45" i="9"/>
  <c r="E45" i="9"/>
  <c r="D46" i="9"/>
  <c r="B48" i="9"/>
  <c r="A49" i="9"/>
  <c r="E49" i="9"/>
  <c r="B52" i="9"/>
  <c r="A53" i="9"/>
  <c r="E53" i="9"/>
  <c r="B56" i="9"/>
  <c r="A57" i="9"/>
  <c r="E57" i="9"/>
  <c r="D58" i="9"/>
  <c r="B60" i="9"/>
  <c r="A61" i="9"/>
  <c r="E61" i="9"/>
  <c r="D62" i="9"/>
  <c r="B64" i="9"/>
  <c r="A65" i="9"/>
  <c r="E65" i="9"/>
  <c r="B68" i="9"/>
  <c r="A69" i="9"/>
  <c r="E69" i="9"/>
  <c r="B72" i="9"/>
  <c r="A73" i="9"/>
  <c r="E73" i="9"/>
  <c r="D74" i="9"/>
  <c r="B76" i="9"/>
  <c r="A77" i="9"/>
  <c r="E77" i="9"/>
  <c r="D78" i="9"/>
  <c r="B80" i="9"/>
  <c r="A81" i="9"/>
  <c r="E81" i="9"/>
  <c r="B84" i="9"/>
  <c r="A85" i="9"/>
  <c r="E85" i="9"/>
  <c r="C87" i="9"/>
  <c r="B88" i="9"/>
  <c r="A89" i="9"/>
  <c r="D90" i="9"/>
  <c r="C91" i="9"/>
  <c r="B92" i="9"/>
  <c r="A93" i="9"/>
  <c r="D94" i="9"/>
  <c r="C95" i="9"/>
  <c r="B96" i="9"/>
  <c r="A97" i="9"/>
  <c r="C99" i="9"/>
  <c r="B100" i="9"/>
  <c r="A101" i="9"/>
  <c r="D102" i="9"/>
  <c r="C103" i="9"/>
  <c r="B104" i="9"/>
  <c r="A105" i="9"/>
  <c r="D106" i="9"/>
  <c r="C107" i="9"/>
  <c r="B108" i="9"/>
  <c r="A109" i="9"/>
  <c r="D110" i="9"/>
  <c r="C111" i="9"/>
  <c r="B112" i="9"/>
  <c r="A113" i="9"/>
  <c r="C115" i="9"/>
  <c r="B116" i="9"/>
  <c r="A117" i="9"/>
  <c r="D118" i="9"/>
  <c r="C119" i="9"/>
  <c r="B120" i="9"/>
  <c r="A121" i="9"/>
  <c r="D122" i="9"/>
  <c r="C123" i="9"/>
  <c r="B124" i="9"/>
  <c r="A125" i="9"/>
  <c r="D126" i="9"/>
  <c r="C127" i="9"/>
  <c r="B128" i="9"/>
  <c r="A129" i="9"/>
  <c r="C131" i="9"/>
  <c r="B132" i="9"/>
  <c r="A133" i="9"/>
  <c r="D134" i="9"/>
  <c r="C135" i="9"/>
  <c r="B136" i="9"/>
  <c r="A137" i="9"/>
  <c r="D138" i="9"/>
  <c r="C139" i="9"/>
  <c r="B140" i="9"/>
  <c r="A141" i="9"/>
  <c r="D142" i="9"/>
  <c r="C143" i="9"/>
  <c r="B144" i="9"/>
  <c r="A145" i="9"/>
  <c r="C147" i="9"/>
  <c r="B148" i="9"/>
  <c r="A149" i="9"/>
  <c r="D150" i="9"/>
  <c r="C151" i="9"/>
  <c r="B152" i="9"/>
  <c r="A153" i="9"/>
  <c r="D154" i="9"/>
  <c r="C155" i="9"/>
  <c r="B156" i="9"/>
  <c r="A157" i="9"/>
  <c r="D158" i="9"/>
  <c r="C159" i="9"/>
  <c r="B160" i="9"/>
  <c r="A161" i="9"/>
  <c r="B162" i="9"/>
  <c r="D163" i="9"/>
  <c r="E164" i="9"/>
  <c r="B165" i="9"/>
  <c r="C166" i="9"/>
  <c r="E167" i="9"/>
  <c r="A168" i="9"/>
  <c r="A171" i="9"/>
  <c r="D173" i="9"/>
  <c r="A174" i="9"/>
  <c r="B175" i="9"/>
  <c r="D176" i="9"/>
  <c r="B178" i="9"/>
  <c r="D179" i="9"/>
  <c r="B181" i="9"/>
  <c r="A184" i="9"/>
  <c r="C185" i="9"/>
  <c r="E186" i="9"/>
  <c r="A187" i="9"/>
  <c r="A190" i="9"/>
  <c r="B191" i="9"/>
  <c r="D192" i="9"/>
  <c r="B194" i="9"/>
  <c r="E196" i="9"/>
  <c r="B197" i="9"/>
  <c r="E199" i="9"/>
  <c r="A200" i="9"/>
  <c r="E202" i="9"/>
  <c r="A203" i="9"/>
  <c r="C204" i="9"/>
  <c r="A206" i="9"/>
  <c r="B207" i="9"/>
  <c r="D208" i="9"/>
  <c r="B210" i="9"/>
  <c r="E212" i="9"/>
  <c r="B213" i="9"/>
  <c r="C214" i="9"/>
  <c r="E215" i="9"/>
  <c r="A216" i="9"/>
  <c r="E218" i="9"/>
  <c r="A219" i="9"/>
  <c r="C220" i="9"/>
  <c r="A222" i="9"/>
  <c r="B223" i="9"/>
  <c r="D224" i="9"/>
  <c r="B226" i="9"/>
  <c r="E228" i="9"/>
  <c r="F2" i="4"/>
  <c r="G2" i="4" s="1"/>
  <c r="C3" i="4"/>
  <c r="E3" i="4"/>
  <c r="E9" i="4"/>
  <c r="H9" i="4"/>
  <c r="I9" i="4" s="1"/>
  <c r="AC9" i="4" s="1"/>
  <c r="C9" i="4"/>
  <c r="Q14" i="4"/>
  <c r="F15" i="4"/>
  <c r="G15" i="4" s="1"/>
  <c r="AB22" i="4"/>
  <c r="P22" i="4"/>
  <c r="L22" i="4"/>
  <c r="S22" i="4"/>
  <c r="O22" i="4"/>
  <c r="K22" i="4"/>
  <c r="R22" i="4"/>
  <c r="N22" i="4"/>
  <c r="J22" i="4"/>
  <c r="E25" i="4"/>
  <c r="H25" i="4"/>
  <c r="I25" i="4" s="1"/>
  <c r="AC25" i="4" s="1"/>
  <c r="C25" i="4"/>
  <c r="N25" i="4"/>
  <c r="F31" i="4"/>
  <c r="G31" i="4" s="1"/>
  <c r="D12" i="9" s="1"/>
  <c r="AB38" i="4"/>
  <c r="P38" i="4"/>
  <c r="L38" i="4"/>
  <c r="S38" i="4"/>
  <c r="O38" i="4"/>
  <c r="K38" i="4"/>
  <c r="R38" i="4"/>
  <c r="N38" i="4"/>
  <c r="J38" i="4"/>
  <c r="E41" i="4"/>
  <c r="H41" i="4"/>
  <c r="I41" i="4" s="1"/>
  <c r="AC41" i="4" s="1"/>
  <c r="C41" i="4"/>
  <c r="N41" i="4"/>
  <c r="Q46" i="4"/>
  <c r="F47" i="4"/>
  <c r="G47" i="4" s="1"/>
  <c r="D50" i="9" s="1"/>
  <c r="AB54" i="4"/>
  <c r="P54" i="4"/>
  <c r="L54" i="4"/>
  <c r="S54" i="4"/>
  <c r="O54" i="4"/>
  <c r="K54" i="4"/>
  <c r="R54" i="4"/>
  <c r="N54" i="4"/>
  <c r="J54" i="4"/>
  <c r="V54" i="4" s="1"/>
  <c r="O56" i="4"/>
  <c r="E57" i="4"/>
  <c r="H57" i="4"/>
  <c r="I57" i="4" s="1"/>
  <c r="AC57" i="4" s="1"/>
  <c r="C57" i="4"/>
  <c r="Q62" i="4"/>
  <c r="F63" i="4"/>
  <c r="G63" i="4" s="1"/>
  <c r="F65" i="4"/>
  <c r="G65" i="4" s="1"/>
  <c r="AB70" i="4"/>
  <c r="P70" i="4"/>
  <c r="L70" i="4"/>
  <c r="S70" i="4"/>
  <c r="O70" i="4"/>
  <c r="K70" i="4"/>
  <c r="R70" i="4"/>
  <c r="N70" i="4"/>
  <c r="J70" i="4"/>
  <c r="O72" i="4"/>
  <c r="E73" i="4"/>
  <c r="H73" i="4"/>
  <c r="I73" i="4" s="1"/>
  <c r="C73" i="4"/>
  <c r="F79" i="4"/>
  <c r="G79" i="4" s="1"/>
  <c r="D82" i="9" s="1"/>
  <c r="F87" i="4"/>
  <c r="G87" i="4" s="1"/>
  <c r="J90" i="4"/>
  <c r="P90" i="4"/>
  <c r="Q91" i="4"/>
  <c r="M91" i="4"/>
  <c r="AB91" i="4"/>
  <c r="P91" i="4"/>
  <c r="L91" i="4"/>
  <c r="S91" i="4"/>
  <c r="O91" i="4"/>
  <c r="K91" i="4"/>
  <c r="N91" i="4"/>
  <c r="J91" i="4"/>
  <c r="AB108" i="4"/>
  <c r="P108" i="4"/>
  <c r="L108" i="4"/>
  <c r="S108" i="4"/>
  <c r="O108" i="4"/>
  <c r="K108" i="4"/>
  <c r="R108" i="4"/>
  <c r="N108" i="4"/>
  <c r="J108" i="4"/>
  <c r="Q108" i="4"/>
  <c r="M108" i="4"/>
  <c r="R114" i="4"/>
  <c r="N114" i="4"/>
  <c r="J114" i="4"/>
  <c r="Q114" i="4"/>
  <c r="M114" i="4"/>
  <c r="AB114" i="4"/>
  <c r="P114" i="4"/>
  <c r="L114" i="4"/>
  <c r="S114" i="4"/>
  <c r="O114" i="4"/>
  <c r="J115" i="4"/>
  <c r="R118" i="4"/>
  <c r="N118" i="4"/>
  <c r="J118" i="4"/>
  <c r="Q118" i="4"/>
  <c r="M118" i="4"/>
  <c r="AB118" i="4"/>
  <c r="P118" i="4"/>
  <c r="L118" i="4"/>
  <c r="S118" i="4"/>
  <c r="O118" i="4"/>
  <c r="K118" i="4"/>
  <c r="Q119" i="4"/>
  <c r="M119" i="4"/>
  <c r="AB119" i="4"/>
  <c r="P119" i="4"/>
  <c r="L119" i="4"/>
  <c r="S119" i="4"/>
  <c r="O119" i="4"/>
  <c r="K119" i="4"/>
  <c r="R119" i="4"/>
  <c r="N119" i="4"/>
  <c r="J119" i="4"/>
  <c r="P129" i="4"/>
  <c r="K130" i="4"/>
  <c r="R131" i="4"/>
  <c r="R133" i="4"/>
  <c r="M133" i="4"/>
  <c r="M136" i="4"/>
  <c r="R142" i="4"/>
  <c r="N142" i="4"/>
  <c r="J142" i="4"/>
  <c r="Q142" i="4"/>
  <c r="M142" i="4"/>
  <c r="AB142" i="4"/>
  <c r="P142" i="4"/>
  <c r="L142" i="4"/>
  <c r="K142" i="4"/>
  <c r="S142" i="4"/>
  <c r="E143" i="4"/>
  <c r="H143" i="4"/>
  <c r="I143" i="4" s="1"/>
  <c r="AC143" i="4" s="1"/>
  <c r="C143" i="4"/>
  <c r="F143" i="4"/>
  <c r="G143" i="4" s="1"/>
  <c r="D146" i="9" s="1"/>
  <c r="Q148" i="4"/>
  <c r="R154" i="4"/>
  <c r="N154" i="4"/>
  <c r="J154" i="4"/>
  <c r="Q154" i="4"/>
  <c r="M154" i="4"/>
  <c r="AB154" i="4"/>
  <c r="P154" i="4"/>
  <c r="L154" i="4"/>
  <c r="O154" i="4"/>
  <c r="K154" i="4"/>
  <c r="Q155" i="4"/>
  <c r="M155" i="4"/>
  <c r="AB155" i="4"/>
  <c r="P155" i="4"/>
  <c r="L155" i="4"/>
  <c r="S155" i="4"/>
  <c r="O155" i="4"/>
  <c r="K155" i="4"/>
  <c r="N155" i="4"/>
  <c r="J155" i="4"/>
  <c r="O158" i="4"/>
  <c r="R176" i="4"/>
  <c r="N176" i="4"/>
  <c r="J176" i="4"/>
  <c r="Q176" i="4"/>
  <c r="M176" i="4"/>
  <c r="O176" i="4"/>
  <c r="AB176" i="4"/>
  <c r="L176" i="4"/>
  <c r="S176" i="4"/>
  <c r="K176" i="4"/>
  <c r="P176" i="4"/>
  <c r="AB178" i="4"/>
  <c r="P178" i="4"/>
  <c r="L178" i="4"/>
  <c r="S178" i="4"/>
  <c r="O178" i="4"/>
  <c r="K178" i="4"/>
  <c r="Q178" i="4"/>
  <c r="N178" i="4"/>
  <c r="M178" i="4"/>
  <c r="R178" i="4"/>
  <c r="J178" i="4"/>
  <c r="E180" i="4"/>
  <c r="H180" i="4"/>
  <c r="I180" i="4" s="1"/>
  <c r="AC180" i="4" s="1"/>
  <c r="AC205" i="4"/>
  <c r="Q9" i="4"/>
  <c r="M9" i="4"/>
  <c r="AB9" i="4"/>
  <c r="P9" i="4"/>
  <c r="L9" i="4"/>
  <c r="S9" i="4"/>
  <c r="O9" i="4"/>
  <c r="K9" i="4"/>
  <c r="E17" i="4"/>
  <c r="H17" i="4"/>
  <c r="I17" i="4" s="1"/>
  <c r="C17" i="4"/>
  <c r="S23" i="4"/>
  <c r="O23" i="4"/>
  <c r="K23" i="4"/>
  <c r="R23" i="4"/>
  <c r="N23" i="4"/>
  <c r="J23" i="4"/>
  <c r="Q23" i="4"/>
  <c r="M23" i="4"/>
  <c r="L23" i="4"/>
  <c r="AB23" i="4"/>
  <c r="R24" i="4"/>
  <c r="N24" i="4"/>
  <c r="J24" i="4"/>
  <c r="Q24" i="4"/>
  <c r="M24" i="4"/>
  <c r="AB24" i="4"/>
  <c r="P24" i="4"/>
  <c r="L24" i="4"/>
  <c r="AB30" i="4"/>
  <c r="P30" i="4"/>
  <c r="L30" i="4"/>
  <c r="S30" i="4"/>
  <c r="O30" i="4"/>
  <c r="K30" i="4"/>
  <c r="R30" i="4"/>
  <c r="N30" i="4"/>
  <c r="J30" i="4"/>
  <c r="E33" i="4"/>
  <c r="H33" i="4"/>
  <c r="I33" i="4" s="1"/>
  <c r="C33" i="4"/>
  <c r="S39" i="4"/>
  <c r="O39" i="4"/>
  <c r="K39" i="4"/>
  <c r="R39" i="4"/>
  <c r="N39" i="4"/>
  <c r="J39" i="4"/>
  <c r="Q39" i="4"/>
  <c r="M39" i="4"/>
  <c r="L39" i="4"/>
  <c r="R40" i="4"/>
  <c r="N40" i="4"/>
  <c r="J40" i="4"/>
  <c r="Q40" i="4"/>
  <c r="M40" i="4"/>
  <c r="AB40" i="4"/>
  <c r="P40" i="4"/>
  <c r="L40" i="4"/>
  <c r="E49" i="4"/>
  <c r="H49" i="4"/>
  <c r="I49" i="4" s="1"/>
  <c r="E52" i="9" s="1"/>
  <c r="C49" i="4"/>
  <c r="S55" i="4"/>
  <c r="O55" i="4"/>
  <c r="K55" i="4"/>
  <c r="R55" i="4"/>
  <c r="N55" i="4"/>
  <c r="J55" i="4"/>
  <c r="Q55" i="4"/>
  <c r="M55" i="4"/>
  <c r="Q57" i="4"/>
  <c r="M57" i="4"/>
  <c r="AB57" i="4"/>
  <c r="P57" i="4"/>
  <c r="L57" i="4"/>
  <c r="S57" i="4"/>
  <c r="O57" i="4"/>
  <c r="K57" i="4"/>
  <c r="Q73" i="4"/>
  <c r="M73" i="4"/>
  <c r="AB73" i="4"/>
  <c r="P73" i="4"/>
  <c r="L73" i="4"/>
  <c r="S73" i="4"/>
  <c r="O73" i="4"/>
  <c r="W73" i="4" s="1"/>
  <c r="K73" i="4"/>
  <c r="O85" i="4"/>
  <c r="E111" i="4"/>
  <c r="H111" i="4"/>
  <c r="I111" i="4" s="1"/>
  <c r="AC111" i="4" s="1"/>
  <c r="C111" i="4"/>
  <c r="F111" i="4"/>
  <c r="G111" i="4" s="1"/>
  <c r="Q123" i="4"/>
  <c r="M123" i="4"/>
  <c r="AB123" i="4"/>
  <c r="P123" i="4"/>
  <c r="L123" i="4"/>
  <c r="S123" i="4"/>
  <c r="O123" i="4"/>
  <c r="K123" i="4"/>
  <c r="N123" i="4"/>
  <c r="J123" i="4"/>
  <c r="R146" i="4"/>
  <c r="M146" i="4"/>
  <c r="S146" i="4"/>
  <c r="O150" i="4"/>
  <c r="Q151" i="4"/>
  <c r="M151" i="4"/>
  <c r="AB151" i="4"/>
  <c r="P151" i="4"/>
  <c r="L151" i="4"/>
  <c r="S151" i="4"/>
  <c r="O151" i="4"/>
  <c r="K151" i="4"/>
  <c r="R151" i="4"/>
  <c r="N151" i="4"/>
  <c r="J151" i="4"/>
  <c r="Q165" i="4"/>
  <c r="M165" i="4"/>
  <c r="O165" i="4"/>
  <c r="J165" i="4"/>
  <c r="S165" i="4"/>
  <c r="N165" i="4"/>
  <c r="AB165" i="4"/>
  <c r="R165" i="4"/>
  <c r="L165" i="4"/>
  <c r="P165" i="4"/>
  <c r="K165" i="4"/>
  <c r="R189" i="4"/>
  <c r="N189" i="4"/>
  <c r="J189" i="4"/>
  <c r="Q189" i="4"/>
  <c r="M189" i="4"/>
  <c r="AB189" i="4"/>
  <c r="P189" i="4"/>
  <c r="L189" i="4"/>
  <c r="K189" i="4"/>
  <c r="S189" i="4"/>
  <c r="O189" i="4"/>
  <c r="C6" i="11"/>
  <c r="P194" i="4"/>
  <c r="N212" i="4"/>
  <c r="K194" i="4"/>
  <c r="M148" i="4"/>
  <c r="Q144" i="4"/>
  <c r="M132" i="4"/>
  <c r="Q128" i="4"/>
  <c r="M116" i="4"/>
  <c r="Q112" i="4"/>
  <c r="M100" i="4"/>
  <c r="Q96" i="4"/>
  <c r="P214" i="4"/>
  <c r="O185" i="4"/>
  <c r="M144" i="4"/>
  <c r="M128" i="4"/>
  <c r="M112" i="4"/>
  <c r="M96" i="4"/>
  <c r="N196" i="4"/>
  <c r="S193" i="4"/>
  <c r="B228" i="9"/>
  <c r="A225" i="9"/>
  <c r="B224" i="9"/>
  <c r="A221" i="9"/>
  <c r="B220" i="9"/>
  <c r="E217" i="9"/>
  <c r="A217" i="9"/>
  <c r="B216" i="9"/>
  <c r="E213" i="9"/>
  <c r="A213" i="9"/>
  <c r="B212" i="9"/>
  <c r="E209" i="9"/>
  <c r="A209" i="9"/>
  <c r="B208" i="9"/>
  <c r="A205" i="9"/>
  <c r="B204" i="9"/>
  <c r="E201" i="9"/>
  <c r="A201" i="9"/>
  <c r="B200" i="9"/>
  <c r="A197" i="9"/>
  <c r="B196" i="9"/>
  <c r="A193" i="9"/>
  <c r="B192" i="9"/>
  <c r="A189" i="9"/>
  <c r="B188" i="9"/>
  <c r="A185" i="9"/>
  <c r="B184" i="9"/>
  <c r="C183" i="9"/>
  <c r="A181" i="9"/>
  <c r="B180" i="9"/>
  <c r="C179" i="9"/>
  <c r="A177" i="9"/>
  <c r="B176" i="9"/>
  <c r="A173" i="9"/>
  <c r="B172" i="9"/>
  <c r="C171" i="9"/>
  <c r="E169" i="9"/>
  <c r="A169" i="9"/>
  <c r="B168" i="9"/>
  <c r="C167" i="9"/>
  <c r="D166" i="9"/>
  <c r="E165" i="9"/>
  <c r="A165" i="9"/>
  <c r="B164" i="9"/>
  <c r="C163" i="9"/>
  <c r="D5" i="9"/>
  <c r="C6" i="9"/>
  <c r="B7" i="9"/>
  <c r="A8" i="9"/>
  <c r="E8" i="9"/>
  <c r="D9" i="9"/>
  <c r="B11" i="9"/>
  <c r="A12" i="9"/>
  <c r="E12" i="9"/>
  <c r="D13" i="9"/>
  <c r="B15" i="9"/>
  <c r="A16" i="9"/>
  <c r="D17" i="9"/>
  <c r="B19" i="9"/>
  <c r="A20" i="9"/>
  <c r="E20" i="9"/>
  <c r="D21" i="9"/>
  <c r="B23" i="9"/>
  <c r="A24" i="9"/>
  <c r="D25" i="9"/>
  <c r="B27" i="9"/>
  <c r="A28" i="9"/>
  <c r="D29" i="9"/>
  <c r="B31" i="9"/>
  <c r="A32" i="9"/>
  <c r="D33" i="9"/>
  <c r="B35" i="9"/>
  <c r="A36" i="9"/>
  <c r="D37" i="9"/>
  <c r="B39" i="9"/>
  <c r="A40" i="9"/>
  <c r="D41" i="9"/>
  <c r="B43" i="9"/>
  <c r="A44" i="9"/>
  <c r="E44" i="9"/>
  <c r="D45" i="9"/>
  <c r="B47" i="9"/>
  <c r="A48" i="9"/>
  <c r="D49" i="9"/>
  <c r="B51" i="9"/>
  <c r="A52" i="9"/>
  <c r="B55" i="9"/>
  <c r="A56" i="9"/>
  <c r="D57" i="9"/>
  <c r="B59" i="9"/>
  <c r="A60" i="9"/>
  <c r="D61" i="9"/>
  <c r="B63" i="9"/>
  <c r="A64" i="9"/>
  <c r="D65" i="9"/>
  <c r="B67" i="9"/>
  <c r="A68" i="9"/>
  <c r="E68" i="9"/>
  <c r="D69" i="9"/>
  <c r="B71" i="9"/>
  <c r="A72" i="9"/>
  <c r="E72" i="9"/>
  <c r="D73" i="9"/>
  <c r="B75" i="9"/>
  <c r="A76" i="9"/>
  <c r="E76" i="9"/>
  <c r="D77" i="9"/>
  <c r="B79" i="9"/>
  <c r="A80" i="9"/>
  <c r="D81" i="9"/>
  <c r="B83" i="9"/>
  <c r="A84" i="9"/>
  <c r="E84" i="9"/>
  <c r="C86" i="9"/>
  <c r="B87" i="9"/>
  <c r="A88" i="9"/>
  <c r="E88" i="9"/>
  <c r="D89" i="9"/>
  <c r="B91" i="9"/>
  <c r="A92" i="9"/>
  <c r="E92" i="9"/>
  <c r="D93" i="9"/>
  <c r="B95" i="9"/>
  <c r="A96" i="9"/>
  <c r="E96" i="9"/>
  <c r="D97" i="9"/>
  <c r="B99" i="9"/>
  <c r="A100" i="9"/>
  <c r="E100" i="9"/>
  <c r="D101" i="9"/>
  <c r="B103" i="9"/>
  <c r="A104" i="9"/>
  <c r="E104" i="9"/>
  <c r="D105" i="9"/>
  <c r="B107" i="9"/>
  <c r="A108" i="9"/>
  <c r="E108" i="9"/>
  <c r="D109" i="9"/>
  <c r="C110" i="9"/>
  <c r="B111" i="9"/>
  <c r="A112" i="9"/>
  <c r="E112" i="9"/>
  <c r="D113" i="9"/>
  <c r="C114" i="9"/>
  <c r="B115" i="9"/>
  <c r="A116" i="9"/>
  <c r="E116" i="9"/>
  <c r="D117" i="9"/>
  <c r="B119" i="9"/>
  <c r="A120" i="9"/>
  <c r="E120" i="9"/>
  <c r="D121" i="9"/>
  <c r="B123" i="9"/>
  <c r="A124" i="9"/>
  <c r="E124" i="9"/>
  <c r="D125" i="9"/>
  <c r="B127" i="9"/>
  <c r="A128" i="9"/>
  <c r="E128" i="9"/>
  <c r="D129" i="9"/>
  <c r="B131" i="9"/>
  <c r="A132" i="9"/>
  <c r="E132" i="9"/>
  <c r="D133" i="9"/>
  <c r="B135" i="9"/>
  <c r="A136" i="9"/>
  <c r="E136" i="9"/>
  <c r="D137" i="9"/>
  <c r="B139" i="9"/>
  <c r="A140" i="9"/>
  <c r="E140" i="9"/>
  <c r="D141" i="9"/>
  <c r="C142" i="9"/>
  <c r="B143" i="9"/>
  <c r="A144" i="9"/>
  <c r="E144" i="9"/>
  <c r="D145" i="9"/>
  <c r="C146" i="9"/>
  <c r="B147" i="9"/>
  <c r="A148" i="9"/>
  <c r="E148" i="9"/>
  <c r="D149" i="9"/>
  <c r="B151" i="9"/>
  <c r="A152" i="9"/>
  <c r="E152" i="9"/>
  <c r="D153" i="9"/>
  <c r="B155" i="9"/>
  <c r="A156" i="9"/>
  <c r="E156" i="9"/>
  <c r="D157" i="9"/>
  <c r="B159" i="9"/>
  <c r="A160" i="9"/>
  <c r="E160" i="9"/>
  <c r="D161" i="9"/>
  <c r="A162" i="9"/>
  <c r="B163" i="9"/>
  <c r="D164" i="9"/>
  <c r="B166" i="9"/>
  <c r="D167" i="9"/>
  <c r="E168" i="9"/>
  <c r="B169" i="9"/>
  <c r="C170" i="9"/>
  <c r="E171" i="9"/>
  <c r="A172" i="9"/>
  <c r="E174" i="9"/>
  <c r="A175" i="9"/>
  <c r="D177" i="9"/>
  <c r="A178" i="9"/>
  <c r="B179" i="9"/>
  <c r="D180" i="9"/>
  <c r="B182" i="9"/>
  <c r="B185" i="9"/>
  <c r="C186" i="9"/>
  <c r="A188" i="9"/>
  <c r="E190" i="9"/>
  <c r="A191" i="9"/>
  <c r="A194" i="9"/>
  <c r="B195" i="9"/>
  <c r="D196" i="9"/>
  <c r="B198" i="9"/>
  <c r="D199" i="9"/>
  <c r="E200" i="9"/>
  <c r="B201" i="9"/>
  <c r="C202" i="9"/>
  <c r="A204" i="9"/>
  <c r="E206" i="9"/>
  <c r="A207" i="9"/>
  <c r="C208" i="9"/>
  <c r="D209" i="9"/>
  <c r="A210" i="9"/>
  <c r="B211" i="9"/>
  <c r="D212" i="9"/>
  <c r="B214" i="9"/>
  <c r="D215" i="9"/>
  <c r="E216" i="9"/>
  <c r="B217" i="9"/>
  <c r="C218" i="9"/>
  <c r="A220" i="9"/>
  <c r="E222" i="9"/>
  <c r="A223" i="9"/>
  <c r="C224" i="9"/>
  <c r="A226" i="9"/>
  <c r="B227" i="9"/>
  <c r="D228" i="9"/>
  <c r="E2" i="4"/>
  <c r="C5" i="9" s="1"/>
  <c r="E5" i="4"/>
  <c r="C8" i="9" s="1"/>
  <c r="C5" i="4"/>
  <c r="J9" i="4"/>
  <c r="Q10" i="4"/>
  <c r="S11" i="4"/>
  <c r="O11" i="4"/>
  <c r="K11" i="4"/>
  <c r="R11" i="4"/>
  <c r="N11" i="4"/>
  <c r="J11" i="4"/>
  <c r="Q11" i="4"/>
  <c r="M11" i="4"/>
  <c r="W11" i="4" s="1"/>
  <c r="L11" i="4"/>
  <c r="AB11" i="4"/>
  <c r="R12" i="4"/>
  <c r="N12" i="4"/>
  <c r="J12" i="4"/>
  <c r="Q12" i="4"/>
  <c r="M12" i="4"/>
  <c r="AB12" i="4"/>
  <c r="P12" i="4"/>
  <c r="L12" i="4"/>
  <c r="Q13" i="4"/>
  <c r="M13" i="4"/>
  <c r="AB13" i="4"/>
  <c r="P13" i="4"/>
  <c r="L13" i="4"/>
  <c r="S13" i="4"/>
  <c r="O13" i="4"/>
  <c r="K13" i="4"/>
  <c r="M14" i="4"/>
  <c r="AB18" i="4"/>
  <c r="P18" i="4"/>
  <c r="L18" i="4"/>
  <c r="S18" i="4"/>
  <c r="O18" i="4"/>
  <c r="K18" i="4"/>
  <c r="R18" i="4"/>
  <c r="N18" i="4"/>
  <c r="J18" i="4"/>
  <c r="E21" i="4"/>
  <c r="H21" i="4"/>
  <c r="I21" i="4" s="1"/>
  <c r="AC21" i="4" s="1"/>
  <c r="C21" i="4"/>
  <c r="P23" i="4"/>
  <c r="K24" i="4"/>
  <c r="J25" i="4"/>
  <c r="Q26" i="4"/>
  <c r="W27" i="4"/>
  <c r="S27" i="4"/>
  <c r="O27" i="4"/>
  <c r="K27" i="4"/>
  <c r="V27" i="4"/>
  <c r="R27" i="4"/>
  <c r="N27" i="4"/>
  <c r="J27" i="4"/>
  <c r="U27" i="4"/>
  <c r="Q27" i="4"/>
  <c r="M27" i="4"/>
  <c r="L27" i="4"/>
  <c r="AB27" i="4"/>
  <c r="R28" i="4"/>
  <c r="N28" i="4"/>
  <c r="J28" i="4"/>
  <c r="Q28" i="4"/>
  <c r="M28" i="4"/>
  <c r="AB28" i="4"/>
  <c r="P28" i="4"/>
  <c r="L28" i="4"/>
  <c r="Q29" i="4"/>
  <c r="M29" i="4"/>
  <c r="AB29" i="4"/>
  <c r="P29" i="4"/>
  <c r="L29" i="4"/>
  <c r="S29" i="4"/>
  <c r="O29" i="4"/>
  <c r="K29" i="4"/>
  <c r="M30" i="4"/>
  <c r="AB34" i="4"/>
  <c r="P34" i="4"/>
  <c r="L34" i="4"/>
  <c r="S34" i="4"/>
  <c r="O34" i="4"/>
  <c r="K34" i="4"/>
  <c r="R34" i="4"/>
  <c r="N34" i="4"/>
  <c r="J34" i="4"/>
  <c r="E37" i="4"/>
  <c r="C40" i="9" s="1"/>
  <c r="H37" i="4"/>
  <c r="I37" i="4" s="1"/>
  <c r="AC37" i="4" s="1"/>
  <c r="C37" i="4"/>
  <c r="P39" i="4"/>
  <c r="K40" i="4"/>
  <c r="J41" i="4"/>
  <c r="Q42" i="4"/>
  <c r="R44" i="4"/>
  <c r="N44" i="4"/>
  <c r="J44" i="4"/>
  <c r="Q44" i="4"/>
  <c r="M44" i="4"/>
  <c r="AB44" i="4"/>
  <c r="P44" i="4"/>
  <c r="L44" i="4"/>
  <c r="Q45" i="4"/>
  <c r="M45" i="4"/>
  <c r="AB45" i="4"/>
  <c r="P45" i="4"/>
  <c r="L45" i="4"/>
  <c r="S45" i="4"/>
  <c r="O45" i="4"/>
  <c r="K45" i="4"/>
  <c r="M46" i="4"/>
  <c r="U46" i="4" s="1"/>
  <c r="S50" i="4"/>
  <c r="N50" i="4"/>
  <c r="E53" i="4"/>
  <c r="H53" i="4"/>
  <c r="I53" i="4" s="1"/>
  <c r="AC53" i="4" s="1"/>
  <c r="C53" i="4"/>
  <c r="P55" i="4"/>
  <c r="K56" i="4"/>
  <c r="J57" i="4"/>
  <c r="Q58" i="4"/>
  <c r="S59" i="4"/>
  <c r="O59" i="4"/>
  <c r="K59" i="4"/>
  <c r="R59" i="4"/>
  <c r="N59" i="4"/>
  <c r="J59" i="4"/>
  <c r="T59" i="4" s="1"/>
  <c r="X59" i="4" s="1"/>
  <c r="Q59" i="4"/>
  <c r="M59" i="4"/>
  <c r="L59" i="4"/>
  <c r="AB59" i="4"/>
  <c r="R60" i="4"/>
  <c r="N60" i="4"/>
  <c r="J60" i="4"/>
  <c r="Q60" i="4"/>
  <c r="M60" i="4"/>
  <c r="AB60" i="4"/>
  <c r="P60" i="4"/>
  <c r="L60" i="4"/>
  <c r="Q61" i="4"/>
  <c r="M61" i="4"/>
  <c r="AB61" i="4"/>
  <c r="P61" i="4"/>
  <c r="L61" i="4"/>
  <c r="S61" i="4"/>
  <c r="O61" i="4"/>
  <c r="K61" i="4"/>
  <c r="M62" i="4"/>
  <c r="AB66" i="4"/>
  <c r="O66" i="4"/>
  <c r="J66" i="4"/>
  <c r="E69" i="4"/>
  <c r="H69" i="4"/>
  <c r="I69" i="4" s="1"/>
  <c r="AC69" i="4" s="1"/>
  <c r="C69" i="4"/>
  <c r="P71" i="4"/>
  <c r="K72" i="4"/>
  <c r="J73" i="4"/>
  <c r="Q74" i="4"/>
  <c r="S75" i="4"/>
  <c r="O75" i="4"/>
  <c r="K75" i="4"/>
  <c r="R75" i="4"/>
  <c r="N75" i="4"/>
  <c r="J75" i="4"/>
  <c r="Q75" i="4"/>
  <c r="M75" i="4"/>
  <c r="L75" i="4"/>
  <c r="AB75" i="4"/>
  <c r="R76" i="4"/>
  <c r="N76" i="4"/>
  <c r="J76" i="4"/>
  <c r="Q76" i="4"/>
  <c r="M76" i="4"/>
  <c r="AB76" i="4"/>
  <c r="P76" i="4"/>
  <c r="L76" i="4"/>
  <c r="Q77" i="4"/>
  <c r="M77" i="4"/>
  <c r="AB77" i="4"/>
  <c r="P77" i="4"/>
  <c r="L77" i="4"/>
  <c r="S77" i="4"/>
  <c r="O77" i="4"/>
  <c r="K77" i="4"/>
  <c r="P81" i="4"/>
  <c r="AB86" i="4"/>
  <c r="P86" i="4"/>
  <c r="L86" i="4"/>
  <c r="O86" i="4"/>
  <c r="J86" i="4"/>
  <c r="S86" i="4"/>
  <c r="N86" i="4"/>
  <c r="R86" i="4"/>
  <c r="M86" i="4"/>
  <c r="Q88" i="4"/>
  <c r="AB92" i="4"/>
  <c r="P92" i="4"/>
  <c r="L92" i="4"/>
  <c r="S92" i="4"/>
  <c r="O92" i="4"/>
  <c r="K92" i="4"/>
  <c r="R92" i="4"/>
  <c r="N92" i="4"/>
  <c r="J92" i="4"/>
  <c r="V92" i="4" s="1"/>
  <c r="Q92" i="4"/>
  <c r="M92" i="4"/>
  <c r="R98" i="4"/>
  <c r="N98" i="4"/>
  <c r="J98" i="4"/>
  <c r="Q98" i="4"/>
  <c r="M98" i="4"/>
  <c r="AB98" i="4"/>
  <c r="P98" i="4"/>
  <c r="L98" i="4"/>
  <c r="S98" i="4"/>
  <c r="O98" i="4"/>
  <c r="J99" i="4"/>
  <c r="AB101" i="4"/>
  <c r="R102" i="4"/>
  <c r="N102" i="4"/>
  <c r="J102" i="4"/>
  <c r="Q102" i="4"/>
  <c r="M102" i="4"/>
  <c r="AB102" i="4"/>
  <c r="P102" i="4"/>
  <c r="L102" i="4"/>
  <c r="S102" i="4"/>
  <c r="O102" i="4"/>
  <c r="K102" i="4"/>
  <c r="Q103" i="4"/>
  <c r="M103" i="4"/>
  <c r="AB103" i="4"/>
  <c r="P103" i="4"/>
  <c r="L103" i="4"/>
  <c r="S103" i="4"/>
  <c r="O103" i="4"/>
  <c r="K103" i="4"/>
  <c r="R103" i="4"/>
  <c r="N103" i="4"/>
  <c r="J103" i="4"/>
  <c r="R107" i="4"/>
  <c r="P113" i="4"/>
  <c r="K114" i="4"/>
  <c r="R115" i="4"/>
  <c r="S117" i="4"/>
  <c r="O117" i="4"/>
  <c r="K117" i="4"/>
  <c r="R117" i="4"/>
  <c r="N117" i="4"/>
  <c r="J117" i="4"/>
  <c r="Q117" i="4"/>
  <c r="M117" i="4"/>
  <c r="P117" i="4"/>
  <c r="L117" i="4"/>
  <c r="M120" i="4"/>
  <c r="R126" i="4"/>
  <c r="N126" i="4"/>
  <c r="J126" i="4"/>
  <c r="Q126" i="4"/>
  <c r="M126" i="4"/>
  <c r="AB126" i="4"/>
  <c r="P126" i="4"/>
  <c r="L126" i="4"/>
  <c r="K126" i="4"/>
  <c r="S126" i="4"/>
  <c r="E127" i="4"/>
  <c r="C130" i="9" s="1"/>
  <c r="H127" i="4"/>
  <c r="I127" i="4" s="1"/>
  <c r="AC127" i="4" s="1"/>
  <c r="C127" i="4"/>
  <c r="F127" i="4"/>
  <c r="G127" i="4" s="1"/>
  <c r="Q132" i="4"/>
  <c r="R138" i="4"/>
  <c r="N138" i="4"/>
  <c r="J138" i="4"/>
  <c r="Q138" i="4"/>
  <c r="M138" i="4"/>
  <c r="AB138" i="4"/>
  <c r="P138" i="4"/>
  <c r="L138" i="4"/>
  <c r="O138" i="4"/>
  <c r="K138" i="4"/>
  <c r="Q139" i="4"/>
  <c r="M139" i="4"/>
  <c r="AB139" i="4"/>
  <c r="P139" i="4"/>
  <c r="L139" i="4"/>
  <c r="S139" i="4"/>
  <c r="O139" i="4"/>
  <c r="K139" i="4"/>
  <c r="N139" i="4"/>
  <c r="J139" i="4"/>
  <c r="O142" i="4"/>
  <c r="S154" i="4"/>
  <c r="AB156" i="4"/>
  <c r="P156" i="4"/>
  <c r="L156" i="4"/>
  <c r="S156" i="4"/>
  <c r="O156" i="4"/>
  <c r="K156" i="4"/>
  <c r="R156" i="4"/>
  <c r="N156" i="4"/>
  <c r="J156" i="4"/>
  <c r="Q156" i="4"/>
  <c r="M156" i="4"/>
  <c r="C8" i="11"/>
  <c r="A29" i="7"/>
  <c r="A26" i="7"/>
  <c r="A23" i="7"/>
  <c r="A22" i="7"/>
  <c r="A19" i="7"/>
  <c r="A18" i="7"/>
  <c r="A17" i="7"/>
  <c r="A16" i="7"/>
  <c r="A13" i="7"/>
  <c r="A12" i="7"/>
  <c r="A11" i="7"/>
  <c r="A10" i="7"/>
  <c r="A9" i="7"/>
  <c r="A8" i="7"/>
  <c r="A7" i="7"/>
  <c r="A6" i="7"/>
  <c r="E5" i="2"/>
  <c r="B5" i="9"/>
  <c r="A6" i="9"/>
  <c r="E6" i="9"/>
  <c r="D7" i="9"/>
  <c r="B9" i="9"/>
  <c r="A10" i="9"/>
  <c r="E10" i="9"/>
  <c r="D11" i="9"/>
  <c r="B13" i="9"/>
  <c r="A14" i="9"/>
  <c r="E14" i="9"/>
  <c r="D15" i="9"/>
  <c r="B17" i="9"/>
  <c r="A18" i="9"/>
  <c r="E18" i="9"/>
  <c r="D19" i="9"/>
  <c r="C20" i="9"/>
  <c r="B21" i="9"/>
  <c r="A22" i="9"/>
  <c r="D23" i="9"/>
  <c r="C24" i="9"/>
  <c r="B25" i="9"/>
  <c r="A26" i="9"/>
  <c r="E26" i="9"/>
  <c r="D27" i="9"/>
  <c r="C28" i="9"/>
  <c r="B29" i="9"/>
  <c r="A30" i="9"/>
  <c r="E30" i="9"/>
  <c r="D31" i="9"/>
  <c r="B33" i="9"/>
  <c r="A34" i="9"/>
  <c r="D35" i="9"/>
  <c r="C36" i="9"/>
  <c r="B37" i="9"/>
  <c r="A38" i="9"/>
  <c r="E38" i="9"/>
  <c r="D39" i="9"/>
  <c r="B41" i="9"/>
  <c r="A42" i="9"/>
  <c r="E42" i="9"/>
  <c r="D43" i="9"/>
  <c r="C44" i="9"/>
  <c r="B45" i="9"/>
  <c r="A46" i="9"/>
  <c r="E46" i="9"/>
  <c r="D47" i="9"/>
  <c r="B49" i="9"/>
  <c r="A50" i="9"/>
  <c r="E50" i="9"/>
  <c r="D51" i="9"/>
  <c r="C52" i="9"/>
  <c r="B53" i="9"/>
  <c r="A54" i="9"/>
  <c r="E54" i="9"/>
  <c r="D55" i="9"/>
  <c r="C56" i="9"/>
  <c r="B57" i="9"/>
  <c r="A58" i="9"/>
  <c r="E58" i="9"/>
  <c r="D59" i="9"/>
  <c r="C60" i="9"/>
  <c r="B61" i="9"/>
  <c r="A62" i="9"/>
  <c r="E62" i="9"/>
  <c r="D63" i="9"/>
  <c r="B65" i="9"/>
  <c r="A66" i="9"/>
  <c r="E66" i="9"/>
  <c r="D67" i="9"/>
  <c r="C68" i="9"/>
  <c r="B69" i="9"/>
  <c r="A70" i="9"/>
  <c r="E70" i="9"/>
  <c r="D71" i="9"/>
  <c r="C72" i="9"/>
  <c r="B73" i="9"/>
  <c r="A74" i="9"/>
  <c r="E74" i="9"/>
  <c r="D75" i="9"/>
  <c r="C76" i="9"/>
  <c r="B77" i="9"/>
  <c r="A78" i="9"/>
  <c r="E78" i="9"/>
  <c r="D79" i="9"/>
  <c r="C80" i="9"/>
  <c r="B81" i="9"/>
  <c r="A82" i="9"/>
  <c r="E82" i="9"/>
  <c r="D83" i="9"/>
  <c r="B85" i="9"/>
  <c r="A86" i="9"/>
  <c r="D87" i="9"/>
  <c r="B89" i="9"/>
  <c r="A90" i="9"/>
  <c r="D91" i="9"/>
  <c r="C92" i="9"/>
  <c r="B93" i="9"/>
  <c r="A94" i="9"/>
  <c r="D95" i="9"/>
  <c r="B97" i="9"/>
  <c r="A98" i="9"/>
  <c r="E98" i="9"/>
  <c r="D99" i="9"/>
  <c r="B101" i="9"/>
  <c r="A102" i="9"/>
  <c r="D103" i="9"/>
  <c r="B105" i="9"/>
  <c r="A106" i="9"/>
  <c r="D107" i="9"/>
  <c r="C108" i="9"/>
  <c r="B109" i="9"/>
  <c r="A110" i="9"/>
  <c r="D111" i="9"/>
  <c r="B113" i="9"/>
  <c r="A114" i="9"/>
  <c r="E114" i="9"/>
  <c r="D115" i="9"/>
  <c r="B117" i="9"/>
  <c r="A118" i="9"/>
  <c r="D119" i="9"/>
  <c r="B121" i="9"/>
  <c r="A122" i="9"/>
  <c r="D123" i="9"/>
  <c r="C124" i="9"/>
  <c r="B125" i="9"/>
  <c r="A126" i="9"/>
  <c r="D127" i="9"/>
  <c r="B129" i="9"/>
  <c r="A130" i="9"/>
  <c r="E130" i="9"/>
  <c r="D131" i="9"/>
  <c r="B133" i="9"/>
  <c r="A134" i="9"/>
  <c r="D135" i="9"/>
  <c r="B137" i="9"/>
  <c r="A138" i="9"/>
  <c r="D139" i="9"/>
  <c r="C140" i="9"/>
  <c r="B141" i="9"/>
  <c r="A142" i="9"/>
  <c r="D143" i="9"/>
  <c r="B145" i="9"/>
  <c r="A146" i="9"/>
  <c r="E146" i="9"/>
  <c r="D147" i="9"/>
  <c r="B149" i="9"/>
  <c r="A150" i="9"/>
  <c r="D151" i="9"/>
  <c r="B153" i="9"/>
  <c r="A154" i="9"/>
  <c r="D155" i="9"/>
  <c r="C156" i="9"/>
  <c r="B157" i="9"/>
  <c r="A158" i="9"/>
  <c r="D159" i="9"/>
  <c r="B161" i="9"/>
  <c r="E163" i="9"/>
  <c r="A164" i="9"/>
  <c r="A167" i="9"/>
  <c r="A170" i="9"/>
  <c r="B171" i="9"/>
  <c r="D172" i="9"/>
  <c r="B174" i="9"/>
  <c r="E176" i="9"/>
  <c r="B177" i="9"/>
  <c r="C178" i="9"/>
  <c r="E179" i="9"/>
  <c r="A180" i="9"/>
  <c r="A183" i="9"/>
  <c r="C184" i="9"/>
  <c r="D185" i="9"/>
  <c r="A186" i="9"/>
  <c r="B187" i="9"/>
  <c r="D188" i="9"/>
  <c r="B190" i="9"/>
  <c r="B193" i="9"/>
  <c r="C194" i="9"/>
  <c r="A196" i="9"/>
  <c r="E198" i="9"/>
  <c r="A199" i="9"/>
  <c r="C200" i="9"/>
  <c r="D201" i="9"/>
  <c r="A202" i="9"/>
  <c r="B203" i="9"/>
  <c r="D204" i="9"/>
  <c r="B206" i="9"/>
  <c r="D207" i="9"/>
  <c r="E208" i="9"/>
  <c r="B209" i="9"/>
  <c r="C210" i="9"/>
  <c r="A212" i="9"/>
  <c r="E214" i="9"/>
  <c r="A215" i="9"/>
  <c r="C216" i="9"/>
  <c r="D217" i="9"/>
  <c r="A218" i="9"/>
  <c r="B219" i="9"/>
  <c r="D220" i="9"/>
  <c r="B222" i="9"/>
  <c r="D223" i="9"/>
  <c r="E224" i="9"/>
  <c r="B225" i="9"/>
  <c r="C226" i="9"/>
  <c r="E227" i="9"/>
  <c r="A228" i="9"/>
  <c r="F5" i="4"/>
  <c r="G5" i="4" s="1"/>
  <c r="R9" i="4"/>
  <c r="AB10" i="4"/>
  <c r="P10" i="4"/>
  <c r="L10" i="4"/>
  <c r="S10" i="4"/>
  <c r="O10" i="4"/>
  <c r="K10" i="4"/>
  <c r="W10" i="4" s="1"/>
  <c r="R10" i="4"/>
  <c r="N10" i="4"/>
  <c r="J10" i="4"/>
  <c r="O12" i="4"/>
  <c r="E13" i="4"/>
  <c r="H13" i="4"/>
  <c r="I13" i="4" s="1"/>
  <c r="C13" i="4"/>
  <c r="N13" i="4"/>
  <c r="Q18" i="4"/>
  <c r="F19" i="4"/>
  <c r="G19" i="4" s="1"/>
  <c r="F21" i="4"/>
  <c r="G21" i="4" s="1"/>
  <c r="M22" i="4"/>
  <c r="S24" i="4"/>
  <c r="R25" i="4"/>
  <c r="AB26" i="4"/>
  <c r="P26" i="4"/>
  <c r="L26" i="4"/>
  <c r="S26" i="4"/>
  <c r="O26" i="4"/>
  <c r="K26" i="4"/>
  <c r="R26" i="4"/>
  <c r="N26" i="4"/>
  <c r="J26" i="4"/>
  <c r="O28" i="4"/>
  <c r="E29" i="4"/>
  <c r="C32" i="9" s="1"/>
  <c r="H29" i="4"/>
  <c r="I29" i="4" s="1"/>
  <c r="C29" i="4"/>
  <c r="N29" i="4"/>
  <c r="Q34" i="4"/>
  <c r="F35" i="4"/>
  <c r="G35" i="4" s="1"/>
  <c r="D16" i="9" s="1"/>
  <c r="F37" i="4"/>
  <c r="G37" i="4" s="1"/>
  <c r="M38" i="4"/>
  <c r="S40" i="4"/>
  <c r="R41" i="4"/>
  <c r="AB42" i="4"/>
  <c r="P42" i="4"/>
  <c r="L42" i="4"/>
  <c r="S42" i="4"/>
  <c r="O42" i="4"/>
  <c r="K42" i="4"/>
  <c r="R42" i="4"/>
  <c r="N42" i="4"/>
  <c r="J42" i="4"/>
  <c r="O44" i="4"/>
  <c r="E45" i="4"/>
  <c r="C48" i="9" s="1"/>
  <c r="H45" i="4"/>
  <c r="I45" i="4" s="1"/>
  <c r="C45" i="4"/>
  <c r="N45" i="4"/>
  <c r="F51" i="4"/>
  <c r="G51" i="4" s="1"/>
  <c r="F53" i="4"/>
  <c r="G53" i="4" s="1"/>
  <c r="M54" i="4"/>
  <c r="S56" i="4"/>
  <c r="R57" i="4"/>
  <c r="AB58" i="4"/>
  <c r="P58" i="4"/>
  <c r="L58" i="4"/>
  <c r="S58" i="4"/>
  <c r="O58" i="4"/>
  <c r="K58" i="4"/>
  <c r="R58" i="4"/>
  <c r="N58" i="4"/>
  <c r="J58" i="4"/>
  <c r="O60" i="4"/>
  <c r="E61" i="4"/>
  <c r="C64" i="9" s="1"/>
  <c r="H61" i="4"/>
  <c r="I61" i="4" s="1"/>
  <c r="AC61" i="4" s="1"/>
  <c r="C61" i="4"/>
  <c r="N61" i="4"/>
  <c r="Q66" i="4"/>
  <c r="F67" i="4"/>
  <c r="G67" i="4" s="1"/>
  <c r="F69" i="4"/>
  <c r="G69" i="4" s="1"/>
  <c r="M70" i="4"/>
  <c r="S72" i="4"/>
  <c r="R73" i="4"/>
  <c r="AB74" i="4"/>
  <c r="P74" i="4"/>
  <c r="L74" i="4"/>
  <c r="S74" i="4"/>
  <c r="O74" i="4"/>
  <c r="K74" i="4"/>
  <c r="W74" i="4" s="1"/>
  <c r="R74" i="4"/>
  <c r="N74" i="4"/>
  <c r="J74" i="4"/>
  <c r="V74" i="4" s="1"/>
  <c r="O76" i="4"/>
  <c r="E77" i="4"/>
  <c r="H77" i="4"/>
  <c r="I77" i="4" s="1"/>
  <c r="AC77" i="4" s="1"/>
  <c r="C77" i="4"/>
  <c r="N77" i="4"/>
  <c r="Q81" i="4"/>
  <c r="M81" i="4"/>
  <c r="O81" i="4"/>
  <c r="J81" i="4"/>
  <c r="S81" i="4"/>
  <c r="N81" i="4"/>
  <c r="AB81" i="4"/>
  <c r="R81" i="4"/>
  <c r="L81" i="4"/>
  <c r="J85" i="4"/>
  <c r="V85" i="4" s="1"/>
  <c r="H86" i="4"/>
  <c r="I86" i="4" s="1"/>
  <c r="E86" i="4"/>
  <c r="C89" i="9" s="1"/>
  <c r="C86" i="4"/>
  <c r="Q86" i="4"/>
  <c r="J89" i="4"/>
  <c r="V89" i="4" s="1"/>
  <c r="O89" i="4"/>
  <c r="R94" i="4"/>
  <c r="N94" i="4"/>
  <c r="J94" i="4"/>
  <c r="Q94" i="4"/>
  <c r="M94" i="4"/>
  <c r="AB94" i="4"/>
  <c r="P94" i="4"/>
  <c r="L94" i="4"/>
  <c r="K94" i="4"/>
  <c r="S94" i="4"/>
  <c r="E95" i="4"/>
  <c r="C98" i="9" s="1"/>
  <c r="H95" i="4"/>
  <c r="I95" i="4" s="1"/>
  <c r="AC95" i="4" s="1"/>
  <c r="C95" i="4"/>
  <c r="F95" i="4"/>
  <c r="G95" i="4" s="1"/>
  <c r="Q100" i="4"/>
  <c r="R106" i="4"/>
  <c r="N106" i="4"/>
  <c r="J106" i="4"/>
  <c r="Q106" i="4"/>
  <c r="M106" i="4"/>
  <c r="AB106" i="4"/>
  <c r="P106" i="4"/>
  <c r="L106" i="4"/>
  <c r="O106" i="4"/>
  <c r="K106" i="4"/>
  <c r="Q107" i="4"/>
  <c r="M107" i="4"/>
  <c r="AB107" i="4"/>
  <c r="P107" i="4"/>
  <c r="L107" i="4"/>
  <c r="S107" i="4"/>
  <c r="O107" i="4"/>
  <c r="K107" i="4"/>
  <c r="N107" i="4"/>
  <c r="J107" i="4"/>
  <c r="O110" i="4"/>
  <c r="S122" i="4"/>
  <c r="S124" i="4"/>
  <c r="N124" i="4"/>
  <c r="R130" i="4"/>
  <c r="N130" i="4"/>
  <c r="J130" i="4"/>
  <c r="Q130" i="4"/>
  <c r="M130" i="4"/>
  <c r="AB130" i="4"/>
  <c r="P130" i="4"/>
  <c r="L130" i="4"/>
  <c r="S130" i="4"/>
  <c r="O130" i="4"/>
  <c r="J131" i="4"/>
  <c r="R134" i="4"/>
  <c r="N134" i="4"/>
  <c r="J134" i="4"/>
  <c r="Q134" i="4"/>
  <c r="M134" i="4"/>
  <c r="AB134" i="4"/>
  <c r="P134" i="4"/>
  <c r="L134" i="4"/>
  <c r="S134" i="4"/>
  <c r="O134" i="4"/>
  <c r="K134" i="4"/>
  <c r="Q135" i="4"/>
  <c r="M135" i="4"/>
  <c r="AB135" i="4"/>
  <c r="P135" i="4"/>
  <c r="L135" i="4"/>
  <c r="S135" i="4"/>
  <c r="O135" i="4"/>
  <c r="K135" i="4"/>
  <c r="R135" i="4"/>
  <c r="N135" i="4"/>
  <c r="J135" i="4"/>
  <c r="R139" i="4"/>
  <c r="P145" i="4"/>
  <c r="K146" i="4"/>
  <c r="R147" i="4"/>
  <c r="S149" i="4"/>
  <c r="O149" i="4"/>
  <c r="K149" i="4"/>
  <c r="R149" i="4"/>
  <c r="N149" i="4"/>
  <c r="J149" i="4"/>
  <c r="Q149" i="4"/>
  <c r="M149" i="4"/>
  <c r="P149" i="4"/>
  <c r="L149" i="4"/>
  <c r="M152" i="4"/>
  <c r="R158" i="4"/>
  <c r="N158" i="4"/>
  <c r="J158" i="4"/>
  <c r="Q158" i="4"/>
  <c r="M158" i="4"/>
  <c r="AB158" i="4"/>
  <c r="P158" i="4"/>
  <c r="L158" i="4"/>
  <c r="K158" i="4"/>
  <c r="S158" i="4"/>
  <c r="E159" i="4"/>
  <c r="C162" i="9" s="1"/>
  <c r="H159" i="4"/>
  <c r="I159" i="4" s="1"/>
  <c r="C159" i="4"/>
  <c r="F159" i="4"/>
  <c r="G159" i="4" s="1"/>
  <c r="R164" i="4"/>
  <c r="N164" i="4"/>
  <c r="J164" i="4"/>
  <c r="AB164" i="4"/>
  <c r="Q164" i="4"/>
  <c r="L164" i="4"/>
  <c r="P164" i="4"/>
  <c r="K164" i="4"/>
  <c r="T164" i="4" s="1"/>
  <c r="O164" i="4"/>
  <c r="S164" i="4"/>
  <c r="M164" i="4"/>
  <c r="R168" i="4"/>
  <c r="N168" i="4"/>
  <c r="J168" i="4"/>
  <c r="Q168" i="4"/>
  <c r="M168" i="4"/>
  <c r="W168" i="4" s="1"/>
  <c r="O168" i="4"/>
  <c r="AB168" i="4"/>
  <c r="L168" i="4"/>
  <c r="T168" i="4" s="1"/>
  <c r="S168" i="4"/>
  <c r="K168" i="4"/>
  <c r="P168" i="4"/>
  <c r="AB170" i="4"/>
  <c r="P170" i="4"/>
  <c r="L170" i="4"/>
  <c r="S170" i="4"/>
  <c r="O170" i="4"/>
  <c r="K170" i="4"/>
  <c r="Q170" i="4"/>
  <c r="N170" i="4"/>
  <c r="M170" i="4"/>
  <c r="R170" i="4"/>
  <c r="J170" i="4"/>
  <c r="E172" i="4"/>
  <c r="C175" i="9" s="1"/>
  <c r="H172" i="4"/>
  <c r="I172" i="4" s="1"/>
  <c r="J177" i="4"/>
  <c r="N181" i="4"/>
  <c r="E190" i="4"/>
  <c r="C193" i="9" s="1"/>
  <c r="H190" i="4"/>
  <c r="I190" i="4" s="1"/>
  <c r="AC190" i="4" s="1"/>
  <c r="C190" i="4"/>
  <c r="F190" i="4"/>
  <c r="G190" i="4" s="1"/>
  <c r="Q209" i="4"/>
  <c r="W220" i="4"/>
  <c r="S220" i="4"/>
  <c r="O220" i="4"/>
  <c r="K220" i="4"/>
  <c r="Q220" i="4"/>
  <c r="M220" i="4"/>
  <c r="AB220" i="4"/>
  <c r="L220" i="4"/>
  <c r="R220" i="4"/>
  <c r="J220" i="4"/>
  <c r="P220" i="4"/>
  <c r="U220" i="4" s="1"/>
  <c r="N220" i="4"/>
  <c r="H4" i="4"/>
  <c r="I4" i="4" s="1"/>
  <c r="E7" i="4"/>
  <c r="C10" i="9" s="1"/>
  <c r="H8" i="4"/>
  <c r="I8" i="4" s="1"/>
  <c r="E11" i="4"/>
  <c r="C14" i="9" s="1"/>
  <c r="H12" i="4"/>
  <c r="I12" i="4" s="1"/>
  <c r="E15" i="4"/>
  <c r="C18" i="9" s="1"/>
  <c r="H16" i="4"/>
  <c r="I16" i="4" s="1"/>
  <c r="E19" i="4"/>
  <c r="C22" i="9" s="1"/>
  <c r="H20" i="4"/>
  <c r="I20" i="4" s="1"/>
  <c r="E23" i="4"/>
  <c r="C26" i="9" s="1"/>
  <c r="H24" i="4"/>
  <c r="I24" i="4" s="1"/>
  <c r="E27" i="4"/>
  <c r="C30" i="9" s="1"/>
  <c r="H28" i="4"/>
  <c r="I28" i="4" s="1"/>
  <c r="E31" i="4"/>
  <c r="C34" i="9" s="1"/>
  <c r="H32" i="4"/>
  <c r="I32" i="4" s="1"/>
  <c r="E13" i="9" s="1"/>
  <c r="E35" i="4"/>
  <c r="C38" i="9" s="1"/>
  <c r="H36" i="4"/>
  <c r="I36" i="4" s="1"/>
  <c r="E39" i="4"/>
  <c r="C42" i="9" s="1"/>
  <c r="H40" i="4"/>
  <c r="I40" i="4" s="1"/>
  <c r="E43" i="4"/>
  <c r="C46" i="9" s="1"/>
  <c r="H44" i="4"/>
  <c r="I44" i="4" s="1"/>
  <c r="E47" i="4"/>
  <c r="C50" i="9" s="1"/>
  <c r="H48" i="4"/>
  <c r="I48" i="4" s="1"/>
  <c r="E51" i="4"/>
  <c r="C54" i="9" s="1"/>
  <c r="H52" i="4"/>
  <c r="I52" i="4" s="1"/>
  <c r="E55" i="4"/>
  <c r="C58" i="9" s="1"/>
  <c r="H56" i="4"/>
  <c r="I56" i="4" s="1"/>
  <c r="E59" i="4"/>
  <c r="C62" i="9" s="1"/>
  <c r="H60" i="4"/>
  <c r="I60" i="4" s="1"/>
  <c r="E63" i="4"/>
  <c r="C66" i="9" s="1"/>
  <c r="H64" i="4"/>
  <c r="I64" i="4" s="1"/>
  <c r="V64" i="4" s="1"/>
  <c r="E67" i="4"/>
  <c r="C70" i="9" s="1"/>
  <c r="H68" i="4"/>
  <c r="I68" i="4" s="1"/>
  <c r="E71" i="4"/>
  <c r="C74" i="9" s="1"/>
  <c r="H72" i="4"/>
  <c r="I72" i="4" s="1"/>
  <c r="E75" i="4"/>
  <c r="C78" i="9" s="1"/>
  <c r="H76" i="4"/>
  <c r="I76" i="4" s="1"/>
  <c r="E79" i="4"/>
  <c r="C82" i="9" s="1"/>
  <c r="H80" i="4"/>
  <c r="I80" i="4" s="1"/>
  <c r="T80" i="4" s="1"/>
  <c r="P83" i="9" s="1"/>
  <c r="E81" i="4"/>
  <c r="C84" i="9" s="1"/>
  <c r="F83" i="4"/>
  <c r="G83" i="4" s="1"/>
  <c r="E87" i="4"/>
  <c r="C90" i="9" s="1"/>
  <c r="L88" i="4"/>
  <c r="AB88" i="4"/>
  <c r="AB96" i="4"/>
  <c r="P96" i="4"/>
  <c r="L96" i="4"/>
  <c r="S96" i="4"/>
  <c r="O96" i="4"/>
  <c r="K96" i="4"/>
  <c r="R96" i="4"/>
  <c r="N96" i="4"/>
  <c r="J96" i="4"/>
  <c r="E99" i="4"/>
  <c r="C102" i="9" s="1"/>
  <c r="H99" i="4"/>
  <c r="I99" i="4" s="1"/>
  <c r="AC99" i="4" s="1"/>
  <c r="C99" i="4"/>
  <c r="N99" i="4"/>
  <c r="Q104" i="4"/>
  <c r="F105" i="4"/>
  <c r="G105" i="4" s="1"/>
  <c r="AB112" i="4"/>
  <c r="P112" i="4"/>
  <c r="L112" i="4"/>
  <c r="S112" i="4"/>
  <c r="O112" i="4"/>
  <c r="K112" i="4"/>
  <c r="R112" i="4"/>
  <c r="N112" i="4"/>
  <c r="J112" i="4"/>
  <c r="E115" i="4"/>
  <c r="C118" i="9" s="1"/>
  <c r="H115" i="4"/>
  <c r="I115" i="4" s="1"/>
  <c r="AC115" i="4" s="1"/>
  <c r="C115" i="4"/>
  <c r="N115" i="4"/>
  <c r="Q120" i="4"/>
  <c r="F121" i="4"/>
  <c r="G121" i="4" s="1"/>
  <c r="AB128" i="4"/>
  <c r="P128" i="4"/>
  <c r="L128" i="4"/>
  <c r="S128" i="4"/>
  <c r="O128" i="4"/>
  <c r="K128" i="4"/>
  <c r="R128" i="4"/>
  <c r="N128" i="4"/>
  <c r="J128" i="4"/>
  <c r="V128" i="4" s="1"/>
  <c r="E131" i="4"/>
  <c r="C134" i="9" s="1"/>
  <c r="H131" i="4"/>
  <c r="I131" i="4" s="1"/>
  <c r="AC131" i="4" s="1"/>
  <c r="C131" i="4"/>
  <c r="N131" i="4"/>
  <c r="Q136" i="4"/>
  <c r="F137" i="4"/>
  <c r="G137" i="4" s="1"/>
  <c r="AB144" i="4"/>
  <c r="P144" i="4"/>
  <c r="L144" i="4"/>
  <c r="S144" i="4"/>
  <c r="O144" i="4"/>
  <c r="K144" i="4"/>
  <c r="W144" i="4" s="1"/>
  <c r="R144" i="4"/>
  <c r="N144" i="4"/>
  <c r="J144" i="4"/>
  <c r="E147" i="4"/>
  <c r="C150" i="9" s="1"/>
  <c r="H147" i="4"/>
  <c r="I147" i="4" s="1"/>
  <c r="AC147" i="4" s="1"/>
  <c r="C147" i="4"/>
  <c r="N147" i="4"/>
  <c r="Q152" i="4"/>
  <c r="F153" i="4"/>
  <c r="G153" i="4" s="1"/>
  <c r="P160" i="4"/>
  <c r="K160" i="4"/>
  <c r="E184" i="4"/>
  <c r="C187" i="9" s="1"/>
  <c r="H184" i="4"/>
  <c r="I184" i="4" s="1"/>
  <c r="AC184" i="4" s="1"/>
  <c r="R221" i="4"/>
  <c r="N221" i="4"/>
  <c r="J221" i="4"/>
  <c r="Q221" i="4"/>
  <c r="AB221" i="4"/>
  <c r="P221" i="4"/>
  <c r="L221" i="4"/>
  <c r="K221" i="4"/>
  <c r="S221" i="4"/>
  <c r="O221" i="4"/>
  <c r="M221" i="4"/>
  <c r="F7" i="4"/>
  <c r="G7" i="4" s="1"/>
  <c r="D10" i="9" s="1"/>
  <c r="E12" i="4"/>
  <c r="C15" i="9" s="1"/>
  <c r="E16" i="4"/>
  <c r="C19" i="9" s="1"/>
  <c r="E20" i="4"/>
  <c r="C23" i="9" s="1"/>
  <c r="E24" i="4"/>
  <c r="C27" i="9" s="1"/>
  <c r="E28" i="4"/>
  <c r="C31" i="9" s="1"/>
  <c r="E32" i="4"/>
  <c r="C35" i="9" s="1"/>
  <c r="E36" i="4"/>
  <c r="C39" i="9" s="1"/>
  <c r="E40" i="4"/>
  <c r="C43" i="9" s="1"/>
  <c r="E44" i="4"/>
  <c r="C47" i="9" s="1"/>
  <c r="E48" i="4"/>
  <c r="C51" i="9" s="1"/>
  <c r="E52" i="4"/>
  <c r="C55" i="9" s="1"/>
  <c r="E56" i="4"/>
  <c r="C59" i="9" s="1"/>
  <c r="E60" i="4"/>
  <c r="C63" i="9" s="1"/>
  <c r="E64" i="4"/>
  <c r="C67" i="9" s="1"/>
  <c r="E68" i="4"/>
  <c r="C71" i="9" s="1"/>
  <c r="E72" i="4"/>
  <c r="C75" i="9" s="1"/>
  <c r="E76" i="4"/>
  <c r="C79" i="9" s="1"/>
  <c r="E80" i="4"/>
  <c r="C83" i="9" s="1"/>
  <c r="E82" i="4"/>
  <c r="C85" i="9" s="1"/>
  <c r="H83" i="4"/>
  <c r="I83" i="4" s="1"/>
  <c r="AC83" i="4" s="1"/>
  <c r="E85" i="4"/>
  <c r="C88" i="9" s="1"/>
  <c r="M88" i="4"/>
  <c r="F93" i="4"/>
  <c r="G93" i="4" s="1"/>
  <c r="AB100" i="4"/>
  <c r="P100" i="4"/>
  <c r="L100" i="4"/>
  <c r="S100" i="4"/>
  <c r="O100" i="4"/>
  <c r="K100" i="4"/>
  <c r="R100" i="4"/>
  <c r="N100" i="4"/>
  <c r="J100" i="4"/>
  <c r="E103" i="4"/>
  <c r="C106" i="9" s="1"/>
  <c r="H103" i="4"/>
  <c r="I103" i="4" s="1"/>
  <c r="T103" i="4" s="1"/>
  <c r="C103" i="4"/>
  <c r="F109" i="4"/>
  <c r="G109" i="4" s="1"/>
  <c r="AB116" i="4"/>
  <c r="P116" i="4"/>
  <c r="L116" i="4"/>
  <c r="S116" i="4"/>
  <c r="O116" i="4"/>
  <c r="K116" i="4"/>
  <c r="W116" i="4" s="1"/>
  <c r="R116" i="4"/>
  <c r="N116" i="4"/>
  <c r="J116" i="4"/>
  <c r="E119" i="4"/>
  <c r="C122" i="9" s="1"/>
  <c r="H119" i="4"/>
  <c r="I119" i="4" s="1"/>
  <c r="C119" i="4"/>
  <c r="F125" i="4"/>
  <c r="G125" i="4" s="1"/>
  <c r="P132" i="4"/>
  <c r="K132" i="4"/>
  <c r="E135" i="4"/>
  <c r="C138" i="9" s="1"/>
  <c r="H135" i="4"/>
  <c r="I135" i="4" s="1"/>
  <c r="C135" i="4"/>
  <c r="F141" i="4"/>
  <c r="G141" i="4" s="1"/>
  <c r="AB148" i="4"/>
  <c r="P148" i="4"/>
  <c r="L148" i="4"/>
  <c r="S148" i="4"/>
  <c r="O148" i="4"/>
  <c r="K148" i="4"/>
  <c r="R148" i="4"/>
  <c r="N148" i="4"/>
  <c r="J148" i="4"/>
  <c r="E151" i="4"/>
  <c r="C154" i="9" s="1"/>
  <c r="H151" i="4"/>
  <c r="I151" i="4" s="1"/>
  <c r="C151" i="4"/>
  <c r="F157" i="4"/>
  <c r="G157" i="4" s="1"/>
  <c r="Q169" i="4"/>
  <c r="M169" i="4"/>
  <c r="AB169" i="4"/>
  <c r="P169" i="4"/>
  <c r="L169" i="4"/>
  <c r="O169" i="4"/>
  <c r="N169" i="4"/>
  <c r="S169" i="4"/>
  <c r="K169" i="4"/>
  <c r="R169" i="4"/>
  <c r="H171" i="4"/>
  <c r="I171" i="4" s="1"/>
  <c r="AC171" i="4" s="1"/>
  <c r="E171" i="4"/>
  <c r="C174" i="9" s="1"/>
  <c r="AB174" i="4"/>
  <c r="P174" i="4"/>
  <c r="L174" i="4"/>
  <c r="S174" i="4"/>
  <c r="O174" i="4"/>
  <c r="K174" i="4"/>
  <c r="M174" i="4"/>
  <c r="R174" i="4"/>
  <c r="J174" i="4"/>
  <c r="Q174" i="4"/>
  <c r="Q177" i="4"/>
  <c r="M177" i="4"/>
  <c r="AB177" i="4"/>
  <c r="P177" i="4"/>
  <c r="L177" i="4"/>
  <c r="O177" i="4"/>
  <c r="N177" i="4"/>
  <c r="S177" i="4"/>
  <c r="K177" i="4"/>
  <c r="R177" i="4"/>
  <c r="H179" i="4"/>
  <c r="I179" i="4" s="1"/>
  <c r="AC179" i="4" s="1"/>
  <c r="E179" i="4"/>
  <c r="C182" i="9" s="1"/>
  <c r="AB182" i="4"/>
  <c r="P182" i="4"/>
  <c r="L182" i="4"/>
  <c r="S182" i="4"/>
  <c r="O182" i="4"/>
  <c r="K182" i="4"/>
  <c r="M182" i="4"/>
  <c r="R182" i="4"/>
  <c r="J182" i="4"/>
  <c r="Q182" i="4"/>
  <c r="E188" i="4"/>
  <c r="C191" i="9" s="1"/>
  <c r="H188" i="4"/>
  <c r="I188" i="4" s="1"/>
  <c r="R201" i="4"/>
  <c r="N201" i="4"/>
  <c r="J201" i="4"/>
  <c r="AB201" i="4"/>
  <c r="P201" i="4"/>
  <c r="L201" i="4"/>
  <c r="O201" i="4"/>
  <c r="M201" i="4"/>
  <c r="S201" i="4"/>
  <c r="K201" i="4"/>
  <c r="Q201" i="4"/>
  <c r="F82" i="4"/>
  <c r="G82" i="4" s="1"/>
  <c r="H87" i="4"/>
  <c r="I87" i="4" s="1"/>
  <c r="AC87" i="4" s="1"/>
  <c r="C87" i="4"/>
  <c r="S88" i="4"/>
  <c r="O88" i="4"/>
  <c r="K88" i="4"/>
  <c r="R88" i="4"/>
  <c r="N88" i="4"/>
  <c r="J88" i="4"/>
  <c r="P88" i="4"/>
  <c r="E91" i="4"/>
  <c r="C94" i="9" s="1"/>
  <c r="H91" i="4"/>
  <c r="I91" i="4" s="1"/>
  <c r="U91" i="4" s="1"/>
  <c r="C91" i="4"/>
  <c r="S97" i="4"/>
  <c r="N97" i="4"/>
  <c r="L97" i="4"/>
  <c r="Q99" i="4"/>
  <c r="M99" i="4"/>
  <c r="AB99" i="4"/>
  <c r="P99" i="4"/>
  <c r="L99" i="4"/>
  <c r="S99" i="4"/>
  <c r="O99" i="4"/>
  <c r="U99" i="4" s="1"/>
  <c r="K99" i="4"/>
  <c r="AB104" i="4"/>
  <c r="P104" i="4"/>
  <c r="L104" i="4"/>
  <c r="S104" i="4"/>
  <c r="O104" i="4"/>
  <c r="K104" i="4"/>
  <c r="R104" i="4"/>
  <c r="N104" i="4"/>
  <c r="J104" i="4"/>
  <c r="V104" i="4" s="1"/>
  <c r="E107" i="4"/>
  <c r="H107" i="4"/>
  <c r="I107" i="4" s="1"/>
  <c r="AC107" i="4" s="1"/>
  <c r="C107" i="4"/>
  <c r="S113" i="4"/>
  <c r="O113" i="4"/>
  <c r="K113" i="4"/>
  <c r="R113" i="4"/>
  <c r="N113" i="4"/>
  <c r="J113" i="4"/>
  <c r="Q113" i="4"/>
  <c r="M113" i="4"/>
  <c r="L113" i="4"/>
  <c r="AB113" i="4"/>
  <c r="Q115" i="4"/>
  <c r="M115" i="4"/>
  <c r="AB115" i="4"/>
  <c r="P115" i="4"/>
  <c r="L115" i="4"/>
  <c r="S115" i="4"/>
  <c r="O115" i="4"/>
  <c r="K115" i="4"/>
  <c r="AB120" i="4"/>
  <c r="P120" i="4"/>
  <c r="L120" i="4"/>
  <c r="S120" i="4"/>
  <c r="O120" i="4"/>
  <c r="K120" i="4"/>
  <c r="W120" i="4" s="1"/>
  <c r="R120" i="4"/>
  <c r="N120" i="4"/>
  <c r="J120" i="4"/>
  <c r="U120" i="4" s="1"/>
  <c r="E123" i="4"/>
  <c r="C126" i="9" s="1"/>
  <c r="H123" i="4"/>
  <c r="I123" i="4" s="1"/>
  <c r="C123" i="4"/>
  <c r="S129" i="4"/>
  <c r="O129" i="4"/>
  <c r="K129" i="4"/>
  <c r="R129" i="4"/>
  <c r="N129" i="4"/>
  <c r="J129" i="4"/>
  <c r="Q129" i="4"/>
  <c r="M129" i="4"/>
  <c r="L129" i="4"/>
  <c r="AB129" i="4"/>
  <c r="Q131" i="4"/>
  <c r="M131" i="4"/>
  <c r="W131" i="4" s="1"/>
  <c r="AB131" i="4"/>
  <c r="P131" i="4"/>
  <c r="L131" i="4"/>
  <c r="S131" i="4"/>
  <c r="O131" i="4"/>
  <c r="K131" i="4"/>
  <c r="AB136" i="4"/>
  <c r="P136" i="4"/>
  <c r="L136" i="4"/>
  <c r="S136" i="4"/>
  <c r="O136" i="4"/>
  <c r="K136" i="4"/>
  <c r="R136" i="4"/>
  <c r="N136" i="4"/>
  <c r="J136" i="4"/>
  <c r="E139" i="4"/>
  <c r="H139" i="4"/>
  <c r="I139" i="4" s="1"/>
  <c r="AC139" i="4" s="1"/>
  <c r="C139" i="4"/>
  <c r="S145" i="4"/>
  <c r="O145" i="4"/>
  <c r="K145" i="4"/>
  <c r="R145" i="4"/>
  <c r="N145" i="4"/>
  <c r="J145" i="4"/>
  <c r="Q145" i="4"/>
  <c r="M145" i="4"/>
  <c r="L145" i="4"/>
  <c r="AB145" i="4"/>
  <c r="Q147" i="4"/>
  <c r="M147" i="4"/>
  <c r="AB147" i="4"/>
  <c r="P147" i="4"/>
  <c r="L147" i="4"/>
  <c r="S147" i="4"/>
  <c r="O147" i="4"/>
  <c r="K147" i="4"/>
  <c r="AB152" i="4"/>
  <c r="P152" i="4"/>
  <c r="L152" i="4"/>
  <c r="S152" i="4"/>
  <c r="O152" i="4"/>
  <c r="K152" i="4"/>
  <c r="W152" i="4" s="1"/>
  <c r="R152" i="4"/>
  <c r="N152" i="4"/>
  <c r="J152" i="4"/>
  <c r="V152" i="4" s="1"/>
  <c r="E155" i="4"/>
  <c r="C158" i="9" s="1"/>
  <c r="H155" i="4"/>
  <c r="I155" i="4" s="1"/>
  <c r="AC155" i="4" s="1"/>
  <c r="C155" i="4"/>
  <c r="S161" i="4"/>
  <c r="O161" i="4"/>
  <c r="K161" i="4"/>
  <c r="R161" i="4"/>
  <c r="N161" i="4"/>
  <c r="J161" i="4"/>
  <c r="Q161" i="4"/>
  <c r="M161" i="4"/>
  <c r="W161" i="4" s="1"/>
  <c r="L161" i="4"/>
  <c r="AB161" i="4"/>
  <c r="S163" i="4"/>
  <c r="O163" i="4"/>
  <c r="K163" i="4"/>
  <c r="P163" i="4"/>
  <c r="J163" i="4"/>
  <c r="N163" i="4"/>
  <c r="R163" i="4"/>
  <c r="M163" i="4"/>
  <c r="AB163" i="4"/>
  <c r="Q173" i="4"/>
  <c r="M173" i="4"/>
  <c r="AB173" i="4"/>
  <c r="P173" i="4"/>
  <c r="L173" i="4"/>
  <c r="S173" i="4"/>
  <c r="K173" i="4"/>
  <c r="R173" i="4"/>
  <c r="J173" i="4"/>
  <c r="O173" i="4"/>
  <c r="N174" i="4"/>
  <c r="Q181" i="4"/>
  <c r="M181" i="4"/>
  <c r="AB181" i="4"/>
  <c r="P181" i="4"/>
  <c r="L181" i="4"/>
  <c r="S181" i="4"/>
  <c r="K181" i="4"/>
  <c r="R181" i="4"/>
  <c r="J181" i="4"/>
  <c r="O181" i="4"/>
  <c r="N182" i="4"/>
  <c r="R185" i="4"/>
  <c r="N185" i="4"/>
  <c r="J185" i="4"/>
  <c r="Q185" i="4"/>
  <c r="M185" i="4"/>
  <c r="AB185" i="4"/>
  <c r="P185" i="4"/>
  <c r="L185" i="4"/>
  <c r="K185" i="4"/>
  <c r="S185" i="4"/>
  <c r="E186" i="4"/>
  <c r="C189" i="9" s="1"/>
  <c r="H186" i="4"/>
  <c r="I186" i="4" s="1"/>
  <c r="AC186" i="4" s="1"/>
  <c r="C186" i="4"/>
  <c r="F186" i="4"/>
  <c r="G186" i="4" s="1"/>
  <c r="E192" i="4"/>
  <c r="C195" i="9" s="1"/>
  <c r="H192" i="4"/>
  <c r="I192" i="4" s="1"/>
  <c r="AC192" i="4" s="1"/>
  <c r="AC212" i="4"/>
  <c r="R225" i="4"/>
  <c r="N225" i="4"/>
  <c r="J225" i="4"/>
  <c r="Q225" i="4"/>
  <c r="M225" i="4"/>
  <c r="AB225" i="4"/>
  <c r="P225" i="4"/>
  <c r="L225" i="4"/>
  <c r="S225" i="4"/>
  <c r="O225" i="4"/>
  <c r="K225" i="4"/>
  <c r="E89" i="4"/>
  <c r="H90" i="4"/>
  <c r="I90" i="4" s="1"/>
  <c r="E93" i="4"/>
  <c r="C96" i="9" s="1"/>
  <c r="H94" i="4"/>
  <c r="I94" i="4" s="1"/>
  <c r="AC94" i="4" s="1"/>
  <c r="E97" i="4"/>
  <c r="C100" i="9" s="1"/>
  <c r="H98" i="4"/>
  <c r="I98" i="4" s="1"/>
  <c r="E101" i="4"/>
  <c r="C104" i="9" s="1"/>
  <c r="H102" i="4"/>
  <c r="I102" i="4" s="1"/>
  <c r="E105" i="4"/>
  <c r="H106" i="4"/>
  <c r="I106" i="4" s="1"/>
  <c r="AC106" i="4" s="1"/>
  <c r="E109" i="4"/>
  <c r="C112" i="9" s="1"/>
  <c r="H110" i="4"/>
  <c r="I110" i="4" s="1"/>
  <c r="V110" i="4" s="1"/>
  <c r="E113" i="4"/>
  <c r="C116" i="9" s="1"/>
  <c r="H114" i="4"/>
  <c r="I114" i="4" s="1"/>
  <c r="E117" i="4"/>
  <c r="C120" i="9" s="1"/>
  <c r="H118" i="4"/>
  <c r="I118" i="4" s="1"/>
  <c r="T118" i="4" s="1"/>
  <c r="E121" i="4"/>
  <c r="H122" i="4"/>
  <c r="I122" i="4" s="1"/>
  <c r="E125" i="4"/>
  <c r="C128" i="9" s="1"/>
  <c r="H126" i="4"/>
  <c r="I126" i="4" s="1"/>
  <c r="AC126" i="4" s="1"/>
  <c r="E129" i="4"/>
  <c r="C132" i="9" s="1"/>
  <c r="H130" i="4"/>
  <c r="I130" i="4" s="1"/>
  <c r="E133" i="4"/>
  <c r="C136" i="9" s="1"/>
  <c r="H134" i="4"/>
  <c r="I134" i="4" s="1"/>
  <c r="E137" i="4"/>
  <c r="H138" i="4"/>
  <c r="I138" i="4" s="1"/>
  <c r="AC138" i="4" s="1"/>
  <c r="E141" i="4"/>
  <c r="C144" i="9" s="1"/>
  <c r="H142" i="4"/>
  <c r="I142" i="4" s="1"/>
  <c r="E145" i="9" s="1"/>
  <c r="E145" i="4"/>
  <c r="C148" i="9" s="1"/>
  <c r="H146" i="4"/>
  <c r="I146" i="4" s="1"/>
  <c r="E149" i="4"/>
  <c r="C152" i="9" s="1"/>
  <c r="H150" i="4"/>
  <c r="I150" i="4" s="1"/>
  <c r="E153" i="4"/>
  <c r="H154" i="4"/>
  <c r="I154" i="4" s="1"/>
  <c r="E157" i="4"/>
  <c r="C160" i="9" s="1"/>
  <c r="H158" i="4"/>
  <c r="I158" i="4" s="1"/>
  <c r="AC158" i="4" s="1"/>
  <c r="E161" i="4"/>
  <c r="C164" i="9" s="1"/>
  <c r="E162" i="4"/>
  <c r="C165" i="9" s="1"/>
  <c r="H163" i="4"/>
  <c r="I163" i="4" s="1"/>
  <c r="E166" i="9" s="1"/>
  <c r="E165" i="4"/>
  <c r="C168" i="9" s="1"/>
  <c r="F167" i="4"/>
  <c r="G167" i="4" s="1"/>
  <c r="E170" i="4"/>
  <c r="C173" i="9" s="1"/>
  <c r="E173" i="4"/>
  <c r="C176" i="9" s="1"/>
  <c r="H173" i="4"/>
  <c r="I173" i="4" s="1"/>
  <c r="AC173" i="4" s="1"/>
  <c r="H174" i="4"/>
  <c r="I174" i="4" s="1"/>
  <c r="C174" i="4"/>
  <c r="E178" i="4"/>
  <c r="C181" i="9" s="1"/>
  <c r="E181" i="4"/>
  <c r="H181" i="4"/>
  <c r="I181" i="4" s="1"/>
  <c r="AC181" i="4" s="1"/>
  <c r="H182" i="4"/>
  <c r="I182" i="4" s="1"/>
  <c r="C182" i="4"/>
  <c r="Q194" i="4"/>
  <c r="M194" i="4"/>
  <c r="O194" i="4"/>
  <c r="J194" i="4"/>
  <c r="S194" i="4"/>
  <c r="N194" i="4"/>
  <c r="AB194" i="4"/>
  <c r="R194" i="4"/>
  <c r="L194" i="4"/>
  <c r="S212" i="4"/>
  <c r="O212" i="4"/>
  <c r="K212" i="4"/>
  <c r="W212" i="4" s="1"/>
  <c r="Q212" i="4"/>
  <c r="M212" i="4"/>
  <c r="AB212" i="4"/>
  <c r="L212" i="4"/>
  <c r="R212" i="4"/>
  <c r="J212" i="4"/>
  <c r="P212" i="4"/>
  <c r="R213" i="4"/>
  <c r="N213" i="4"/>
  <c r="J213" i="4"/>
  <c r="AB213" i="4"/>
  <c r="P213" i="4"/>
  <c r="L213" i="4"/>
  <c r="S213" i="4"/>
  <c r="K213" i="4"/>
  <c r="Q213" i="4"/>
  <c r="W213" i="4" s="1"/>
  <c r="O213" i="4"/>
  <c r="M213" i="4"/>
  <c r="C216" i="4"/>
  <c r="E216" i="4"/>
  <c r="C219" i="9" s="1"/>
  <c r="H216" i="4"/>
  <c r="I216" i="4" s="1"/>
  <c r="AC216" i="4" s="1"/>
  <c r="F216" i="4"/>
  <c r="G216" i="4" s="1"/>
  <c r="H218" i="4"/>
  <c r="I218" i="4" s="1"/>
  <c r="AC218" i="4" s="1"/>
  <c r="E90" i="4"/>
  <c r="C93" i="9" s="1"/>
  <c r="E94" i="4"/>
  <c r="C97" i="9" s="1"/>
  <c r="E98" i="4"/>
  <c r="C101" i="9" s="1"/>
  <c r="E102" i="4"/>
  <c r="C105" i="9" s="1"/>
  <c r="E106" i="4"/>
  <c r="C109" i="9" s="1"/>
  <c r="E110" i="4"/>
  <c r="C113" i="9" s="1"/>
  <c r="E114" i="4"/>
  <c r="C117" i="9" s="1"/>
  <c r="E118" i="4"/>
  <c r="C121" i="9" s="1"/>
  <c r="E122" i="4"/>
  <c r="C125" i="9" s="1"/>
  <c r="E126" i="4"/>
  <c r="C129" i="9" s="1"/>
  <c r="E130" i="4"/>
  <c r="C133" i="9" s="1"/>
  <c r="E134" i="4"/>
  <c r="C137" i="9" s="1"/>
  <c r="E138" i="4"/>
  <c r="C141" i="9" s="1"/>
  <c r="E142" i="4"/>
  <c r="C145" i="9" s="1"/>
  <c r="E146" i="4"/>
  <c r="C149" i="9" s="1"/>
  <c r="E150" i="4"/>
  <c r="C153" i="9" s="1"/>
  <c r="E154" i="4"/>
  <c r="C157" i="9" s="1"/>
  <c r="E158" i="4"/>
  <c r="C161" i="9" s="1"/>
  <c r="F162" i="4"/>
  <c r="G162" i="4" s="1"/>
  <c r="E166" i="4"/>
  <c r="C169" i="9" s="1"/>
  <c r="H167" i="4"/>
  <c r="I167" i="4" s="1"/>
  <c r="AC167" i="4" s="1"/>
  <c r="F172" i="4"/>
  <c r="G172" i="4" s="1"/>
  <c r="D175" i="9" s="1"/>
  <c r="F180" i="4"/>
  <c r="G180" i="4" s="1"/>
  <c r="D183" i="9" s="1"/>
  <c r="F184" i="4"/>
  <c r="G184" i="4" s="1"/>
  <c r="F188" i="4"/>
  <c r="G188" i="4" s="1"/>
  <c r="F192" i="4"/>
  <c r="G192" i="4" s="1"/>
  <c r="S204" i="4"/>
  <c r="O204" i="4"/>
  <c r="K204" i="4"/>
  <c r="Q204" i="4"/>
  <c r="M204" i="4"/>
  <c r="W204" i="4" s="1"/>
  <c r="AB204" i="4"/>
  <c r="L204" i="4"/>
  <c r="T204" i="4" s="1"/>
  <c r="R204" i="4"/>
  <c r="J204" i="4"/>
  <c r="P204" i="4"/>
  <c r="R205" i="4"/>
  <c r="N205" i="4"/>
  <c r="J205" i="4"/>
  <c r="AB205" i="4"/>
  <c r="P205" i="4"/>
  <c r="L205" i="4"/>
  <c r="S205" i="4"/>
  <c r="K205" i="4"/>
  <c r="Q205" i="4"/>
  <c r="O205" i="4"/>
  <c r="M205" i="4"/>
  <c r="C208" i="4"/>
  <c r="E208" i="4"/>
  <c r="C211" i="9" s="1"/>
  <c r="H208" i="4"/>
  <c r="I208" i="4" s="1"/>
  <c r="AC208" i="4" s="1"/>
  <c r="F208" i="4"/>
  <c r="G208" i="4" s="1"/>
  <c r="R217" i="4"/>
  <c r="N217" i="4"/>
  <c r="J217" i="4"/>
  <c r="AB217" i="4"/>
  <c r="P217" i="4"/>
  <c r="L217" i="4"/>
  <c r="O217" i="4"/>
  <c r="M217" i="4"/>
  <c r="S217" i="4"/>
  <c r="K217" i="4"/>
  <c r="U217" i="4" s="1"/>
  <c r="F166" i="4"/>
  <c r="G166" i="4" s="1"/>
  <c r="E169" i="4"/>
  <c r="C172" i="9" s="1"/>
  <c r="H169" i="4"/>
  <c r="I169" i="4" s="1"/>
  <c r="H170" i="4"/>
  <c r="I170" i="4" s="1"/>
  <c r="AC170" i="4" s="1"/>
  <c r="C170" i="4"/>
  <c r="E177" i="4"/>
  <c r="C180" i="9" s="1"/>
  <c r="H177" i="4"/>
  <c r="I177" i="4" s="1"/>
  <c r="H178" i="4"/>
  <c r="I178" i="4" s="1"/>
  <c r="C178" i="4"/>
  <c r="R193" i="4"/>
  <c r="N193" i="4"/>
  <c r="J193" i="4"/>
  <c r="AB193" i="4"/>
  <c r="Q193" i="4"/>
  <c r="L193" i="4"/>
  <c r="P193" i="4"/>
  <c r="K193" i="4"/>
  <c r="O193" i="4"/>
  <c r="M193" i="4"/>
  <c r="S196" i="4"/>
  <c r="O196" i="4"/>
  <c r="K196" i="4"/>
  <c r="Q196" i="4"/>
  <c r="M196" i="4"/>
  <c r="AB196" i="4"/>
  <c r="L196" i="4"/>
  <c r="R196" i="4"/>
  <c r="J196" i="4"/>
  <c r="V196" i="4" s="1"/>
  <c r="P196" i="4"/>
  <c r="R197" i="4"/>
  <c r="N197" i="4"/>
  <c r="J197" i="4"/>
  <c r="AB197" i="4"/>
  <c r="P197" i="4"/>
  <c r="L197" i="4"/>
  <c r="S197" i="4"/>
  <c r="K197" i="4"/>
  <c r="Q197" i="4"/>
  <c r="O197" i="4"/>
  <c r="M197" i="4"/>
  <c r="C200" i="4"/>
  <c r="E200" i="4"/>
  <c r="C203" i="9" s="1"/>
  <c r="H200" i="4"/>
  <c r="I200" i="4" s="1"/>
  <c r="AC200" i="4" s="1"/>
  <c r="F200" i="4"/>
  <c r="G200" i="4" s="1"/>
  <c r="H202" i="4"/>
  <c r="I202" i="4" s="1"/>
  <c r="AC202" i="4" s="1"/>
  <c r="N204" i="4"/>
  <c r="R209" i="4"/>
  <c r="N209" i="4"/>
  <c r="J209" i="4"/>
  <c r="AB209" i="4"/>
  <c r="P209" i="4"/>
  <c r="L209" i="4"/>
  <c r="O209" i="4"/>
  <c r="M209" i="4"/>
  <c r="S209" i="4"/>
  <c r="K209" i="4"/>
  <c r="Q217" i="4"/>
  <c r="F171" i="4"/>
  <c r="G171" i="4" s="1"/>
  <c r="D174" i="9" s="1"/>
  <c r="F175" i="4"/>
  <c r="G175" i="4" s="1"/>
  <c r="F179" i="4"/>
  <c r="G179" i="4" s="1"/>
  <c r="F183" i="4"/>
  <c r="G183" i="4" s="1"/>
  <c r="H185" i="4"/>
  <c r="I185" i="4" s="1"/>
  <c r="F187" i="4"/>
  <c r="G187" i="4" s="1"/>
  <c r="D190" i="9" s="1"/>
  <c r="H189" i="4"/>
  <c r="I189" i="4" s="1"/>
  <c r="E192" i="9" s="1"/>
  <c r="F191" i="4"/>
  <c r="G191" i="4" s="1"/>
  <c r="E194" i="4"/>
  <c r="C197" i="9" s="1"/>
  <c r="E198" i="4"/>
  <c r="C201" i="9" s="1"/>
  <c r="C198" i="4"/>
  <c r="R198" i="4"/>
  <c r="F202" i="4"/>
  <c r="G202" i="4" s="1"/>
  <c r="E206" i="4"/>
  <c r="C209" i="9" s="1"/>
  <c r="C206" i="4"/>
  <c r="J206" i="4"/>
  <c r="F210" i="4"/>
  <c r="G210" i="4" s="1"/>
  <c r="E214" i="4"/>
  <c r="C217" i="9" s="1"/>
  <c r="C214" i="4"/>
  <c r="J214" i="4"/>
  <c r="V214" i="4" s="1"/>
  <c r="R214" i="4"/>
  <c r="F218" i="4"/>
  <c r="G218" i="4" s="1"/>
  <c r="E222" i="4"/>
  <c r="C225" i="9" s="1"/>
  <c r="H222" i="4"/>
  <c r="I222" i="4" s="1"/>
  <c r="AC222" i="4" s="1"/>
  <c r="C222" i="4"/>
  <c r="E185" i="4"/>
  <c r="C188" i="9" s="1"/>
  <c r="E189" i="4"/>
  <c r="C192" i="9" s="1"/>
  <c r="C194" i="4"/>
  <c r="H194" i="4"/>
  <c r="I194" i="4" s="1"/>
  <c r="E195" i="4"/>
  <c r="C198" i="9" s="1"/>
  <c r="C196" i="4"/>
  <c r="E196" i="4"/>
  <c r="C199" i="9" s="1"/>
  <c r="C204" i="4"/>
  <c r="E204" i="4"/>
  <c r="C207" i="9" s="1"/>
  <c r="C212" i="4"/>
  <c r="E212" i="4"/>
  <c r="C215" i="9" s="1"/>
  <c r="L214" i="4"/>
  <c r="C220" i="4"/>
  <c r="E220" i="4"/>
  <c r="C223" i="9" s="1"/>
  <c r="F195" i="4"/>
  <c r="G195" i="4" s="1"/>
  <c r="D198" i="9" s="1"/>
  <c r="Q198" i="4"/>
  <c r="K198" i="4"/>
  <c r="E202" i="4"/>
  <c r="C205" i="9" s="1"/>
  <c r="C202" i="4"/>
  <c r="Q206" i="4"/>
  <c r="O206" i="4"/>
  <c r="E210" i="4"/>
  <c r="C213" i="9" s="1"/>
  <c r="C210" i="4"/>
  <c r="Q214" i="4"/>
  <c r="M214" i="4"/>
  <c r="S214" i="4"/>
  <c r="O214" i="4"/>
  <c r="K214" i="4"/>
  <c r="U214" i="4" s="1"/>
  <c r="N214" i="4"/>
  <c r="E218" i="4"/>
  <c r="C221" i="9" s="1"/>
  <c r="C218" i="4"/>
  <c r="F222" i="4"/>
  <c r="G222" i="4" s="1"/>
  <c r="D225" i="9" s="1"/>
  <c r="F199" i="4"/>
  <c r="G199" i="4" s="1"/>
  <c r="D202" i="9" s="1"/>
  <c r="F203" i="4"/>
  <c r="G203" i="4" s="1"/>
  <c r="F207" i="4"/>
  <c r="G207" i="4" s="1"/>
  <c r="F211" i="4"/>
  <c r="G211" i="4" s="1"/>
  <c r="D214" i="9" s="1"/>
  <c r="F215" i="4"/>
  <c r="G215" i="4" s="1"/>
  <c r="F219" i="4"/>
  <c r="G219" i="4" s="1"/>
  <c r="D222" i="9" s="1"/>
  <c r="F223" i="4"/>
  <c r="G223" i="4" s="1"/>
  <c r="E224" i="4"/>
  <c r="C227" i="9" s="1"/>
  <c r="F224" i="4"/>
  <c r="G224" i="4" s="1"/>
  <c r="J160" i="4" l="1"/>
  <c r="O160" i="4"/>
  <c r="AB160" i="4"/>
  <c r="T156" i="4"/>
  <c r="S90" i="4"/>
  <c r="M78" i="4"/>
  <c r="W75" i="4"/>
  <c r="Q133" i="4"/>
  <c r="K133" i="4"/>
  <c r="K90" i="4"/>
  <c r="AB90" i="4"/>
  <c r="N90" i="4"/>
  <c r="Q78" i="4"/>
  <c r="J78" i="4"/>
  <c r="O78" i="4"/>
  <c r="AB78" i="4"/>
  <c r="L68" i="4"/>
  <c r="Q68" i="4"/>
  <c r="N160" i="4"/>
  <c r="S160" i="4"/>
  <c r="V75" i="4"/>
  <c r="Q160" i="4"/>
  <c r="L133" i="4"/>
  <c r="J133" i="4"/>
  <c r="O133" i="4"/>
  <c r="O90" i="4"/>
  <c r="M90" i="4"/>
  <c r="R90" i="4"/>
  <c r="N78" i="4"/>
  <c r="S78" i="4"/>
  <c r="S68" i="4"/>
  <c r="P68" i="4"/>
  <c r="J68" i="4"/>
  <c r="Q123" i="9"/>
  <c r="R160" i="4"/>
  <c r="L160" i="4"/>
  <c r="AB133" i="4"/>
  <c r="P133" i="4"/>
  <c r="N133" i="4"/>
  <c r="L90" i="4"/>
  <c r="R78" i="4"/>
  <c r="K68" i="4"/>
  <c r="AB68" i="4"/>
  <c r="S206" i="4"/>
  <c r="O198" i="4"/>
  <c r="J198" i="4"/>
  <c r="W100" i="4"/>
  <c r="M124" i="4"/>
  <c r="R124" i="4"/>
  <c r="L124" i="4"/>
  <c r="K89" i="4"/>
  <c r="P89" i="4"/>
  <c r="N89" i="4"/>
  <c r="U62" i="4"/>
  <c r="AB3" i="4"/>
  <c r="N66" i="4"/>
  <c r="S66" i="4"/>
  <c r="P3" i="4"/>
  <c r="P206" i="4"/>
  <c r="AB150" i="4"/>
  <c r="L146" i="4"/>
  <c r="Q146" i="4"/>
  <c r="N3" i="4"/>
  <c r="S3" i="4"/>
  <c r="O52" i="4"/>
  <c r="M52" i="4"/>
  <c r="R52" i="4"/>
  <c r="N206" i="4"/>
  <c r="U206" i="4" s="1"/>
  <c r="W206" i="4"/>
  <c r="S198" i="4"/>
  <c r="L198" i="4"/>
  <c r="V209" i="4"/>
  <c r="V173" i="4"/>
  <c r="V100" i="4"/>
  <c r="Q124" i="4"/>
  <c r="T124" i="4" s="1"/>
  <c r="K124" i="4"/>
  <c r="P124" i="4"/>
  <c r="L89" i="4"/>
  <c r="M89" i="4"/>
  <c r="R89" i="4"/>
  <c r="R66" i="4"/>
  <c r="L66" i="4"/>
  <c r="Q43" i="4"/>
  <c r="W165" i="4"/>
  <c r="N150" i="4"/>
  <c r="P146" i="4"/>
  <c r="J146" i="4"/>
  <c r="L52" i="4"/>
  <c r="Q52" i="4"/>
  <c r="K206" i="4"/>
  <c r="M206" i="4"/>
  <c r="N198" i="4"/>
  <c r="M198" i="4"/>
  <c r="L206" i="4"/>
  <c r="R206" i="4"/>
  <c r="T100" i="4"/>
  <c r="J124" i="4"/>
  <c r="O124" i="4"/>
  <c r="AB89" i="4"/>
  <c r="Q89" i="4"/>
  <c r="K66" i="4"/>
  <c r="P66" i="4"/>
  <c r="K43" i="4"/>
  <c r="P198" i="4"/>
  <c r="O146" i="4"/>
  <c r="AB146" i="4"/>
  <c r="W108" i="4"/>
  <c r="J3" i="4"/>
  <c r="K52" i="4"/>
  <c r="P52" i="4"/>
  <c r="C13" i="9"/>
  <c r="U131" i="4"/>
  <c r="V106" i="4"/>
  <c r="U181" i="4"/>
  <c r="W181" i="4"/>
  <c r="C16" i="9"/>
  <c r="C12" i="9"/>
  <c r="R97" i="4"/>
  <c r="J132" i="4"/>
  <c r="V132" i="4" s="1"/>
  <c r="AB132" i="4"/>
  <c r="V42" i="4"/>
  <c r="V10" i="4"/>
  <c r="L3" i="4"/>
  <c r="E34" i="9"/>
  <c r="V139" i="4"/>
  <c r="V99" i="4"/>
  <c r="R50" i="4"/>
  <c r="L50" i="4"/>
  <c r="AB43" i="4"/>
  <c r="J43" i="4"/>
  <c r="O43" i="4"/>
  <c r="D53" i="9"/>
  <c r="E40" i="9"/>
  <c r="S150" i="4"/>
  <c r="M150" i="4"/>
  <c r="R150" i="4"/>
  <c r="D6" i="9"/>
  <c r="V78" i="4"/>
  <c r="Q3" i="4"/>
  <c r="T6" i="4"/>
  <c r="V6" i="4"/>
  <c r="M97" i="4"/>
  <c r="O132" i="4"/>
  <c r="T185" i="4"/>
  <c r="V131" i="4"/>
  <c r="Q97" i="4"/>
  <c r="K97" i="4"/>
  <c r="W174" i="4"/>
  <c r="N132" i="4"/>
  <c r="S132" i="4"/>
  <c r="U57" i="4"/>
  <c r="K50" i="4"/>
  <c r="P50" i="4"/>
  <c r="L43" i="4"/>
  <c r="N43" i="4"/>
  <c r="S43" i="4"/>
  <c r="U43" i="4" s="1"/>
  <c r="Q46" i="9" s="1"/>
  <c r="L150" i="4"/>
  <c r="Q150" i="4"/>
  <c r="U30" i="4"/>
  <c r="W133" i="4"/>
  <c r="V119" i="4"/>
  <c r="W140" i="4"/>
  <c r="K3" i="4"/>
  <c r="T150" i="4"/>
  <c r="AB97" i="4"/>
  <c r="J97" i="4"/>
  <c r="T97" i="4" s="1"/>
  <c r="O97" i="4"/>
  <c r="U182" i="4"/>
  <c r="R132" i="4"/>
  <c r="T48" i="4"/>
  <c r="P51" i="9" s="1"/>
  <c r="V24" i="4"/>
  <c r="T8" i="4"/>
  <c r="U106" i="4"/>
  <c r="Q50" i="4"/>
  <c r="T26" i="4"/>
  <c r="T24" i="4"/>
  <c r="P27" i="9" s="1"/>
  <c r="E22" i="9"/>
  <c r="U73" i="4"/>
  <c r="U59" i="4"/>
  <c r="V59" i="4"/>
  <c r="W59" i="4"/>
  <c r="J50" i="4"/>
  <c r="O50" i="4"/>
  <c r="AB50" i="4"/>
  <c r="M43" i="4"/>
  <c r="W43" i="4" s="1"/>
  <c r="R43" i="4"/>
  <c r="T27" i="4"/>
  <c r="X27" i="4" s="1"/>
  <c r="AA27" i="4" s="1"/>
  <c r="V11" i="4"/>
  <c r="E60" i="9"/>
  <c r="K150" i="4"/>
  <c r="P150" i="4"/>
  <c r="W57" i="4"/>
  <c r="T133" i="4"/>
  <c r="V133" i="4"/>
  <c r="R3" i="4"/>
  <c r="V49" i="4"/>
  <c r="V17" i="4"/>
  <c r="V129" i="4"/>
  <c r="T220" i="4"/>
  <c r="X220" i="4" s="1"/>
  <c r="AD220" i="4" s="1"/>
  <c r="W81" i="4"/>
  <c r="T86" i="4"/>
  <c r="T29" i="4"/>
  <c r="U18" i="4"/>
  <c r="W70" i="4"/>
  <c r="W193" i="4"/>
  <c r="V177" i="4"/>
  <c r="T205" i="4"/>
  <c r="P208" i="9" s="1"/>
  <c r="U204" i="4"/>
  <c r="X204" i="4" s="1"/>
  <c r="V154" i="4"/>
  <c r="T130" i="4"/>
  <c r="V122" i="4"/>
  <c r="T152" i="4"/>
  <c r="W145" i="4"/>
  <c r="W129" i="4"/>
  <c r="W99" i="4"/>
  <c r="V97" i="4"/>
  <c r="W88" i="4"/>
  <c r="T201" i="4"/>
  <c r="V201" i="4"/>
  <c r="W182" i="4"/>
  <c r="U174" i="4"/>
  <c r="U132" i="4"/>
  <c r="Q135" i="9" s="1"/>
  <c r="V116" i="4"/>
  <c r="W221" i="4"/>
  <c r="V221" i="4"/>
  <c r="W160" i="4"/>
  <c r="U144" i="4"/>
  <c r="Q147" i="9" s="1"/>
  <c r="W96" i="4"/>
  <c r="V220" i="4"/>
  <c r="V164" i="4"/>
  <c r="T134" i="4"/>
  <c r="T107" i="4"/>
  <c r="W89" i="4"/>
  <c r="T81" i="4"/>
  <c r="T74" i="4"/>
  <c r="U45" i="4"/>
  <c r="Q48" i="9" s="1"/>
  <c r="U22" i="4"/>
  <c r="T10" i="4"/>
  <c r="W156" i="4"/>
  <c r="T120" i="4"/>
  <c r="W117" i="4"/>
  <c r="U78" i="4"/>
  <c r="W66" i="4"/>
  <c r="W34" i="4"/>
  <c r="T14" i="4"/>
  <c r="V70" i="4"/>
  <c r="V22" i="4"/>
  <c r="W14" i="4"/>
  <c r="T140" i="4"/>
  <c r="P143" i="9" s="1"/>
  <c r="W3" i="4"/>
  <c r="T17" i="4"/>
  <c r="T84" i="4"/>
  <c r="W214" i="4"/>
  <c r="V197" i="4"/>
  <c r="V193" i="4"/>
  <c r="U169" i="4"/>
  <c r="T214" i="4"/>
  <c r="X214" i="4" s="1"/>
  <c r="AD214" i="4" s="1"/>
  <c r="W198" i="4"/>
  <c r="V185" i="4"/>
  <c r="W209" i="4"/>
  <c r="W196" i="4"/>
  <c r="V205" i="4"/>
  <c r="T213" i="4"/>
  <c r="V212" i="4"/>
  <c r="W185" i="4"/>
  <c r="T181" i="4"/>
  <c r="X181" i="4" s="1"/>
  <c r="AA181" i="4" s="1"/>
  <c r="T161" i="4"/>
  <c r="V145" i="4"/>
  <c r="W136" i="4"/>
  <c r="W123" i="4"/>
  <c r="W113" i="4"/>
  <c r="W97" i="4"/>
  <c r="U88" i="4"/>
  <c r="Q91" i="9" s="1"/>
  <c r="W201" i="4"/>
  <c r="U148" i="4"/>
  <c r="Q151" i="9" s="1"/>
  <c r="W148" i="4"/>
  <c r="T148" i="4"/>
  <c r="P151" i="9" s="1"/>
  <c r="U100" i="4"/>
  <c r="Q103" i="9" s="1"/>
  <c r="U160" i="4"/>
  <c r="Q163" i="9" s="1"/>
  <c r="W112" i="4"/>
  <c r="V96" i="4"/>
  <c r="W4" i="4"/>
  <c r="V168" i="4"/>
  <c r="W149" i="4"/>
  <c r="V124" i="4"/>
  <c r="T75" i="4"/>
  <c r="W58" i="4"/>
  <c r="U54" i="4"/>
  <c r="U26" i="4"/>
  <c r="X26" i="4" s="1"/>
  <c r="W26" i="4"/>
  <c r="T11" i="4"/>
  <c r="V156" i="4"/>
  <c r="V117" i="4"/>
  <c r="U75" i="4"/>
  <c r="Q78" i="9" s="1"/>
  <c r="T71" i="4"/>
  <c r="T57" i="4"/>
  <c r="X57" i="4" s="1"/>
  <c r="R60" i="9" s="1"/>
  <c r="U34" i="4"/>
  <c r="U11" i="4"/>
  <c r="V73" i="4"/>
  <c r="W55" i="4"/>
  <c r="W39" i="4"/>
  <c r="V176" i="4"/>
  <c r="U133" i="4"/>
  <c r="X133" i="4" s="1"/>
  <c r="W71" i="4"/>
  <c r="W46" i="4"/>
  <c r="W84" i="4"/>
  <c r="T194" i="4"/>
  <c r="U198" i="4"/>
  <c r="T209" i="4"/>
  <c r="P212" i="9" s="1"/>
  <c r="T197" i="4"/>
  <c r="T193" i="4"/>
  <c r="V217" i="4"/>
  <c r="U213" i="4"/>
  <c r="Q216" i="9" s="1"/>
  <c r="V134" i="4"/>
  <c r="V102" i="4"/>
  <c r="W225" i="4"/>
  <c r="V225" i="4"/>
  <c r="V161" i="4"/>
  <c r="U136" i="4"/>
  <c r="Q139" i="9" s="1"/>
  <c r="T129" i="4"/>
  <c r="V120" i="4"/>
  <c r="V113" i="4"/>
  <c r="W104" i="4"/>
  <c r="V148" i="4"/>
  <c r="W132" i="4"/>
  <c r="W128" i="4"/>
  <c r="V112" i="4"/>
  <c r="U96" i="4"/>
  <c r="Q99" i="9" s="1"/>
  <c r="T170" i="4"/>
  <c r="V149" i="4"/>
  <c r="W124" i="4"/>
  <c r="W86" i="4"/>
  <c r="U74" i="4"/>
  <c r="U58" i="4"/>
  <c r="W42" i="4"/>
  <c r="V26" i="4"/>
  <c r="U10" i="4"/>
  <c r="W92" i="4"/>
  <c r="W50" i="4"/>
  <c r="W18" i="4"/>
  <c r="V165" i="4"/>
  <c r="T55" i="4"/>
  <c r="P58" i="9" s="1"/>
  <c r="T39" i="4"/>
  <c r="T9" i="4"/>
  <c r="T176" i="4"/>
  <c r="V108" i="4"/>
  <c r="V71" i="4"/>
  <c r="V46" i="4"/>
  <c r="P155" i="9"/>
  <c r="P123" i="9"/>
  <c r="X120" i="4"/>
  <c r="P87" i="9"/>
  <c r="P103" i="9"/>
  <c r="P127" i="9"/>
  <c r="P159" i="9"/>
  <c r="Y27" i="4"/>
  <c r="Y214" i="4"/>
  <c r="AA214" i="4"/>
  <c r="Y181" i="4"/>
  <c r="AA59" i="4"/>
  <c r="AD59" i="4"/>
  <c r="Z59" i="4"/>
  <c r="Y59" i="4"/>
  <c r="Y220" i="4"/>
  <c r="S223" i="9" s="1"/>
  <c r="X205" i="4"/>
  <c r="P179" i="9"/>
  <c r="T206" i="4"/>
  <c r="X206" i="4" s="1"/>
  <c r="AB183" i="4"/>
  <c r="P183" i="4"/>
  <c r="L183" i="4"/>
  <c r="S183" i="4"/>
  <c r="O183" i="4"/>
  <c r="K183" i="4"/>
  <c r="R183" i="4"/>
  <c r="N183" i="4"/>
  <c r="J183" i="4"/>
  <c r="Q183" i="4"/>
  <c r="M183" i="4"/>
  <c r="T217" i="4"/>
  <c r="X217" i="4" s="1"/>
  <c r="T169" i="4"/>
  <c r="X169" i="4" s="1"/>
  <c r="R172" i="9" s="1"/>
  <c r="S125" i="4"/>
  <c r="O125" i="4"/>
  <c r="K125" i="4"/>
  <c r="W125" i="4" s="1"/>
  <c r="R125" i="4"/>
  <c r="N125" i="4"/>
  <c r="J125" i="4"/>
  <c r="V125" i="4" s="1"/>
  <c r="Q125" i="4"/>
  <c r="M125" i="4"/>
  <c r="P125" i="4"/>
  <c r="AB125" i="4"/>
  <c r="L125" i="4"/>
  <c r="D128" i="9"/>
  <c r="AC76" i="4"/>
  <c r="E79" i="9"/>
  <c r="AC52" i="4"/>
  <c r="E55" i="9"/>
  <c r="T52" i="4"/>
  <c r="P55" i="9" s="1"/>
  <c r="AC44" i="4"/>
  <c r="E47" i="9"/>
  <c r="AC20" i="4"/>
  <c r="E23" i="9"/>
  <c r="T20" i="4"/>
  <c r="P23" i="9" s="1"/>
  <c r="V20" i="4"/>
  <c r="U20" i="4"/>
  <c r="Q23" i="9" s="1"/>
  <c r="W20" i="4"/>
  <c r="V170" i="4"/>
  <c r="Q37" i="4"/>
  <c r="M37" i="4"/>
  <c r="AB37" i="4"/>
  <c r="P37" i="4"/>
  <c r="L37" i="4"/>
  <c r="S37" i="4"/>
  <c r="O37" i="4"/>
  <c r="K37" i="4"/>
  <c r="N37" i="4"/>
  <c r="J37" i="4"/>
  <c r="R37" i="4"/>
  <c r="D40" i="9"/>
  <c r="S19" i="4"/>
  <c r="O19" i="4"/>
  <c r="K19" i="4"/>
  <c r="R19" i="4"/>
  <c r="N19" i="4"/>
  <c r="J19" i="4"/>
  <c r="Q19" i="4"/>
  <c r="M19" i="4"/>
  <c r="AB19" i="4"/>
  <c r="L19" i="4"/>
  <c r="P19" i="4"/>
  <c r="D22" i="9"/>
  <c r="P167" i="9"/>
  <c r="Q134" i="9"/>
  <c r="Q102" i="9"/>
  <c r="P7" i="7"/>
  <c r="B7" i="7"/>
  <c r="K39" i="11" s="1"/>
  <c r="O7" i="7"/>
  <c r="Q7" i="7" s="1"/>
  <c r="O39" i="11" s="1"/>
  <c r="J39" i="11"/>
  <c r="J43" i="11"/>
  <c r="P11" i="7"/>
  <c r="B11" i="7"/>
  <c r="K43" i="11" s="1"/>
  <c r="O11" i="7"/>
  <c r="P17" i="7"/>
  <c r="B17" i="7"/>
  <c r="K47" i="11" s="1"/>
  <c r="O17" i="7"/>
  <c r="Q17" i="7" s="1"/>
  <c r="O47" i="11" s="1"/>
  <c r="J47" i="11"/>
  <c r="K51" i="11"/>
  <c r="J51" i="11"/>
  <c r="P23" i="7"/>
  <c r="B23" i="7"/>
  <c r="O23" i="7"/>
  <c r="T138" i="4"/>
  <c r="U66" i="4"/>
  <c r="P204" i="9"/>
  <c r="E187" i="9"/>
  <c r="Q136" i="9"/>
  <c r="P136" i="9"/>
  <c r="D186" i="9"/>
  <c r="E189" i="9"/>
  <c r="E193" i="9"/>
  <c r="Q209" i="9"/>
  <c r="P209" i="9"/>
  <c r="R209" i="9"/>
  <c r="U123" i="4"/>
  <c r="V57" i="4"/>
  <c r="AC33" i="4"/>
  <c r="V33" i="4"/>
  <c r="U205" i="4"/>
  <c r="Q208" i="9" s="1"/>
  <c r="V155" i="4"/>
  <c r="U154" i="4"/>
  <c r="Q157" i="9" s="1"/>
  <c r="U142" i="4"/>
  <c r="V142" i="4"/>
  <c r="T91" i="4"/>
  <c r="X91" i="4" s="1"/>
  <c r="T38" i="4"/>
  <c r="P41" i="9" s="1"/>
  <c r="U38" i="4"/>
  <c r="V38" i="4"/>
  <c r="T22" i="4"/>
  <c r="X22" i="4" s="1"/>
  <c r="AB2" i="4"/>
  <c r="R2" i="4"/>
  <c r="N2" i="4"/>
  <c r="J2" i="4"/>
  <c r="S2" i="4"/>
  <c r="M2" i="4"/>
  <c r="P2" i="4"/>
  <c r="K2" i="4"/>
  <c r="O2" i="4"/>
  <c r="Q2" i="4"/>
  <c r="L2" i="4"/>
  <c r="E170" i="9"/>
  <c r="E109" i="9"/>
  <c r="E97" i="9"/>
  <c r="U122" i="4"/>
  <c r="X122" i="4" s="1"/>
  <c r="V101" i="4"/>
  <c r="U101" i="4"/>
  <c r="Q104" i="9" s="1"/>
  <c r="T101" i="4"/>
  <c r="X101" i="4" s="1"/>
  <c r="V25" i="4"/>
  <c r="W25" i="4"/>
  <c r="U25" i="4"/>
  <c r="Q28" i="9" s="1"/>
  <c r="U64" i="4"/>
  <c r="Q67" i="9" s="1"/>
  <c r="W48" i="4"/>
  <c r="U6" i="4"/>
  <c r="X6" i="4" s="1"/>
  <c r="AC177" i="4"/>
  <c r="E180" i="9"/>
  <c r="AC151" i="4"/>
  <c r="U151" i="4"/>
  <c r="Q154" i="9" s="1"/>
  <c r="W151" i="4"/>
  <c r="AC68" i="4"/>
  <c r="E71" i="9"/>
  <c r="T68" i="4"/>
  <c r="P71" i="9" s="1"/>
  <c r="AC36" i="4"/>
  <c r="E39" i="9"/>
  <c r="V36" i="4"/>
  <c r="U36" i="4"/>
  <c r="Q39" i="9" s="1"/>
  <c r="W36" i="4"/>
  <c r="AC12" i="4"/>
  <c r="E15" i="9"/>
  <c r="AB219" i="4"/>
  <c r="P219" i="4"/>
  <c r="L219" i="4"/>
  <c r="R219" i="4"/>
  <c r="N219" i="4"/>
  <c r="J219" i="4"/>
  <c r="Q219" i="4"/>
  <c r="O219" i="4"/>
  <c r="M219" i="4"/>
  <c r="K219" i="4"/>
  <c r="S219" i="4"/>
  <c r="Q222" i="4"/>
  <c r="M222" i="4"/>
  <c r="AB222" i="4"/>
  <c r="P222" i="4"/>
  <c r="L222" i="4"/>
  <c r="S222" i="4"/>
  <c r="O222" i="4"/>
  <c r="K222" i="4"/>
  <c r="R222" i="4"/>
  <c r="N222" i="4"/>
  <c r="J222" i="4"/>
  <c r="Q210" i="4"/>
  <c r="M210" i="4"/>
  <c r="S210" i="4"/>
  <c r="O210" i="4"/>
  <c r="K210" i="4"/>
  <c r="R210" i="4"/>
  <c r="J210" i="4"/>
  <c r="U210" i="4" s="1"/>
  <c r="Q213" i="9" s="1"/>
  <c r="P210" i="4"/>
  <c r="N210" i="4"/>
  <c r="AB210" i="4"/>
  <c r="T210" i="4"/>
  <c r="P213" i="9" s="1"/>
  <c r="L210" i="4"/>
  <c r="D213" i="9"/>
  <c r="S179" i="4"/>
  <c r="O179" i="4"/>
  <c r="K179" i="4"/>
  <c r="R179" i="4"/>
  <c r="N179" i="4"/>
  <c r="J179" i="4"/>
  <c r="Q179" i="4"/>
  <c r="P179" i="4"/>
  <c r="M179" i="4"/>
  <c r="L179" i="4"/>
  <c r="U179" i="4" s="1"/>
  <c r="Q182" i="9" s="1"/>
  <c r="AB179" i="4"/>
  <c r="U209" i="4"/>
  <c r="W197" i="4"/>
  <c r="W217" i="4"/>
  <c r="V204" i="4"/>
  <c r="S192" i="4"/>
  <c r="O192" i="4"/>
  <c r="K192" i="4"/>
  <c r="R192" i="4"/>
  <c r="N192" i="4"/>
  <c r="J192" i="4"/>
  <c r="Q192" i="4"/>
  <c r="W192" i="4" s="1"/>
  <c r="M192" i="4"/>
  <c r="P192" i="4"/>
  <c r="AB192" i="4"/>
  <c r="L192" i="4"/>
  <c r="T192" i="4" s="1"/>
  <c r="AC182" i="4"/>
  <c r="V182" i="4"/>
  <c r="AC154" i="4"/>
  <c r="W154" i="4"/>
  <c r="AC146" i="4"/>
  <c r="E149" i="9"/>
  <c r="AC122" i="4"/>
  <c r="W122" i="4"/>
  <c r="T122" i="4"/>
  <c r="AC114" i="4"/>
  <c r="V114" i="4"/>
  <c r="U114" i="4"/>
  <c r="Q117" i="9" s="1"/>
  <c r="W114" i="4"/>
  <c r="E117" i="9"/>
  <c r="AC98" i="4"/>
  <c r="E101" i="9"/>
  <c r="AC90" i="4"/>
  <c r="W90" i="4"/>
  <c r="T90" i="4"/>
  <c r="T225" i="4"/>
  <c r="P228" i="9" s="1"/>
  <c r="U185" i="4"/>
  <c r="X185" i="4" s="1"/>
  <c r="T163" i="4"/>
  <c r="P166" i="9" s="1"/>
  <c r="U161" i="4"/>
  <c r="X161" i="4" s="1"/>
  <c r="U152" i="4"/>
  <c r="Q155" i="9" s="1"/>
  <c r="T147" i="4"/>
  <c r="P150" i="9" s="1"/>
  <c r="T136" i="4"/>
  <c r="U129" i="4"/>
  <c r="Q132" i="9" s="1"/>
  <c r="T115" i="4"/>
  <c r="P118" i="9" s="1"/>
  <c r="T104" i="4"/>
  <c r="U97" i="4"/>
  <c r="X97" i="4" s="1"/>
  <c r="AB82" i="4"/>
  <c r="P82" i="4"/>
  <c r="L82" i="4"/>
  <c r="Q82" i="4"/>
  <c r="K82" i="4"/>
  <c r="O82" i="4"/>
  <c r="J82" i="4"/>
  <c r="S82" i="4"/>
  <c r="N82" i="4"/>
  <c r="U82" i="4" s="1"/>
  <c r="Q85" i="9" s="1"/>
  <c r="R82" i="4"/>
  <c r="M82" i="4"/>
  <c r="T177" i="4"/>
  <c r="P180" i="9" s="1"/>
  <c r="W169" i="4"/>
  <c r="AC135" i="4"/>
  <c r="V135" i="4"/>
  <c r="T132" i="4"/>
  <c r="S109" i="4"/>
  <c r="O109" i="4"/>
  <c r="K109" i="4"/>
  <c r="R109" i="4"/>
  <c r="N109" i="4"/>
  <c r="J109" i="4"/>
  <c r="Q109" i="4"/>
  <c r="M109" i="4"/>
  <c r="P109" i="4"/>
  <c r="AB109" i="4"/>
  <c r="L109" i="4"/>
  <c r="T109" i="4" s="1"/>
  <c r="D112" i="9"/>
  <c r="S7" i="4"/>
  <c r="O7" i="4"/>
  <c r="K7" i="4"/>
  <c r="R7" i="4"/>
  <c r="N7" i="4"/>
  <c r="J7" i="4"/>
  <c r="Q7" i="4"/>
  <c r="M7" i="4"/>
  <c r="AB7" i="4"/>
  <c r="L7" i="4"/>
  <c r="V7" i="4" s="1"/>
  <c r="P7" i="4"/>
  <c r="T160" i="4"/>
  <c r="T144" i="4"/>
  <c r="T128" i="4"/>
  <c r="T112" i="4"/>
  <c r="T96" i="4"/>
  <c r="T88" i="4"/>
  <c r="AC172" i="4"/>
  <c r="E175" i="9"/>
  <c r="W170" i="4"/>
  <c r="W164" i="4"/>
  <c r="W158" i="4"/>
  <c r="T158" i="4"/>
  <c r="T135" i="4"/>
  <c r="P138" i="9" s="1"/>
  <c r="U134" i="4"/>
  <c r="X134" i="4" s="1"/>
  <c r="U124" i="4"/>
  <c r="Q127" i="9" s="1"/>
  <c r="W118" i="4"/>
  <c r="W107" i="4"/>
  <c r="U107" i="4"/>
  <c r="X107" i="4" s="1"/>
  <c r="U104" i="4"/>
  <c r="Q107" i="9" s="1"/>
  <c r="Q95" i="4"/>
  <c r="M95" i="4"/>
  <c r="AB95" i="4"/>
  <c r="P95" i="4"/>
  <c r="L95" i="4"/>
  <c r="S95" i="4"/>
  <c r="O95" i="4"/>
  <c r="K95" i="4"/>
  <c r="J95" i="4"/>
  <c r="R95" i="4"/>
  <c r="N95" i="4"/>
  <c r="D98" i="9"/>
  <c r="U81" i="4"/>
  <c r="X81" i="4" s="1"/>
  <c r="Q53" i="4"/>
  <c r="M53" i="4"/>
  <c r="AB53" i="4"/>
  <c r="P53" i="4"/>
  <c r="L53" i="4"/>
  <c r="S53" i="4"/>
  <c r="O53" i="4"/>
  <c r="K53" i="4"/>
  <c r="N53" i="4"/>
  <c r="R53" i="4"/>
  <c r="J53" i="4"/>
  <c r="D56" i="9"/>
  <c r="T42" i="4"/>
  <c r="S35" i="4"/>
  <c r="O35" i="4"/>
  <c r="K35" i="4"/>
  <c r="R35" i="4"/>
  <c r="N35" i="4"/>
  <c r="J35" i="4"/>
  <c r="Q35" i="4"/>
  <c r="M35" i="4"/>
  <c r="AB35" i="4"/>
  <c r="L35" i="4"/>
  <c r="P35" i="4"/>
  <c r="D38" i="9"/>
  <c r="AC13" i="4"/>
  <c r="E16" i="9"/>
  <c r="P196" i="9"/>
  <c r="E158" i="9"/>
  <c r="E142" i="9"/>
  <c r="E126" i="9"/>
  <c r="E110" i="9"/>
  <c r="E94" i="9"/>
  <c r="K40" i="11"/>
  <c r="J40" i="11"/>
  <c r="P8" i="7"/>
  <c r="B8" i="7"/>
  <c r="O8" i="7"/>
  <c r="J44" i="11"/>
  <c r="P12" i="7"/>
  <c r="B12" i="7"/>
  <c r="K44" i="11" s="1"/>
  <c r="O12" i="7"/>
  <c r="K48" i="11"/>
  <c r="J48" i="11"/>
  <c r="P18" i="7"/>
  <c r="B18" i="7"/>
  <c r="O18" i="7"/>
  <c r="J52" i="11"/>
  <c r="P26" i="7"/>
  <c r="B26" i="7"/>
  <c r="K52" i="11" s="1"/>
  <c r="O26" i="7"/>
  <c r="V151" i="4"/>
  <c r="T139" i="4"/>
  <c r="P142" i="9" s="1"/>
  <c r="U138" i="4"/>
  <c r="X138" i="4" s="1"/>
  <c r="V138" i="4"/>
  <c r="Q127" i="4"/>
  <c r="M127" i="4"/>
  <c r="AB127" i="4"/>
  <c r="P127" i="4"/>
  <c r="L127" i="4"/>
  <c r="S127" i="4"/>
  <c r="O127" i="4"/>
  <c r="K127" i="4"/>
  <c r="J127" i="4"/>
  <c r="R127" i="4"/>
  <c r="N127" i="4"/>
  <c r="D130" i="9"/>
  <c r="T102" i="4"/>
  <c r="T92" i="4"/>
  <c r="U86" i="4"/>
  <c r="X86" i="4" s="1"/>
  <c r="T77" i="4"/>
  <c r="T61" i="4"/>
  <c r="T45" i="4"/>
  <c r="T13" i="4"/>
  <c r="Q207" i="9"/>
  <c r="P207" i="9"/>
  <c r="E203" i="9"/>
  <c r="P132" i="9"/>
  <c r="P100" i="9"/>
  <c r="Q84" i="9"/>
  <c r="P84" i="9"/>
  <c r="E80" i="9"/>
  <c r="E64" i="9"/>
  <c r="E36" i="9"/>
  <c r="E161" i="9"/>
  <c r="E205" i="9"/>
  <c r="T165" i="4"/>
  <c r="T151" i="4"/>
  <c r="X151" i="4" s="1"/>
  <c r="T146" i="4"/>
  <c r="U116" i="4"/>
  <c r="Q119" i="9" s="1"/>
  <c r="AC49" i="4"/>
  <c r="T49" i="4"/>
  <c r="W30" i="4"/>
  <c r="W24" i="4"/>
  <c r="U24" i="4"/>
  <c r="W23" i="4"/>
  <c r="AC17" i="4"/>
  <c r="U17" i="4"/>
  <c r="X17" i="4" s="1"/>
  <c r="W17" i="4"/>
  <c r="V181" i="4"/>
  <c r="V178" i="4"/>
  <c r="T178" i="4"/>
  <c r="T155" i="4"/>
  <c r="X155" i="4" s="1"/>
  <c r="T114" i="4"/>
  <c r="P117" i="9" s="1"/>
  <c r="T108" i="4"/>
  <c r="W91" i="4"/>
  <c r="W54" i="4"/>
  <c r="S31" i="4"/>
  <c r="O31" i="4"/>
  <c r="K31" i="4"/>
  <c r="R31" i="4"/>
  <c r="N31" i="4"/>
  <c r="J31" i="4"/>
  <c r="Q31" i="4"/>
  <c r="M31" i="4"/>
  <c r="P31" i="4"/>
  <c r="AB31" i="4"/>
  <c r="L31" i="4"/>
  <c r="D34" i="9"/>
  <c r="W22" i="4"/>
  <c r="U3" i="4"/>
  <c r="Q6" i="9" s="1"/>
  <c r="P216" i="9"/>
  <c r="P200" i="9"/>
  <c r="D195" i="9"/>
  <c r="P161" i="9"/>
  <c r="E157" i="9"/>
  <c r="E93" i="9"/>
  <c r="Q81" i="9"/>
  <c r="Q65" i="9"/>
  <c r="Q49" i="9"/>
  <c r="Q33" i="9"/>
  <c r="P17" i="9"/>
  <c r="U85" i="4"/>
  <c r="Q88" i="9" s="1"/>
  <c r="W78" i="4"/>
  <c r="W62" i="4"/>
  <c r="T33" i="4"/>
  <c r="V81" i="4"/>
  <c r="U52" i="4"/>
  <c r="Q55" i="9" s="1"/>
  <c r="V52" i="4"/>
  <c r="AB207" i="4"/>
  <c r="P207" i="4"/>
  <c r="L207" i="4"/>
  <c r="R207" i="4"/>
  <c r="N207" i="4"/>
  <c r="J207" i="4"/>
  <c r="M207" i="4"/>
  <c r="S207" i="4"/>
  <c r="K207" i="4"/>
  <c r="Q207" i="4"/>
  <c r="O207" i="4"/>
  <c r="D210" i="9"/>
  <c r="Q218" i="4"/>
  <c r="M218" i="4"/>
  <c r="S218" i="4"/>
  <c r="O218" i="4"/>
  <c r="K218" i="4"/>
  <c r="R218" i="4"/>
  <c r="J218" i="4"/>
  <c r="P218" i="4"/>
  <c r="N218" i="4"/>
  <c r="L218" i="4"/>
  <c r="AB218" i="4"/>
  <c r="D221" i="9"/>
  <c r="W208" i="4"/>
  <c r="S208" i="4"/>
  <c r="O208" i="4"/>
  <c r="K208" i="4"/>
  <c r="Q208" i="4"/>
  <c r="M208" i="4"/>
  <c r="P208" i="4"/>
  <c r="N208" i="4"/>
  <c r="U208" i="4" s="1"/>
  <c r="Q211" i="9" s="1"/>
  <c r="AB208" i="4"/>
  <c r="L208" i="4"/>
  <c r="R208" i="4"/>
  <c r="J208" i="4"/>
  <c r="D211" i="9"/>
  <c r="R180" i="4"/>
  <c r="N180" i="4"/>
  <c r="J180" i="4"/>
  <c r="Q180" i="4"/>
  <c r="M180" i="4"/>
  <c r="S180" i="4"/>
  <c r="K180" i="4"/>
  <c r="P180" i="4"/>
  <c r="O180" i="4"/>
  <c r="AB180" i="4"/>
  <c r="L180" i="4"/>
  <c r="V213" i="4"/>
  <c r="AC163" i="4"/>
  <c r="V163" i="4"/>
  <c r="W163" i="4"/>
  <c r="S153" i="4"/>
  <c r="O153" i="4"/>
  <c r="K153" i="4"/>
  <c r="R153" i="4"/>
  <c r="N153" i="4"/>
  <c r="J153" i="4"/>
  <c r="V153" i="4" s="1"/>
  <c r="Q153" i="4"/>
  <c r="M153" i="4"/>
  <c r="P153" i="4"/>
  <c r="AB153" i="4"/>
  <c r="L153" i="4"/>
  <c r="D156" i="9"/>
  <c r="S137" i="4"/>
  <c r="O137" i="4"/>
  <c r="K137" i="4"/>
  <c r="R137" i="4"/>
  <c r="N137" i="4"/>
  <c r="J137" i="4"/>
  <c r="Q137" i="4"/>
  <c r="M137" i="4"/>
  <c r="P137" i="4"/>
  <c r="AB137" i="4"/>
  <c r="L137" i="4"/>
  <c r="D140" i="9"/>
  <c r="S121" i="4"/>
  <c r="O121" i="4"/>
  <c r="K121" i="4"/>
  <c r="R121" i="4"/>
  <c r="N121" i="4"/>
  <c r="J121" i="4"/>
  <c r="Q121" i="4"/>
  <c r="M121" i="4"/>
  <c r="P121" i="4"/>
  <c r="AB121" i="4"/>
  <c r="L121" i="4"/>
  <c r="D124" i="9"/>
  <c r="S105" i="4"/>
  <c r="O105" i="4"/>
  <c r="K105" i="4"/>
  <c r="R105" i="4"/>
  <c r="N105" i="4"/>
  <c r="J105" i="4"/>
  <c r="Q105" i="4"/>
  <c r="M105" i="4"/>
  <c r="P105" i="4"/>
  <c r="AB105" i="4"/>
  <c r="L105" i="4"/>
  <c r="D108" i="9"/>
  <c r="S83" i="4"/>
  <c r="O83" i="4"/>
  <c r="K83" i="4"/>
  <c r="N83" i="4"/>
  <c r="R83" i="4"/>
  <c r="M83" i="4"/>
  <c r="AB83" i="4"/>
  <c r="Q83" i="4"/>
  <c r="L83" i="4"/>
  <c r="J83" i="4"/>
  <c r="P83" i="4"/>
  <c r="D86" i="9"/>
  <c r="AC60" i="4"/>
  <c r="E63" i="9"/>
  <c r="AC28" i="4"/>
  <c r="E31" i="9"/>
  <c r="AC4" i="4"/>
  <c r="E7" i="9"/>
  <c r="V4" i="4"/>
  <c r="Q159" i="4"/>
  <c r="M159" i="4"/>
  <c r="AB159" i="4"/>
  <c r="P159" i="4"/>
  <c r="L159" i="4"/>
  <c r="S159" i="4"/>
  <c r="O159" i="4"/>
  <c r="K159" i="4"/>
  <c r="J159" i="4"/>
  <c r="U159" i="4" s="1"/>
  <c r="Q162" i="9" s="1"/>
  <c r="R159" i="4"/>
  <c r="N159" i="4"/>
  <c r="D162" i="9"/>
  <c r="S224" i="4"/>
  <c r="O224" i="4"/>
  <c r="K224" i="4"/>
  <c r="R224" i="4"/>
  <c r="N224" i="4"/>
  <c r="J224" i="4"/>
  <c r="Q224" i="4"/>
  <c r="M224" i="4"/>
  <c r="AB224" i="4"/>
  <c r="L224" i="4"/>
  <c r="P224" i="4"/>
  <c r="D227" i="9"/>
  <c r="AB203" i="4"/>
  <c r="P203" i="4"/>
  <c r="L203" i="4"/>
  <c r="R203" i="4"/>
  <c r="N203" i="4"/>
  <c r="J203" i="4"/>
  <c r="Q203" i="4"/>
  <c r="O203" i="4"/>
  <c r="M203" i="4"/>
  <c r="S203" i="4"/>
  <c r="K203" i="4"/>
  <c r="AC194" i="4"/>
  <c r="V194" i="4"/>
  <c r="E197" i="9"/>
  <c r="AC189" i="4"/>
  <c r="V189" i="4"/>
  <c r="U189" i="4"/>
  <c r="Q192" i="9" s="1"/>
  <c r="U193" i="4"/>
  <c r="Q196" i="9" s="1"/>
  <c r="R172" i="4"/>
  <c r="N172" i="4"/>
  <c r="V172" i="4" s="1"/>
  <c r="J172" i="4"/>
  <c r="Q172" i="4"/>
  <c r="M172" i="4"/>
  <c r="S172" i="4"/>
  <c r="K172" i="4"/>
  <c r="P172" i="4"/>
  <c r="O172" i="4"/>
  <c r="AB172" i="4"/>
  <c r="L172" i="4"/>
  <c r="S216" i="4"/>
  <c r="O216" i="4"/>
  <c r="K216" i="4"/>
  <c r="Q216" i="4"/>
  <c r="M216" i="4"/>
  <c r="W216" i="4" s="1"/>
  <c r="P216" i="4"/>
  <c r="N216" i="4"/>
  <c r="AB216" i="4"/>
  <c r="T216" i="4"/>
  <c r="L216" i="4"/>
  <c r="J216" i="4"/>
  <c r="R216" i="4"/>
  <c r="D219" i="9"/>
  <c r="W194" i="4"/>
  <c r="AC130" i="4"/>
  <c r="E133" i="9"/>
  <c r="AB215" i="4"/>
  <c r="P215" i="4"/>
  <c r="L215" i="4"/>
  <c r="R215" i="4"/>
  <c r="N215" i="4"/>
  <c r="V215" i="4" s="1"/>
  <c r="J215" i="4"/>
  <c r="M215" i="4"/>
  <c r="S215" i="4"/>
  <c r="K215" i="4"/>
  <c r="W215" i="4" s="1"/>
  <c r="Q215" i="4"/>
  <c r="O215" i="4"/>
  <c r="AB199" i="4"/>
  <c r="P199" i="4"/>
  <c r="L199" i="4"/>
  <c r="R199" i="4"/>
  <c r="N199" i="4"/>
  <c r="V199" i="4" s="1"/>
  <c r="J199" i="4"/>
  <c r="M199" i="4"/>
  <c r="S199" i="4"/>
  <c r="K199" i="4"/>
  <c r="Q199" i="4"/>
  <c r="O199" i="4"/>
  <c r="V198" i="4"/>
  <c r="Q202" i="4"/>
  <c r="M202" i="4"/>
  <c r="S202" i="4"/>
  <c r="O202" i="4"/>
  <c r="K202" i="4"/>
  <c r="R202" i="4"/>
  <c r="J202" i="4"/>
  <c r="P202" i="4"/>
  <c r="N202" i="4"/>
  <c r="AB202" i="4"/>
  <c r="L202" i="4"/>
  <c r="D205" i="9"/>
  <c r="AB187" i="4"/>
  <c r="P187" i="4"/>
  <c r="L187" i="4"/>
  <c r="W187" i="4"/>
  <c r="S187" i="4"/>
  <c r="O187" i="4"/>
  <c r="K187" i="4"/>
  <c r="V187" i="4"/>
  <c r="R187" i="4"/>
  <c r="N187" i="4"/>
  <c r="J187" i="4"/>
  <c r="T187" i="4" s="1"/>
  <c r="U187" i="4"/>
  <c r="Q190" i="9" s="1"/>
  <c r="Q187" i="4"/>
  <c r="M187" i="4"/>
  <c r="S175" i="4"/>
  <c r="O175" i="4"/>
  <c r="K175" i="4"/>
  <c r="R175" i="4"/>
  <c r="N175" i="4"/>
  <c r="J175" i="4"/>
  <c r="M175" i="4"/>
  <c r="AB175" i="4"/>
  <c r="L175" i="4"/>
  <c r="Q175" i="4"/>
  <c r="P175" i="4"/>
  <c r="D178" i="9"/>
  <c r="U197" i="4"/>
  <c r="Q200" i="9" s="1"/>
  <c r="AB166" i="4"/>
  <c r="P166" i="4"/>
  <c r="L166" i="4"/>
  <c r="Q166" i="4"/>
  <c r="K166" i="4"/>
  <c r="W166" i="4" s="1"/>
  <c r="O166" i="4"/>
  <c r="J166" i="4"/>
  <c r="S166" i="4"/>
  <c r="N166" i="4"/>
  <c r="R166" i="4"/>
  <c r="M166" i="4"/>
  <c r="W205" i="4"/>
  <c r="S188" i="4"/>
  <c r="O188" i="4"/>
  <c r="K188" i="4"/>
  <c r="R188" i="4"/>
  <c r="N188" i="4"/>
  <c r="J188" i="4"/>
  <c r="Q188" i="4"/>
  <c r="M188" i="4"/>
  <c r="P188" i="4"/>
  <c r="AB188" i="4"/>
  <c r="L188" i="4"/>
  <c r="T212" i="4"/>
  <c r="U212" i="4"/>
  <c r="AC174" i="4"/>
  <c r="V174" i="4"/>
  <c r="S167" i="4"/>
  <c r="O167" i="4"/>
  <c r="K167" i="4"/>
  <c r="N167" i="4"/>
  <c r="R167" i="4"/>
  <c r="M167" i="4"/>
  <c r="W167" i="4" s="1"/>
  <c r="AB167" i="4"/>
  <c r="Q167" i="4"/>
  <c r="L167" i="4"/>
  <c r="P167" i="4"/>
  <c r="V167" i="4" s="1"/>
  <c r="J167" i="4"/>
  <c r="U225" i="4"/>
  <c r="T173" i="4"/>
  <c r="P176" i="9" s="1"/>
  <c r="V147" i="4"/>
  <c r="W147" i="4"/>
  <c r="U147" i="4"/>
  <c r="X147" i="4" s="1"/>
  <c r="V136" i="4"/>
  <c r="V115" i="4"/>
  <c r="W115" i="4"/>
  <c r="U115" i="4"/>
  <c r="Q118" i="9" s="1"/>
  <c r="V88" i="4"/>
  <c r="U201" i="4"/>
  <c r="Q204" i="9" s="1"/>
  <c r="AC188" i="4"/>
  <c r="E191" i="9"/>
  <c r="W177" i="4"/>
  <c r="U177" i="4"/>
  <c r="X177" i="4" s="1"/>
  <c r="T174" i="4"/>
  <c r="X174" i="4" s="1"/>
  <c r="S157" i="4"/>
  <c r="O157" i="4"/>
  <c r="K157" i="4"/>
  <c r="R157" i="4"/>
  <c r="N157" i="4"/>
  <c r="J157" i="4"/>
  <c r="Q157" i="4"/>
  <c r="M157" i="4"/>
  <c r="P157" i="4"/>
  <c r="AB157" i="4"/>
  <c r="L157" i="4"/>
  <c r="D160" i="9"/>
  <c r="AC119" i="4"/>
  <c r="T119" i="4"/>
  <c r="U119" i="4"/>
  <c r="W119" i="4"/>
  <c r="T116" i="4"/>
  <c r="W93" i="4"/>
  <c r="S93" i="4"/>
  <c r="O93" i="4"/>
  <c r="K93" i="4"/>
  <c r="V93" i="4"/>
  <c r="R93" i="4"/>
  <c r="N93" i="4"/>
  <c r="J93" i="4"/>
  <c r="U93" i="4"/>
  <c r="Q96" i="9" s="1"/>
  <c r="Q93" i="4"/>
  <c r="M93" i="4"/>
  <c r="P93" i="4"/>
  <c r="AB93" i="4"/>
  <c r="L93" i="4"/>
  <c r="D96" i="9"/>
  <c r="T221" i="4"/>
  <c r="U221" i="4"/>
  <c r="Q224" i="9" s="1"/>
  <c r="V160" i="4"/>
  <c r="T145" i="4"/>
  <c r="X145" i="4" s="1"/>
  <c r="V144" i="4"/>
  <c r="T113" i="4"/>
  <c r="AC80" i="4"/>
  <c r="E83" i="9"/>
  <c r="V80" i="4"/>
  <c r="AC72" i="4"/>
  <c r="E75" i="9"/>
  <c r="T72" i="4"/>
  <c r="P75" i="9" s="1"/>
  <c r="V72" i="4"/>
  <c r="U72" i="4"/>
  <c r="Q75" i="9" s="1"/>
  <c r="W72" i="4"/>
  <c r="AC64" i="4"/>
  <c r="E67" i="9"/>
  <c r="T64" i="4"/>
  <c r="P67" i="9" s="1"/>
  <c r="AC56" i="4"/>
  <c r="E59" i="9"/>
  <c r="V56" i="4"/>
  <c r="U56" i="4"/>
  <c r="Q59" i="9" s="1"/>
  <c r="W56" i="4"/>
  <c r="AC48" i="4"/>
  <c r="E51" i="9"/>
  <c r="V48" i="4"/>
  <c r="U48" i="4"/>
  <c r="Q51" i="9" s="1"/>
  <c r="AC40" i="4"/>
  <c r="E43" i="9"/>
  <c r="T40" i="4"/>
  <c r="P43" i="9" s="1"/>
  <c r="AC32" i="4"/>
  <c r="E35" i="9"/>
  <c r="W32" i="4"/>
  <c r="T32" i="4"/>
  <c r="AC24" i="4"/>
  <c r="E27" i="9"/>
  <c r="AC16" i="4"/>
  <c r="E19" i="9"/>
  <c r="V16" i="4"/>
  <c r="U16" i="4"/>
  <c r="Q19" i="9" s="1"/>
  <c r="AC8" i="4"/>
  <c r="E11" i="9"/>
  <c r="V8" i="4"/>
  <c r="U8" i="4"/>
  <c r="Q11" i="9" s="1"/>
  <c r="W8" i="4"/>
  <c r="Q190" i="4"/>
  <c r="M190" i="4"/>
  <c r="AB190" i="4"/>
  <c r="P190" i="4"/>
  <c r="L190" i="4"/>
  <c r="S190" i="4"/>
  <c r="O190" i="4"/>
  <c r="K190" i="4"/>
  <c r="J190" i="4"/>
  <c r="R190" i="4"/>
  <c r="N190" i="4"/>
  <c r="U170" i="4"/>
  <c r="U168" i="4"/>
  <c r="Q171" i="9" s="1"/>
  <c r="U164" i="4"/>
  <c r="X164" i="4" s="1"/>
  <c r="AC159" i="4"/>
  <c r="E162" i="9"/>
  <c r="U158" i="4"/>
  <c r="Q161" i="9" s="1"/>
  <c r="V158" i="4"/>
  <c r="T149" i="4"/>
  <c r="U149" i="4"/>
  <c r="Q152" i="9" s="1"/>
  <c r="W135" i="4"/>
  <c r="U135" i="4"/>
  <c r="W130" i="4"/>
  <c r="U130" i="4"/>
  <c r="X130" i="4" s="1"/>
  <c r="V130" i="4"/>
  <c r="W106" i="4"/>
  <c r="W94" i="4"/>
  <c r="T94" i="4"/>
  <c r="P97" i="9" s="1"/>
  <c r="T89" i="4"/>
  <c r="U89" i="4"/>
  <c r="Q92" i="9" s="1"/>
  <c r="Q69" i="4"/>
  <c r="M69" i="4"/>
  <c r="AB69" i="4"/>
  <c r="P69" i="4"/>
  <c r="L69" i="4"/>
  <c r="S69" i="4"/>
  <c r="O69" i="4"/>
  <c r="K69" i="4"/>
  <c r="W69" i="4" s="1"/>
  <c r="N69" i="4"/>
  <c r="J69" i="4"/>
  <c r="R69" i="4"/>
  <c r="D72" i="9"/>
  <c r="T58" i="4"/>
  <c r="X58" i="4" s="1"/>
  <c r="S51" i="4"/>
  <c r="O51" i="4"/>
  <c r="K51" i="4"/>
  <c r="R51" i="4"/>
  <c r="N51" i="4"/>
  <c r="J51" i="4"/>
  <c r="T51" i="4" s="1"/>
  <c r="P54" i="9" s="1"/>
  <c r="Q51" i="4"/>
  <c r="M51" i="4"/>
  <c r="AB51" i="4"/>
  <c r="L51" i="4"/>
  <c r="P51" i="4"/>
  <c r="D54" i="9"/>
  <c r="AC29" i="4"/>
  <c r="E32" i="9"/>
  <c r="U14" i="4"/>
  <c r="Q212" i="9"/>
  <c r="E195" i="9"/>
  <c r="D191" i="9"/>
  <c r="E182" i="9"/>
  <c r="D169" i="9"/>
  <c r="Q158" i="9"/>
  <c r="P158" i="9"/>
  <c r="E154" i="9"/>
  <c r="E138" i="9"/>
  <c r="Q126" i="9"/>
  <c r="E122" i="9"/>
  <c r="Q110" i="9"/>
  <c r="P110" i="9"/>
  <c r="E106" i="9"/>
  <c r="Q94" i="9"/>
  <c r="E90" i="9"/>
  <c r="P78" i="9"/>
  <c r="S62" i="9"/>
  <c r="Q62" i="9"/>
  <c r="R62" i="9"/>
  <c r="P62" i="9"/>
  <c r="S30" i="9"/>
  <c r="Q30" i="9"/>
  <c r="R30" i="9"/>
  <c r="P30" i="9"/>
  <c r="P14" i="9"/>
  <c r="D2" i="7"/>
  <c r="C9" i="11"/>
  <c r="B2" i="10"/>
  <c r="J41" i="11"/>
  <c r="P9" i="7"/>
  <c r="B9" i="7"/>
  <c r="K41" i="11" s="1"/>
  <c r="O9" i="7"/>
  <c r="P13" i="7"/>
  <c r="B13" i="7"/>
  <c r="K45" i="11" s="1"/>
  <c r="J45" i="11"/>
  <c r="O13" i="7"/>
  <c r="K49" i="11"/>
  <c r="J49" i="11"/>
  <c r="P19" i="7"/>
  <c r="B19" i="7"/>
  <c r="O19" i="7"/>
  <c r="P29" i="7"/>
  <c r="B29" i="7"/>
  <c r="K53" i="11" s="1"/>
  <c r="J53" i="11"/>
  <c r="O29" i="7"/>
  <c r="U156" i="4"/>
  <c r="Q159" i="9" s="1"/>
  <c r="W150" i="4"/>
  <c r="W139" i="4"/>
  <c r="U139" i="4"/>
  <c r="Q142" i="9" s="1"/>
  <c r="W126" i="4"/>
  <c r="T126" i="4"/>
  <c r="U102" i="4"/>
  <c r="T98" i="4"/>
  <c r="P101" i="9" s="1"/>
  <c r="U92" i="4"/>
  <c r="Q95" i="9" s="1"/>
  <c r="V77" i="4"/>
  <c r="W77" i="4"/>
  <c r="U77" i="4"/>
  <c r="Q80" i="9" s="1"/>
  <c r="T76" i="4"/>
  <c r="P79" i="9" s="1"/>
  <c r="T66" i="4"/>
  <c r="X66" i="4" s="1"/>
  <c r="V61" i="4"/>
  <c r="W61" i="4"/>
  <c r="U61" i="4"/>
  <c r="T60" i="4"/>
  <c r="P63" i="9" s="1"/>
  <c r="T50" i="4"/>
  <c r="V45" i="4"/>
  <c r="W45" i="4"/>
  <c r="T44" i="4"/>
  <c r="P47" i="9" s="1"/>
  <c r="T34" i="4"/>
  <c r="V29" i="4"/>
  <c r="W29" i="4"/>
  <c r="U29" i="4"/>
  <c r="X29" i="4" s="1"/>
  <c r="R32" i="9" s="1"/>
  <c r="T28" i="4"/>
  <c r="P31" i="9" s="1"/>
  <c r="T18" i="4"/>
  <c r="X18" i="4" s="1"/>
  <c r="V13" i="4"/>
  <c r="W13" i="4"/>
  <c r="U13" i="4"/>
  <c r="T12" i="4"/>
  <c r="P15" i="9" s="1"/>
  <c r="P220" i="9"/>
  <c r="Q220" i="9"/>
  <c r="R220" i="9"/>
  <c r="D193" i="9"/>
  <c r="P172" i="9"/>
  <c r="Q172" i="9"/>
  <c r="P80" i="9"/>
  <c r="Q64" i="9"/>
  <c r="P64" i="9"/>
  <c r="E56" i="9"/>
  <c r="Q32" i="9"/>
  <c r="P32" i="9"/>
  <c r="E28" i="9"/>
  <c r="E24" i="9"/>
  <c r="P173" i="9"/>
  <c r="Q177" i="9"/>
  <c r="P177" i="9"/>
  <c r="D206" i="9"/>
  <c r="W189" i="4"/>
  <c r="T189" i="4"/>
  <c r="P192" i="9" s="1"/>
  <c r="W146" i="4"/>
  <c r="U146" i="4"/>
  <c r="X146" i="4" s="1"/>
  <c r="V146" i="4"/>
  <c r="Q111" i="4"/>
  <c r="M111" i="4"/>
  <c r="AB111" i="4"/>
  <c r="P111" i="4"/>
  <c r="L111" i="4"/>
  <c r="S111" i="4"/>
  <c r="O111" i="4"/>
  <c r="K111" i="4"/>
  <c r="W111" i="4" s="1"/>
  <c r="J111" i="4"/>
  <c r="R111" i="4"/>
  <c r="N111" i="4"/>
  <c r="D114" i="9"/>
  <c r="U40" i="4"/>
  <c r="Q43" i="9" s="1"/>
  <c r="V40" i="4"/>
  <c r="U39" i="4"/>
  <c r="X39" i="4" s="1"/>
  <c r="V39" i="4"/>
  <c r="V30" i="4"/>
  <c r="T30" i="4"/>
  <c r="X30" i="4" s="1"/>
  <c r="R33" i="9" s="1"/>
  <c r="T23" i="4"/>
  <c r="V23" i="4"/>
  <c r="U23" i="4"/>
  <c r="Q26" i="9" s="1"/>
  <c r="W178" i="4"/>
  <c r="W176" i="4"/>
  <c r="U176" i="4"/>
  <c r="Q179" i="9" s="1"/>
  <c r="W155" i="4"/>
  <c r="U155" i="4"/>
  <c r="U108" i="4"/>
  <c r="Q111" i="9" s="1"/>
  <c r="U90" i="4"/>
  <c r="X90" i="4" s="1"/>
  <c r="V90" i="4"/>
  <c r="T54" i="4"/>
  <c r="E183" i="9"/>
  <c r="P149" i="9"/>
  <c r="Q145" i="9"/>
  <c r="E141" i="9"/>
  <c r="E129" i="9"/>
  <c r="R69" i="9"/>
  <c r="Q69" i="9"/>
  <c r="Q37" i="9"/>
  <c r="Q21" i="9"/>
  <c r="U110" i="4"/>
  <c r="Q113" i="9" s="1"/>
  <c r="T78" i="4"/>
  <c r="X78" i="4" s="1"/>
  <c r="R81" i="9" s="1"/>
  <c r="U71" i="4"/>
  <c r="X71" i="4" s="1"/>
  <c r="T62" i="4"/>
  <c r="X62" i="4" s="1"/>
  <c r="V62" i="4"/>
  <c r="T56" i="4"/>
  <c r="P59" i="9" s="1"/>
  <c r="V3" i="4"/>
  <c r="W64" i="4"/>
  <c r="U32" i="4"/>
  <c r="Q35" i="9" s="1"/>
  <c r="V32" i="4"/>
  <c r="W16" i="4"/>
  <c r="U4" i="4"/>
  <c r="Q7" i="9" s="1"/>
  <c r="T4" i="4"/>
  <c r="P7" i="9" s="1"/>
  <c r="U49" i="4"/>
  <c r="W33" i="4"/>
  <c r="U33" i="4"/>
  <c r="Q36" i="9" s="1"/>
  <c r="V84" i="4"/>
  <c r="U84" i="4"/>
  <c r="Q87" i="9" s="1"/>
  <c r="U68" i="4"/>
  <c r="Q71" i="9" s="1"/>
  <c r="V68" i="4"/>
  <c r="W52" i="4"/>
  <c r="AB223" i="4"/>
  <c r="P223" i="4"/>
  <c r="L223" i="4"/>
  <c r="S223" i="4"/>
  <c r="O223" i="4"/>
  <c r="K223" i="4"/>
  <c r="R223" i="4"/>
  <c r="N223" i="4"/>
  <c r="J223" i="4"/>
  <c r="M223" i="4"/>
  <c r="Q223" i="4"/>
  <c r="D226" i="9"/>
  <c r="T198" i="4"/>
  <c r="X198" i="4" s="1"/>
  <c r="AB191" i="4"/>
  <c r="P191" i="4"/>
  <c r="L191" i="4"/>
  <c r="S191" i="4"/>
  <c r="O191" i="4"/>
  <c r="K191" i="4"/>
  <c r="W191" i="4" s="1"/>
  <c r="R191" i="4"/>
  <c r="N191" i="4"/>
  <c r="J191" i="4"/>
  <c r="Q191" i="4"/>
  <c r="M191" i="4"/>
  <c r="D194" i="9"/>
  <c r="AC169" i="4"/>
  <c r="E172" i="9"/>
  <c r="AB162" i="4"/>
  <c r="P162" i="4"/>
  <c r="L162" i="4"/>
  <c r="R162" i="4"/>
  <c r="M162" i="4"/>
  <c r="Q162" i="4"/>
  <c r="K162" i="4"/>
  <c r="O162" i="4"/>
  <c r="J162" i="4"/>
  <c r="S162" i="4"/>
  <c r="N162" i="4"/>
  <c r="D165" i="9"/>
  <c r="U163" i="4"/>
  <c r="Q166" i="9" s="1"/>
  <c r="AB211" i="4"/>
  <c r="P211" i="4"/>
  <c r="L211" i="4"/>
  <c r="R211" i="4"/>
  <c r="N211" i="4"/>
  <c r="J211" i="4"/>
  <c r="Q211" i="4"/>
  <c r="O211" i="4"/>
  <c r="M211" i="4"/>
  <c r="S211" i="4"/>
  <c r="K211" i="4"/>
  <c r="W211" i="4" s="1"/>
  <c r="V206" i="4"/>
  <c r="AB195" i="4"/>
  <c r="P195" i="4"/>
  <c r="L195" i="4"/>
  <c r="R195" i="4"/>
  <c r="Q195" i="4"/>
  <c r="K195" i="4"/>
  <c r="O195" i="4"/>
  <c r="J195" i="4"/>
  <c r="N195" i="4"/>
  <c r="S195" i="4"/>
  <c r="M195" i="4"/>
  <c r="AC185" i="4"/>
  <c r="E188" i="9"/>
  <c r="S171" i="4"/>
  <c r="O171" i="4"/>
  <c r="K171" i="4"/>
  <c r="R171" i="4"/>
  <c r="N171" i="4"/>
  <c r="J171" i="4"/>
  <c r="Q171" i="4"/>
  <c r="P171" i="4"/>
  <c r="M171" i="4"/>
  <c r="L171" i="4"/>
  <c r="U171" i="4" s="1"/>
  <c r="Q174" i="9" s="1"/>
  <c r="AB171" i="4"/>
  <c r="S200" i="4"/>
  <c r="O200" i="4"/>
  <c r="K200" i="4"/>
  <c r="Q200" i="4"/>
  <c r="M200" i="4"/>
  <c r="P200" i="4"/>
  <c r="N200" i="4"/>
  <c r="AB200" i="4"/>
  <c r="L200" i="4"/>
  <c r="R200" i="4"/>
  <c r="J200" i="4"/>
  <c r="D203" i="9"/>
  <c r="T196" i="4"/>
  <c r="X196" i="4" s="1"/>
  <c r="U196" i="4"/>
  <c r="Q199" i="9" s="1"/>
  <c r="AC178" i="4"/>
  <c r="E181" i="9"/>
  <c r="S184" i="4"/>
  <c r="O184" i="4"/>
  <c r="K184" i="4"/>
  <c r="R184" i="4"/>
  <c r="N184" i="4"/>
  <c r="V184" i="4" s="1"/>
  <c r="J184" i="4"/>
  <c r="Q184" i="4"/>
  <c r="M184" i="4"/>
  <c r="W184" i="4" s="1"/>
  <c r="P184" i="4"/>
  <c r="AB184" i="4"/>
  <c r="L184" i="4"/>
  <c r="D187" i="9"/>
  <c r="U194" i="4"/>
  <c r="X194" i="4" s="1"/>
  <c r="AC150" i="4"/>
  <c r="E153" i="9"/>
  <c r="AC142" i="4"/>
  <c r="T142" i="4"/>
  <c r="W142" i="4"/>
  <c r="AC134" i="4"/>
  <c r="W134" i="4"/>
  <c r="E137" i="9"/>
  <c r="AC118" i="4"/>
  <c r="E121" i="9"/>
  <c r="V118" i="4"/>
  <c r="U118" i="4"/>
  <c r="X118" i="4" s="1"/>
  <c r="AC110" i="4"/>
  <c r="T110" i="4"/>
  <c r="P113" i="9" s="1"/>
  <c r="W110" i="4"/>
  <c r="AC102" i="4"/>
  <c r="E105" i="9"/>
  <c r="W102" i="4"/>
  <c r="Q186" i="4"/>
  <c r="M186" i="4"/>
  <c r="AB186" i="4"/>
  <c r="P186" i="4"/>
  <c r="L186" i="4"/>
  <c r="S186" i="4"/>
  <c r="O186" i="4"/>
  <c r="K186" i="4"/>
  <c r="J186" i="4"/>
  <c r="U186" i="4" s="1"/>
  <c r="Q189" i="9" s="1"/>
  <c r="R186" i="4"/>
  <c r="N186" i="4"/>
  <c r="D189" i="9"/>
  <c r="W173" i="4"/>
  <c r="U173" i="4"/>
  <c r="Q176" i="9" s="1"/>
  <c r="X163" i="4"/>
  <c r="U145" i="4"/>
  <c r="Q148" i="9" s="1"/>
  <c r="T131" i="4"/>
  <c r="X131" i="4" s="1"/>
  <c r="R134" i="9" s="1"/>
  <c r="AC123" i="4"/>
  <c r="T123" i="4"/>
  <c r="U113" i="4"/>
  <c r="Q116" i="9" s="1"/>
  <c r="T99" i="4"/>
  <c r="X99" i="4" s="1"/>
  <c r="R102" i="9" s="1"/>
  <c r="AC91" i="4"/>
  <c r="V91" i="4"/>
  <c r="T182" i="4"/>
  <c r="X182" i="4" s="1"/>
  <c r="V169" i="4"/>
  <c r="S141" i="4"/>
  <c r="O141" i="4"/>
  <c r="K141" i="4"/>
  <c r="W141" i="4" s="1"/>
  <c r="R141" i="4"/>
  <c r="N141" i="4"/>
  <c r="J141" i="4"/>
  <c r="V141" i="4" s="1"/>
  <c r="Q141" i="4"/>
  <c r="M141" i="4"/>
  <c r="P141" i="4"/>
  <c r="AB141" i="4"/>
  <c r="L141" i="4"/>
  <c r="D144" i="9"/>
  <c r="AC103" i="4"/>
  <c r="V103" i="4"/>
  <c r="U128" i="4"/>
  <c r="Q131" i="9" s="1"/>
  <c r="U112" i="4"/>
  <c r="Q115" i="9" s="1"/>
  <c r="V107" i="4"/>
  <c r="T106" i="4"/>
  <c r="X106" i="4" s="1"/>
  <c r="U94" i="4"/>
  <c r="X94" i="4" s="1"/>
  <c r="V94" i="4"/>
  <c r="AC86" i="4"/>
  <c r="V86" i="4"/>
  <c r="E89" i="9"/>
  <c r="S67" i="4"/>
  <c r="O67" i="4"/>
  <c r="K67" i="4"/>
  <c r="R67" i="4"/>
  <c r="N67" i="4"/>
  <c r="J67" i="4"/>
  <c r="V67" i="4" s="1"/>
  <c r="Q67" i="4"/>
  <c r="M67" i="4"/>
  <c r="AB67" i="4"/>
  <c r="L67" i="4"/>
  <c r="P67" i="4"/>
  <c r="D70" i="9"/>
  <c r="V58" i="4"/>
  <c r="AC45" i="4"/>
  <c r="E48" i="9"/>
  <c r="U42" i="4"/>
  <c r="Q45" i="9" s="1"/>
  <c r="Q21" i="4"/>
  <c r="M21" i="4"/>
  <c r="AB21" i="4"/>
  <c r="P21" i="4"/>
  <c r="L21" i="4"/>
  <c r="S21" i="4"/>
  <c r="O21" i="4"/>
  <c r="K21" i="4"/>
  <c r="N21" i="4"/>
  <c r="J21" i="4"/>
  <c r="R21" i="4"/>
  <c r="D24" i="9"/>
  <c r="Q5" i="4"/>
  <c r="M5" i="4"/>
  <c r="S5" i="4"/>
  <c r="O5" i="4"/>
  <c r="K5" i="4"/>
  <c r="N5" i="4"/>
  <c r="R5" i="4"/>
  <c r="J5" i="4"/>
  <c r="P5" i="4"/>
  <c r="AB5" i="4"/>
  <c r="L5" i="4"/>
  <c r="D8" i="9"/>
  <c r="Q228" i="9"/>
  <c r="Q215" i="9"/>
  <c r="P215" i="9"/>
  <c r="E211" i="9"/>
  <c r="P164" i="9"/>
  <c r="Q164" i="9"/>
  <c r="P154" i="9"/>
  <c r="E150" i="9"/>
  <c r="Q138" i="9"/>
  <c r="E134" i="9"/>
  <c r="Q122" i="9"/>
  <c r="E118" i="9"/>
  <c r="P106" i="9"/>
  <c r="E102" i="9"/>
  <c r="E86" i="9"/>
  <c r="Q74" i="9"/>
  <c r="R74" i="9"/>
  <c r="P74" i="9"/>
  <c r="Q42" i="9"/>
  <c r="P42" i="9"/>
  <c r="P26" i="9"/>
  <c r="K38" i="11"/>
  <c r="J38" i="11"/>
  <c r="P6" i="7"/>
  <c r="B6" i="7"/>
  <c r="O6" i="7"/>
  <c r="J42" i="11"/>
  <c r="P10" i="7"/>
  <c r="B10" i="7"/>
  <c r="K42" i="11" s="1"/>
  <c r="O10" i="7"/>
  <c r="J46" i="11"/>
  <c r="P16" i="7"/>
  <c r="B16" i="7"/>
  <c r="K46" i="11" s="1"/>
  <c r="O16" i="7"/>
  <c r="J50" i="11"/>
  <c r="P22" i="7"/>
  <c r="B22" i="7"/>
  <c r="K50" i="11" s="1"/>
  <c r="O22" i="7"/>
  <c r="W138" i="4"/>
  <c r="U126" i="4"/>
  <c r="Q129" i="9" s="1"/>
  <c r="V126" i="4"/>
  <c r="T117" i="4"/>
  <c r="P120" i="9" s="1"/>
  <c r="U117" i="4"/>
  <c r="Q120" i="9" s="1"/>
  <c r="W103" i="4"/>
  <c r="U103" i="4"/>
  <c r="X103" i="4" s="1"/>
  <c r="R106" i="9" s="1"/>
  <c r="W98" i="4"/>
  <c r="U98" i="4"/>
  <c r="Q101" i="9" s="1"/>
  <c r="V98" i="4"/>
  <c r="T85" i="4"/>
  <c r="X85" i="4" s="1"/>
  <c r="R88" i="9" s="1"/>
  <c r="W76" i="4"/>
  <c r="U76" i="4"/>
  <c r="Q79" i="9" s="1"/>
  <c r="V76" i="4"/>
  <c r="V66" i="4"/>
  <c r="W60" i="4"/>
  <c r="U60" i="4"/>
  <c r="Q63" i="9" s="1"/>
  <c r="V60" i="4"/>
  <c r="V50" i="4"/>
  <c r="W44" i="4"/>
  <c r="U44" i="4"/>
  <c r="Q47" i="9" s="1"/>
  <c r="V44" i="4"/>
  <c r="V34" i="4"/>
  <c r="W28" i="4"/>
  <c r="X28" i="4"/>
  <c r="U28" i="4"/>
  <c r="Q31" i="9" s="1"/>
  <c r="V28" i="4"/>
  <c r="V18" i="4"/>
  <c r="W12" i="4"/>
  <c r="U12" i="4"/>
  <c r="V12" i="4"/>
  <c r="Q223" i="9"/>
  <c r="P223" i="9"/>
  <c r="R223" i="9"/>
  <c r="E219" i="9"/>
  <c r="P188" i="9"/>
  <c r="Q188" i="9"/>
  <c r="R188" i="9"/>
  <c r="E184" i="9"/>
  <c r="P92" i="9"/>
  <c r="D85" i="9"/>
  <c r="Q76" i="9"/>
  <c r="Q60" i="9"/>
  <c r="D170" i="9"/>
  <c r="E173" i="9"/>
  <c r="E177" i="9"/>
  <c r="D182" i="9"/>
  <c r="E185" i="9"/>
  <c r="P197" i="9"/>
  <c r="D218" i="9"/>
  <c r="E221" i="9"/>
  <c r="E225" i="9"/>
  <c r="U165" i="4"/>
  <c r="Q168" i="9" s="1"/>
  <c r="U150" i="4"/>
  <c r="X150" i="4" s="1"/>
  <c r="V150" i="4"/>
  <c r="V123" i="4"/>
  <c r="U55" i="4"/>
  <c r="V55" i="4"/>
  <c r="W40" i="4"/>
  <c r="U178" i="4"/>
  <c r="Q181" i="9" s="1"/>
  <c r="T154" i="4"/>
  <c r="X154" i="4" s="1"/>
  <c r="AB87" i="4"/>
  <c r="P87" i="4"/>
  <c r="L87" i="4"/>
  <c r="S87" i="4"/>
  <c r="O87" i="4"/>
  <c r="K87" i="4"/>
  <c r="W87" i="4" s="1"/>
  <c r="Q87" i="4"/>
  <c r="N87" i="4"/>
  <c r="M87" i="4"/>
  <c r="R87" i="4"/>
  <c r="J87" i="4"/>
  <c r="AC73" i="4"/>
  <c r="T73" i="4"/>
  <c r="X73" i="4" s="1"/>
  <c r="U70" i="4"/>
  <c r="T70" i="4"/>
  <c r="W38" i="4"/>
  <c r="P219" i="9"/>
  <c r="P133" i="9"/>
  <c r="Q133" i="9"/>
  <c r="P129" i="9"/>
  <c r="E125" i="9"/>
  <c r="E113" i="9"/>
  <c r="U140" i="4"/>
  <c r="Q143" i="9" s="1"/>
  <c r="V140" i="4"/>
  <c r="W101" i="4"/>
  <c r="T46" i="4"/>
  <c r="X46" i="4" s="1"/>
  <c r="T25" i="4"/>
  <c r="P28" i="9" s="1"/>
  <c r="U80" i="4"/>
  <c r="W80" i="4"/>
  <c r="T16" i="4"/>
  <c r="P19" i="9" s="1"/>
  <c r="W6" i="4"/>
  <c r="W49" i="4"/>
  <c r="T36" i="4"/>
  <c r="P39" i="9" s="1"/>
  <c r="W68" i="4"/>
  <c r="P52" i="9"/>
  <c r="P36" i="9"/>
  <c r="P20" i="9"/>
  <c r="Q185" i="9"/>
  <c r="R185" i="9"/>
  <c r="P185" i="9"/>
  <c r="Q201" i="9"/>
  <c r="R201" i="9"/>
  <c r="P201" i="9"/>
  <c r="S217" i="9"/>
  <c r="Q217" i="9"/>
  <c r="R217" i="9"/>
  <c r="P217" i="9"/>
  <c r="V9" i="4"/>
  <c r="W9" i="4"/>
  <c r="U9" i="4"/>
  <c r="S63" i="4"/>
  <c r="O63" i="4"/>
  <c r="K63" i="4"/>
  <c r="R63" i="4"/>
  <c r="N63" i="4"/>
  <c r="J63" i="4"/>
  <c r="V63" i="4" s="1"/>
  <c r="Q63" i="4"/>
  <c r="M63" i="4"/>
  <c r="P63" i="4"/>
  <c r="AB63" i="4"/>
  <c r="L63" i="4"/>
  <c r="S15" i="4"/>
  <c r="O15" i="4"/>
  <c r="K15" i="4"/>
  <c r="R15" i="4"/>
  <c r="N15" i="4"/>
  <c r="J15" i="4"/>
  <c r="Q15" i="4"/>
  <c r="M15" i="4"/>
  <c r="P15" i="4"/>
  <c r="AB15" i="4"/>
  <c r="L15" i="4"/>
  <c r="P184" i="9"/>
  <c r="R184" i="9"/>
  <c r="Q184" i="9"/>
  <c r="S184" i="9"/>
  <c r="P171" i="9"/>
  <c r="P153" i="9"/>
  <c r="Q153" i="9"/>
  <c r="P137" i="9"/>
  <c r="Q137" i="9"/>
  <c r="P121" i="9"/>
  <c r="Q121" i="9"/>
  <c r="P105" i="9"/>
  <c r="Q105" i="9"/>
  <c r="P89" i="9"/>
  <c r="Q89" i="9"/>
  <c r="Q73" i="9"/>
  <c r="D66" i="9"/>
  <c r="P57" i="9"/>
  <c r="Q57" i="9"/>
  <c r="Q41" i="9"/>
  <c r="Q25" i="9"/>
  <c r="D18" i="9"/>
  <c r="P9" i="9"/>
  <c r="V41" i="4"/>
  <c r="W41" i="4"/>
  <c r="U41" i="4"/>
  <c r="Q44" i="9" s="1"/>
  <c r="Q143" i="4"/>
  <c r="M143" i="4"/>
  <c r="AB143" i="4"/>
  <c r="P143" i="4"/>
  <c r="L143" i="4"/>
  <c r="S143" i="4"/>
  <c r="O143" i="4"/>
  <c r="T143" i="4" s="1"/>
  <c r="K143" i="4"/>
  <c r="J143" i="4"/>
  <c r="R143" i="4"/>
  <c r="V143" i="4" s="1"/>
  <c r="N143" i="4"/>
  <c r="S79" i="4"/>
  <c r="O79" i="4"/>
  <c r="K79" i="4"/>
  <c r="R79" i="4"/>
  <c r="N79" i="4"/>
  <c r="J79" i="4"/>
  <c r="Q79" i="4"/>
  <c r="M79" i="4"/>
  <c r="P79" i="4"/>
  <c r="AB79" i="4"/>
  <c r="L79" i="4"/>
  <c r="T79" i="4" s="1"/>
  <c r="Q65" i="4"/>
  <c r="M65" i="4"/>
  <c r="AB65" i="4"/>
  <c r="P65" i="4"/>
  <c r="L65" i="4"/>
  <c r="S65" i="4"/>
  <c r="O65" i="4"/>
  <c r="K65" i="4"/>
  <c r="J65" i="4"/>
  <c r="R65" i="4"/>
  <c r="N65" i="4"/>
  <c r="D68" i="9"/>
  <c r="S47" i="4"/>
  <c r="O47" i="4"/>
  <c r="K47" i="4"/>
  <c r="R47" i="4"/>
  <c r="N47" i="4"/>
  <c r="J47" i="4"/>
  <c r="V47" i="4" s="1"/>
  <c r="Q47" i="4"/>
  <c r="M47" i="4"/>
  <c r="P47" i="4"/>
  <c r="AB47" i="4"/>
  <c r="L47" i="4"/>
  <c r="P168" i="9"/>
  <c r="P157" i="9"/>
  <c r="P141" i="9"/>
  <c r="P125" i="9"/>
  <c r="R125" i="9"/>
  <c r="Q125" i="9"/>
  <c r="P109" i="9"/>
  <c r="R109" i="9"/>
  <c r="Q109" i="9"/>
  <c r="P93" i="9"/>
  <c r="P77" i="9"/>
  <c r="Q77" i="9"/>
  <c r="P61" i="9"/>
  <c r="R61" i="9"/>
  <c r="Q61" i="9"/>
  <c r="P45" i="9"/>
  <c r="P29" i="9"/>
  <c r="R29" i="9"/>
  <c r="Q29" i="9"/>
  <c r="P13" i="9"/>
  <c r="Q13" i="9"/>
  <c r="T41" i="4"/>
  <c r="Z27" i="4" l="1"/>
  <c r="AD27" i="4"/>
  <c r="Z220" i="4"/>
  <c r="Q14" i="9"/>
  <c r="W7" i="4"/>
  <c r="T7" i="4"/>
  <c r="P10" i="9" s="1"/>
  <c r="W31" i="4"/>
  <c r="P11" i="9"/>
  <c r="P60" i="9"/>
  <c r="W37" i="4"/>
  <c r="X55" i="4"/>
  <c r="Z55" i="4" s="1"/>
  <c r="U21" i="4"/>
  <c r="Q24" i="9" s="1"/>
  <c r="X54" i="4"/>
  <c r="R57" i="9" s="1"/>
  <c r="X33" i="4"/>
  <c r="R36" i="9" s="1"/>
  <c r="B69" i="11" s="1"/>
  <c r="U50" i="4"/>
  <c r="Q53" i="9" s="1"/>
  <c r="T3" i="4"/>
  <c r="P6" i="9" s="1"/>
  <c r="X50" i="4"/>
  <c r="R53" i="9" s="1"/>
  <c r="W47" i="4"/>
  <c r="W51" i="4"/>
  <c r="X48" i="4"/>
  <c r="Y48" i="4" s="1"/>
  <c r="S51" i="9" s="1"/>
  <c r="T43" i="4"/>
  <c r="V43" i="4"/>
  <c r="W202" i="4"/>
  <c r="T202" i="4"/>
  <c r="P205" i="9" s="1"/>
  <c r="X216" i="4"/>
  <c r="AD216" i="4" s="1"/>
  <c r="Y26" i="4"/>
  <c r="S29" i="9" s="1"/>
  <c r="AA26" i="4"/>
  <c r="AD26" i="4"/>
  <c r="Z26" i="4"/>
  <c r="V15" i="4"/>
  <c r="U167" i="4"/>
  <c r="Q170" i="9" s="1"/>
  <c r="W105" i="4"/>
  <c r="V31" i="4"/>
  <c r="U31" i="4"/>
  <c r="Q12" i="9" s="1"/>
  <c r="T31" i="4"/>
  <c r="Z133" i="4"/>
  <c r="Y133" i="4"/>
  <c r="S136" i="9" s="1"/>
  <c r="AA133" i="4"/>
  <c r="AD133" i="4"/>
  <c r="R136" i="9"/>
  <c r="H169" i="11" s="1"/>
  <c r="AA204" i="4"/>
  <c r="R207" i="9"/>
  <c r="H240" i="11" s="1"/>
  <c r="Y204" i="4"/>
  <c r="S207" i="9" s="1"/>
  <c r="Z204" i="4"/>
  <c r="AD204" i="4"/>
  <c r="Q15" i="9"/>
  <c r="X12" i="4"/>
  <c r="AD12" i="4" s="1"/>
  <c r="Q106" i="9"/>
  <c r="W190" i="4"/>
  <c r="P35" i="9"/>
  <c r="X32" i="4"/>
  <c r="Z32" i="4" s="1"/>
  <c r="T47" i="4"/>
  <c r="V65" i="4"/>
  <c r="W143" i="4"/>
  <c r="X76" i="4"/>
  <c r="Y76" i="4" s="1"/>
  <c r="S79" i="9" s="1"/>
  <c r="T5" i="4"/>
  <c r="U184" i="4"/>
  <c r="Q187" i="9" s="1"/>
  <c r="V200" i="4"/>
  <c r="W200" i="4"/>
  <c r="X49" i="4"/>
  <c r="Y49" i="4" s="1"/>
  <c r="S52" i="9" s="1"/>
  <c r="Q52" i="9"/>
  <c r="X34" i="4"/>
  <c r="R37" i="9" s="1"/>
  <c r="A70" i="11" s="1"/>
  <c r="P37" i="9"/>
  <c r="X77" i="4"/>
  <c r="R80" i="9" s="1"/>
  <c r="F113" i="11" s="1"/>
  <c r="Q173" i="9"/>
  <c r="X170" i="4"/>
  <c r="R173" i="9" s="1"/>
  <c r="E206" i="11" s="1"/>
  <c r="X119" i="4"/>
  <c r="Z119" i="4" s="1"/>
  <c r="P122" i="9"/>
  <c r="V157" i="4"/>
  <c r="T157" i="4"/>
  <c r="P160" i="9" s="1"/>
  <c r="T167" i="4"/>
  <c r="W188" i="4"/>
  <c r="T175" i="4"/>
  <c r="P178" i="9" s="1"/>
  <c r="U105" i="4"/>
  <c r="Q108" i="9" s="1"/>
  <c r="T208" i="4"/>
  <c r="P211" i="9" s="1"/>
  <c r="P48" i="9"/>
  <c r="X45" i="4"/>
  <c r="AA45" i="4" s="1"/>
  <c r="W127" i="4"/>
  <c r="X176" i="4"/>
  <c r="AD176" i="4" s="1"/>
  <c r="W15" i="4"/>
  <c r="V191" i="4"/>
  <c r="U191" i="4"/>
  <c r="Q194" i="9" s="1"/>
  <c r="U190" i="4"/>
  <c r="Q193" i="9" s="1"/>
  <c r="V190" i="4"/>
  <c r="T190" i="4"/>
  <c r="P193" i="9" s="1"/>
  <c r="W157" i="4"/>
  <c r="X41" i="4"/>
  <c r="AA41" i="4" s="1"/>
  <c r="W65" i="4"/>
  <c r="U143" i="4"/>
  <c r="Q146" i="9" s="1"/>
  <c r="Q83" i="9"/>
  <c r="X80" i="4"/>
  <c r="Z80" i="4" s="1"/>
  <c r="V5" i="4"/>
  <c r="W21" i="4"/>
  <c r="T141" i="4"/>
  <c r="X123" i="4"/>
  <c r="Y123" i="4" s="1"/>
  <c r="S126" i="9" s="1"/>
  <c r="P126" i="9"/>
  <c r="U47" i="4"/>
  <c r="Q50" i="9" s="1"/>
  <c r="U65" i="4"/>
  <c r="Q68" i="9" s="1"/>
  <c r="W79" i="4"/>
  <c r="W63" i="4"/>
  <c r="X70" i="4"/>
  <c r="Z70" i="4" s="1"/>
  <c r="U87" i="4"/>
  <c r="Q90" i="9" s="1"/>
  <c r="P76" i="9"/>
  <c r="X98" i="4"/>
  <c r="R101" i="9" s="1"/>
  <c r="C134" i="11" s="1"/>
  <c r="W67" i="4"/>
  <c r="U141" i="4"/>
  <c r="Q144" i="9" s="1"/>
  <c r="X142" i="4"/>
  <c r="AD142" i="4" s="1"/>
  <c r="P145" i="9"/>
  <c r="U195" i="4"/>
  <c r="Q198" i="9" s="1"/>
  <c r="V162" i="4"/>
  <c r="U111" i="4"/>
  <c r="Q114" i="9" s="1"/>
  <c r="Q17" i="9"/>
  <c r="X14" i="4"/>
  <c r="AA14" i="4" s="1"/>
  <c r="T93" i="4"/>
  <c r="W180" i="4"/>
  <c r="Q27" i="9"/>
  <c r="X24" i="4"/>
  <c r="AA24" i="4" s="1"/>
  <c r="T222" i="4"/>
  <c r="W19" i="4"/>
  <c r="X129" i="4"/>
  <c r="AD129" i="4" s="1"/>
  <c r="X75" i="4"/>
  <c r="X74" i="4"/>
  <c r="V159" i="4"/>
  <c r="V83" i="4"/>
  <c r="W83" i="4"/>
  <c r="T121" i="4"/>
  <c r="W218" i="4"/>
  <c r="V207" i="4"/>
  <c r="X178" i="4"/>
  <c r="AD178" i="4" s="1"/>
  <c r="X165" i="4"/>
  <c r="AA165" i="4" s="1"/>
  <c r="U127" i="4"/>
  <c r="Q130" i="9" s="1"/>
  <c r="X42" i="4"/>
  <c r="AD42" i="4" s="1"/>
  <c r="U53" i="4"/>
  <c r="Q56" i="9" s="1"/>
  <c r="W53" i="4"/>
  <c r="W179" i="4"/>
  <c r="V219" i="4"/>
  <c r="W2" i="4"/>
  <c r="U2" i="4"/>
  <c r="Q5" i="9" s="1"/>
  <c r="V19" i="4"/>
  <c r="T37" i="4"/>
  <c r="P40" i="9" s="1"/>
  <c r="U37" i="4"/>
  <c r="Q40" i="9" s="1"/>
  <c r="T125" i="4"/>
  <c r="AD181" i="4"/>
  <c r="X213" i="4"/>
  <c r="R216" i="9" s="1"/>
  <c r="F249" i="11" s="1"/>
  <c r="X100" i="4"/>
  <c r="AD100" i="4" s="1"/>
  <c r="X10" i="4"/>
  <c r="T191" i="4"/>
  <c r="W223" i="4"/>
  <c r="X23" i="4"/>
  <c r="R26" i="9" s="1"/>
  <c r="F59" i="11" s="1"/>
  <c r="X102" i="4"/>
  <c r="AD102" i="4" s="1"/>
  <c r="V51" i="4"/>
  <c r="X56" i="4"/>
  <c r="AD56" i="4" s="1"/>
  <c r="T188" i="4"/>
  <c r="U166" i="4"/>
  <c r="Q169" i="9" s="1"/>
  <c r="V202" i="4"/>
  <c r="W199" i="4"/>
  <c r="U199" i="4"/>
  <c r="Q202" i="9" s="1"/>
  <c r="U215" i="4"/>
  <c r="Q218" i="9" s="1"/>
  <c r="V216" i="4"/>
  <c r="U216" i="4"/>
  <c r="Q219" i="9" s="1"/>
  <c r="W203" i="4"/>
  <c r="W224" i="4"/>
  <c r="T83" i="4"/>
  <c r="W137" i="4"/>
  <c r="V218" i="4"/>
  <c r="T207" i="4"/>
  <c r="V127" i="4"/>
  <c r="W35" i="4"/>
  <c r="U95" i="4"/>
  <c r="Q98" i="9" s="1"/>
  <c r="V95" i="4"/>
  <c r="X148" i="4"/>
  <c r="AA148" i="4" s="1"/>
  <c r="T82" i="4"/>
  <c r="P85" i="9" s="1"/>
  <c r="X209" i="4"/>
  <c r="AA209" i="4" s="1"/>
  <c r="W210" i="4"/>
  <c r="W222" i="4"/>
  <c r="V2" i="4"/>
  <c r="V183" i="4"/>
  <c r="AA220" i="4"/>
  <c r="Z181" i="4"/>
  <c r="Z214" i="4"/>
  <c r="W5" i="4"/>
  <c r="W186" i="4"/>
  <c r="T184" i="4"/>
  <c r="P187" i="9" s="1"/>
  <c r="W171" i="4"/>
  <c r="W195" i="4"/>
  <c r="V211" i="4"/>
  <c r="U162" i="4"/>
  <c r="Q165" i="9" s="1"/>
  <c r="V223" i="4"/>
  <c r="X68" i="4"/>
  <c r="Q149" i="9"/>
  <c r="P181" i="9"/>
  <c r="X61" i="4"/>
  <c r="Y61" i="4" s="1"/>
  <c r="S64" i="9" s="1"/>
  <c r="U69" i="4"/>
  <c r="Q72" i="9" s="1"/>
  <c r="X158" i="4"/>
  <c r="R161" i="9" s="1"/>
  <c r="H194" i="11" s="1"/>
  <c r="W175" i="4"/>
  <c r="W172" i="4"/>
  <c r="T172" i="4"/>
  <c r="V203" i="4"/>
  <c r="V224" i="4"/>
  <c r="T224" i="4"/>
  <c r="W159" i="4"/>
  <c r="T105" i="4"/>
  <c r="P108" i="9" s="1"/>
  <c r="W121" i="4"/>
  <c r="T137" i="4"/>
  <c r="W153" i="4"/>
  <c r="V180" i="4"/>
  <c r="V208" i="4"/>
  <c r="Q100" i="9"/>
  <c r="V35" i="4"/>
  <c r="W95" i="4"/>
  <c r="W109" i="4"/>
  <c r="V82" i="4"/>
  <c r="W82" i="4"/>
  <c r="V210" i="4"/>
  <c r="U222" i="4"/>
  <c r="Q225" i="9" s="1"/>
  <c r="U219" i="4"/>
  <c r="Q222" i="9" s="1"/>
  <c r="V37" i="4"/>
  <c r="U125" i="4"/>
  <c r="Q128" i="9" s="1"/>
  <c r="W183" i="4"/>
  <c r="X11" i="4"/>
  <c r="Q9" i="7"/>
  <c r="O41" i="11" s="1"/>
  <c r="Q29" i="7"/>
  <c r="O53" i="11" s="1"/>
  <c r="Q26" i="7"/>
  <c r="O52" i="11" s="1"/>
  <c r="Q23" i="7"/>
  <c r="O51" i="11" s="1"/>
  <c r="Q22" i="7"/>
  <c r="O50" i="11" s="1"/>
  <c r="Q16" i="7"/>
  <c r="O46" i="11" s="1"/>
  <c r="Q19" i="7"/>
  <c r="O49" i="11" s="1"/>
  <c r="Q18" i="7"/>
  <c r="O48" i="11" s="1"/>
  <c r="Q11" i="7"/>
  <c r="O43" i="11" s="1"/>
  <c r="Q13" i="7"/>
  <c r="O45" i="11" s="1"/>
  <c r="Q8" i="7"/>
  <c r="O40" i="11" s="1"/>
  <c r="Q12" i="7"/>
  <c r="O44" i="11" s="1"/>
  <c r="Q10" i="7"/>
  <c r="O42" i="11" s="1"/>
  <c r="Q6" i="7"/>
  <c r="O38" i="11" s="1"/>
  <c r="AD94" i="4"/>
  <c r="Z94" i="4"/>
  <c r="Y94" i="4"/>
  <c r="S97" i="9" s="1"/>
  <c r="AA94" i="4"/>
  <c r="R97" i="9"/>
  <c r="P144" i="9"/>
  <c r="X141" i="4"/>
  <c r="AD164" i="4"/>
  <c r="Z164" i="4"/>
  <c r="AA164" i="4"/>
  <c r="Y164" i="4"/>
  <c r="S167" i="9" s="1"/>
  <c r="R167" i="9"/>
  <c r="P191" i="9"/>
  <c r="P86" i="9"/>
  <c r="X83" i="4"/>
  <c r="P210" i="9"/>
  <c r="Y81" i="4"/>
  <c r="S84" i="9" s="1"/>
  <c r="Z81" i="4"/>
  <c r="AD81" i="4"/>
  <c r="AA81" i="4"/>
  <c r="R84" i="9"/>
  <c r="X82" i="4"/>
  <c r="Z209" i="4"/>
  <c r="AD154" i="4"/>
  <c r="Z154" i="4"/>
  <c r="Y154" i="4"/>
  <c r="S157" i="9" s="1"/>
  <c r="AA154" i="4"/>
  <c r="R157" i="9"/>
  <c r="AA55" i="4"/>
  <c r="R58" i="9"/>
  <c r="AD118" i="4"/>
  <c r="Z118" i="4"/>
  <c r="Y118" i="4"/>
  <c r="S121" i="9" s="1"/>
  <c r="AA118" i="4"/>
  <c r="R121" i="9"/>
  <c r="Y142" i="4"/>
  <c r="S145" i="9" s="1"/>
  <c r="R145" i="9"/>
  <c r="Y194" i="4"/>
  <c r="S197" i="9" s="1"/>
  <c r="Z194" i="4"/>
  <c r="AD194" i="4"/>
  <c r="AA194" i="4"/>
  <c r="R197" i="9"/>
  <c r="F65" i="11"/>
  <c r="B65" i="11"/>
  <c r="E65" i="11"/>
  <c r="A65" i="11"/>
  <c r="D65" i="11"/>
  <c r="G65" i="11"/>
  <c r="C65" i="11"/>
  <c r="F86" i="11"/>
  <c r="B86" i="11"/>
  <c r="A86" i="11"/>
  <c r="G86" i="11"/>
  <c r="D86" i="11"/>
  <c r="C86" i="11"/>
  <c r="AD130" i="4"/>
  <c r="Z130" i="4"/>
  <c r="Y130" i="4"/>
  <c r="S133" i="9" s="1"/>
  <c r="AA130" i="4"/>
  <c r="R133" i="9"/>
  <c r="B194" i="11"/>
  <c r="P175" i="9"/>
  <c r="P227" i="9"/>
  <c r="X105" i="4"/>
  <c r="P140" i="9"/>
  <c r="Z86" i="4"/>
  <c r="AD86" i="4"/>
  <c r="Y86" i="4"/>
  <c r="S89" i="9" s="1"/>
  <c r="AA86" i="4"/>
  <c r="R89" i="9"/>
  <c r="AD138" i="4"/>
  <c r="Z138" i="4"/>
  <c r="Y138" i="4"/>
  <c r="S141" i="9" s="1"/>
  <c r="AA138" i="4"/>
  <c r="R141" i="9"/>
  <c r="Y147" i="4"/>
  <c r="S150" i="9" s="1"/>
  <c r="AA147" i="4"/>
  <c r="AD147" i="4"/>
  <c r="Z147" i="4"/>
  <c r="R150" i="9"/>
  <c r="P194" i="9"/>
  <c r="X191" i="4"/>
  <c r="G114" i="11"/>
  <c r="C114" i="11"/>
  <c r="F114" i="11"/>
  <c r="B114" i="11"/>
  <c r="E114" i="11"/>
  <c r="A114" i="11"/>
  <c r="D114" i="11"/>
  <c r="AA39" i="4"/>
  <c r="AD39" i="4"/>
  <c r="Z39" i="4"/>
  <c r="Y39" i="4"/>
  <c r="S42" i="9" s="1"/>
  <c r="R42" i="9"/>
  <c r="AD146" i="4"/>
  <c r="Z146" i="4"/>
  <c r="Y146" i="4"/>
  <c r="S149" i="9" s="1"/>
  <c r="AA146" i="4"/>
  <c r="R149" i="9"/>
  <c r="Z102" i="4"/>
  <c r="Y102" i="4"/>
  <c r="S105" i="9" s="1"/>
  <c r="R105" i="9"/>
  <c r="AA119" i="4"/>
  <c r="R122" i="9"/>
  <c r="Y177" i="4"/>
  <c r="S180" i="9" s="1"/>
  <c r="AD177" i="4"/>
  <c r="AA177" i="4"/>
  <c r="Z177" i="4"/>
  <c r="R180" i="9"/>
  <c r="Y216" i="4"/>
  <c r="S219" i="9" s="1"/>
  <c r="Y151" i="4"/>
  <c r="S154" i="9" s="1"/>
  <c r="AA151" i="4"/>
  <c r="AD151" i="4"/>
  <c r="Z151" i="4"/>
  <c r="R154" i="9"/>
  <c r="Y107" i="4"/>
  <c r="S110" i="9" s="1"/>
  <c r="AA107" i="4"/>
  <c r="AD107" i="4"/>
  <c r="Z107" i="4"/>
  <c r="R110" i="9"/>
  <c r="AD134" i="4"/>
  <c r="Z134" i="4"/>
  <c r="Y134" i="4"/>
  <c r="S137" i="9" s="1"/>
  <c r="AA134" i="4"/>
  <c r="R137" i="9"/>
  <c r="P112" i="9"/>
  <c r="AA161" i="4"/>
  <c r="Z161" i="4"/>
  <c r="AD161" i="4"/>
  <c r="Y161" i="4"/>
  <c r="S164" i="9" s="1"/>
  <c r="R164" i="9"/>
  <c r="P195" i="9"/>
  <c r="P225" i="9"/>
  <c r="AD6" i="4"/>
  <c r="Z6" i="4"/>
  <c r="Y6" i="4"/>
  <c r="S9" i="9" s="1"/>
  <c r="AA6" i="4"/>
  <c r="R9" i="9"/>
  <c r="P8" i="9"/>
  <c r="AD90" i="4"/>
  <c r="Z90" i="4"/>
  <c r="Y90" i="4"/>
  <c r="S93" i="9" s="1"/>
  <c r="AA90" i="4"/>
  <c r="R93" i="9"/>
  <c r="P82" i="9"/>
  <c r="AD41" i="4"/>
  <c r="R44" i="9"/>
  <c r="P50" i="9"/>
  <c r="G139" i="11"/>
  <c r="C139" i="11"/>
  <c r="F139" i="11"/>
  <c r="B139" i="11"/>
  <c r="E139" i="11"/>
  <c r="A139" i="11"/>
  <c r="D139" i="11"/>
  <c r="X184" i="4"/>
  <c r="F66" i="11"/>
  <c r="B66" i="11"/>
  <c r="A66" i="11"/>
  <c r="H66" i="11"/>
  <c r="D66" i="11"/>
  <c r="G66" i="11"/>
  <c r="C66" i="11"/>
  <c r="R64" i="9"/>
  <c r="P170" i="9"/>
  <c r="X167" i="4"/>
  <c r="P190" i="9"/>
  <c r="X187" i="4"/>
  <c r="P124" i="9"/>
  <c r="Y178" i="4"/>
  <c r="S181" i="9" s="1"/>
  <c r="Y17" i="4"/>
  <c r="S20" i="9" s="1"/>
  <c r="AA17" i="4"/>
  <c r="Z17" i="4"/>
  <c r="AD17" i="4"/>
  <c r="R20" i="9"/>
  <c r="AA97" i="4"/>
  <c r="AD97" i="4"/>
  <c r="Z97" i="4"/>
  <c r="Y97" i="4"/>
  <c r="S100" i="9" s="1"/>
  <c r="R100" i="9"/>
  <c r="Y91" i="4"/>
  <c r="S94" i="9" s="1"/>
  <c r="AA91" i="4"/>
  <c r="AD91" i="4"/>
  <c r="Z91" i="4"/>
  <c r="R94" i="9"/>
  <c r="T65" i="4"/>
  <c r="E69" i="11"/>
  <c r="A69" i="11"/>
  <c r="C69" i="11"/>
  <c r="AD70" i="4"/>
  <c r="AA196" i="4"/>
  <c r="Y196" i="4"/>
  <c r="S199" i="9" s="1"/>
  <c r="Z196" i="4"/>
  <c r="AD196" i="4"/>
  <c r="U211" i="4"/>
  <c r="Q214" i="9" s="1"/>
  <c r="AA18" i="4"/>
  <c r="AD18" i="4"/>
  <c r="Z18" i="4"/>
  <c r="Y18" i="4"/>
  <c r="S21" i="9" s="1"/>
  <c r="Y45" i="4"/>
  <c r="S48" i="9" s="1"/>
  <c r="P199" i="9"/>
  <c r="AA174" i="4"/>
  <c r="Z174" i="4"/>
  <c r="Y174" i="4"/>
  <c r="S177" i="9" s="1"/>
  <c r="AD174" i="4"/>
  <c r="U172" i="4"/>
  <c r="Q175" i="9" s="1"/>
  <c r="V105" i="4"/>
  <c r="Q97" i="9"/>
  <c r="Y165" i="4"/>
  <c r="S168" i="9" s="1"/>
  <c r="Z165" i="4"/>
  <c r="P95" i="9"/>
  <c r="X92" i="4"/>
  <c r="P146" i="9"/>
  <c r="T53" i="4"/>
  <c r="X88" i="4"/>
  <c r="P91" i="9"/>
  <c r="X144" i="4"/>
  <c r="P147" i="9"/>
  <c r="AD185" i="4"/>
  <c r="Z185" i="4"/>
  <c r="Y185" i="4"/>
  <c r="S188" i="9" s="1"/>
  <c r="AA185" i="4"/>
  <c r="W219" i="4"/>
  <c r="T219" i="4"/>
  <c r="AA101" i="4"/>
  <c r="AD101" i="4"/>
  <c r="Z101" i="4"/>
  <c r="Y101" i="4"/>
  <c r="S104" i="9" s="1"/>
  <c r="AD122" i="4"/>
  <c r="Z122" i="4"/>
  <c r="Y122" i="4"/>
  <c r="S125" i="9" s="1"/>
  <c r="H158" i="11" s="1"/>
  <c r="AA122" i="4"/>
  <c r="T2" i="4"/>
  <c r="AA22" i="4"/>
  <c r="AD22" i="4"/>
  <c r="Z22" i="4"/>
  <c r="Y22" i="4"/>
  <c r="S25" i="9" s="1"/>
  <c r="AD123" i="4"/>
  <c r="G121" i="11"/>
  <c r="C121" i="11"/>
  <c r="F121" i="11"/>
  <c r="B121" i="11"/>
  <c r="A121" i="11"/>
  <c r="D121" i="11"/>
  <c r="R104" i="9"/>
  <c r="G135" i="11"/>
  <c r="C135" i="11"/>
  <c r="F135" i="11"/>
  <c r="B135" i="11"/>
  <c r="A135" i="11"/>
  <c r="D135" i="11"/>
  <c r="A167" i="11"/>
  <c r="D167" i="11"/>
  <c r="G167" i="11"/>
  <c r="C167" i="11"/>
  <c r="F167" i="11"/>
  <c r="B167" i="11"/>
  <c r="T183" i="4"/>
  <c r="Y176" i="4"/>
  <c r="S179" i="9" s="1"/>
  <c r="R179" i="9"/>
  <c r="AD205" i="4"/>
  <c r="Z205" i="4"/>
  <c r="AA205" i="4"/>
  <c r="Y205" i="4"/>
  <c r="S208" i="9" s="1"/>
  <c r="R208" i="9"/>
  <c r="AA71" i="4"/>
  <c r="AD71" i="4"/>
  <c r="Z71" i="4"/>
  <c r="Y71" i="4"/>
  <c r="S74" i="9" s="1"/>
  <c r="Y14" i="4"/>
  <c r="S17" i="9" s="1"/>
  <c r="X168" i="4"/>
  <c r="Q93" i="9"/>
  <c r="Q141" i="9"/>
  <c r="U79" i="4"/>
  <c r="Q82" i="9" s="1"/>
  <c r="V79" i="4"/>
  <c r="R25" i="9"/>
  <c r="F90" i="11"/>
  <c r="B90" i="11"/>
  <c r="E90" i="11"/>
  <c r="A90" i="11"/>
  <c r="G90" i="11"/>
  <c r="D90" i="11"/>
  <c r="C90" i="11"/>
  <c r="X9" i="4"/>
  <c r="H250" i="11"/>
  <c r="D250" i="11"/>
  <c r="G250" i="11"/>
  <c r="C250" i="11"/>
  <c r="F250" i="11"/>
  <c r="B250" i="11"/>
  <c r="E250" i="11"/>
  <c r="A250" i="11"/>
  <c r="D234" i="11"/>
  <c r="G234" i="11"/>
  <c r="C234" i="11"/>
  <c r="F234" i="11"/>
  <c r="B234" i="11"/>
  <c r="E234" i="11"/>
  <c r="A234" i="11"/>
  <c r="E218" i="11"/>
  <c r="A218" i="11"/>
  <c r="H218" i="11"/>
  <c r="D218" i="11"/>
  <c r="G218" i="11"/>
  <c r="C218" i="11"/>
  <c r="F218" i="11"/>
  <c r="B218" i="11"/>
  <c r="AA46" i="4"/>
  <c r="AD46" i="4"/>
  <c r="Z46" i="4"/>
  <c r="Y46" i="4"/>
  <c r="S49" i="9" s="1"/>
  <c r="V87" i="4"/>
  <c r="T87" i="4"/>
  <c r="H256" i="11"/>
  <c r="D256" i="11"/>
  <c r="G256" i="11"/>
  <c r="C256" i="11"/>
  <c r="F256" i="11"/>
  <c r="B256" i="11"/>
  <c r="E256" i="11"/>
  <c r="A256" i="11"/>
  <c r="X44" i="4"/>
  <c r="Y85" i="4"/>
  <c r="S88" i="9" s="1"/>
  <c r="H121" i="11" s="1"/>
  <c r="AD85" i="4"/>
  <c r="AA85" i="4"/>
  <c r="Z85" i="4"/>
  <c r="X126" i="4"/>
  <c r="Q58" i="9"/>
  <c r="U5" i="4"/>
  <c r="Q8" i="9" s="1"/>
  <c r="T21" i="4"/>
  <c r="Y99" i="4"/>
  <c r="S102" i="9" s="1"/>
  <c r="H135" i="11" s="1"/>
  <c r="AA99" i="4"/>
  <c r="AD99" i="4"/>
  <c r="Z99" i="4"/>
  <c r="Y131" i="4"/>
  <c r="S134" i="9" s="1"/>
  <c r="H167" i="11" s="1"/>
  <c r="AA131" i="4"/>
  <c r="AD131" i="4"/>
  <c r="Z131" i="4"/>
  <c r="X173" i="4"/>
  <c r="T200" i="4"/>
  <c r="U200" i="4"/>
  <c r="Q203" i="9" s="1"/>
  <c r="V171" i="4"/>
  <c r="T195" i="4"/>
  <c r="W162" i="4"/>
  <c r="U223" i="4"/>
  <c r="Q226" i="9" s="1"/>
  <c r="T223" i="4"/>
  <c r="AA62" i="4"/>
  <c r="AD62" i="4"/>
  <c r="Z62" i="4"/>
  <c r="Y62" i="4"/>
  <c r="S65" i="9" s="1"/>
  <c r="X110" i="4"/>
  <c r="R21" i="9"/>
  <c r="F70" i="11"/>
  <c r="B70" i="11"/>
  <c r="H70" i="11"/>
  <c r="D70" i="11"/>
  <c r="F102" i="11"/>
  <c r="B102" i="11"/>
  <c r="A102" i="11"/>
  <c r="G102" i="11"/>
  <c r="D102" i="11"/>
  <c r="C102" i="11"/>
  <c r="X13" i="4"/>
  <c r="AA66" i="4"/>
  <c r="AD66" i="4"/>
  <c r="Z66" i="4"/>
  <c r="Y66" i="4"/>
  <c r="S69" i="9" s="1"/>
  <c r="H102" i="11" s="1"/>
  <c r="R126" i="9"/>
  <c r="U51" i="4"/>
  <c r="Q54" i="9" s="1"/>
  <c r="X89" i="4"/>
  <c r="X149" i="4"/>
  <c r="X72" i="4"/>
  <c r="P119" i="9"/>
  <c r="X116" i="4"/>
  <c r="X115" i="4"/>
  <c r="T166" i="4"/>
  <c r="U175" i="4"/>
  <c r="Q178" i="9" s="1"/>
  <c r="V175" i="4"/>
  <c r="T199" i="4"/>
  <c r="T215" i="4"/>
  <c r="U224" i="4"/>
  <c r="Q227" i="9" s="1"/>
  <c r="T159" i="4"/>
  <c r="U83" i="4"/>
  <c r="Q86" i="9" s="1"/>
  <c r="U121" i="4"/>
  <c r="Q124" i="9" s="1"/>
  <c r="V121" i="4"/>
  <c r="T180" i="4"/>
  <c r="X208" i="4"/>
  <c r="U218" i="4"/>
  <c r="Q221" i="9" s="1"/>
  <c r="U207" i="4"/>
  <c r="Q210" i="9" s="1"/>
  <c r="X52" i="4"/>
  <c r="R49" i="9"/>
  <c r="R65" i="9"/>
  <c r="P44" i="9"/>
  <c r="T127" i="4"/>
  <c r="V53" i="4"/>
  <c r="P99" i="9"/>
  <c r="X96" i="4"/>
  <c r="P163" i="9"/>
  <c r="X160" i="4"/>
  <c r="J47" i="5" s="1"/>
  <c r="U7" i="4"/>
  <c r="Q10" i="9" s="1"/>
  <c r="X225" i="4"/>
  <c r="X114" i="4"/>
  <c r="U192" i="4"/>
  <c r="Q195" i="9" s="1"/>
  <c r="V192" i="4"/>
  <c r="V179" i="4"/>
  <c r="X210" i="4"/>
  <c r="X25" i="4"/>
  <c r="D242" i="11"/>
  <c r="G242" i="11"/>
  <c r="C242" i="11"/>
  <c r="F242" i="11"/>
  <c r="B242" i="11"/>
  <c r="E242" i="11"/>
  <c r="A242" i="11"/>
  <c r="P88" i="9"/>
  <c r="E121" i="11" s="1"/>
  <c r="P104" i="9"/>
  <c r="P152" i="9"/>
  <c r="Q150" i="9"/>
  <c r="Q180" i="9"/>
  <c r="U183" i="4"/>
  <c r="Q186" i="9" s="1"/>
  <c r="X193" i="4"/>
  <c r="X201" i="4"/>
  <c r="X124" i="4"/>
  <c r="M41" i="5" s="1"/>
  <c r="AA120" i="4"/>
  <c r="AD120" i="4"/>
  <c r="Z120" i="4"/>
  <c r="Y120" i="4"/>
  <c r="S123" i="9" s="1"/>
  <c r="R123" i="9"/>
  <c r="X152" i="4"/>
  <c r="AD150" i="4"/>
  <c r="Z150" i="4"/>
  <c r="Y150" i="4"/>
  <c r="S153" i="9" s="1"/>
  <c r="AA150" i="4"/>
  <c r="T162" i="4"/>
  <c r="AA32" i="4"/>
  <c r="R35" i="9"/>
  <c r="Y155" i="4"/>
  <c r="S158" i="9" s="1"/>
  <c r="AA155" i="4"/>
  <c r="AD155" i="4"/>
  <c r="Z155" i="4"/>
  <c r="X16" i="4"/>
  <c r="AA145" i="4"/>
  <c r="AD145" i="4"/>
  <c r="Z145" i="4"/>
  <c r="Y145" i="4"/>
  <c r="S148" i="9" s="1"/>
  <c r="U203" i="4"/>
  <c r="Q206" i="9" s="1"/>
  <c r="X4" i="4"/>
  <c r="T153" i="4"/>
  <c r="W207" i="4"/>
  <c r="Y24" i="4"/>
  <c r="S27" i="9" s="1"/>
  <c r="Q197" i="9"/>
  <c r="Q9" i="9"/>
  <c r="P25" i="9"/>
  <c r="R153" i="9"/>
  <c r="E217" i="11"/>
  <c r="A217" i="11"/>
  <c r="H217" i="11"/>
  <c r="D217" i="11"/>
  <c r="G217" i="11"/>
  <c r="C217" i="11"/>
  <c r="F217" i="11"/>
  <c r="B217" i="11"/>
  <c r="T15" i="4"/>
  <c r="T63" i="4"/>
  <c r="Y73" i="4"/>
  <c r="S76" i="9" s="1"/>
  <c r="AA73" i="4"/>
  <c r="Z73" i="4"/>
  <c r="AD73" i="4"/>
  <c r="F93" i="11"/>
  <c r="B93" i="11"/>
  <c r="E93" i="11"/>
  <c r="A93" i="11"/>
  <c r="G93" i="11"/>
  <c r="D93" i="11"/>
  <c r="C93" i="11"/>
  <c r="R76" i="9"/>
  <c r="X60" i="4"/>
  <c r="X117" i="4"/>
  <c r="V21" i="4"/>
  <c r="T67" i="4"/>
  <c r="AD106" i="4"/>
  <c r="Z106" i="4"/>
  <c r="Y106" i="4"/>
  <c r="S109" i="9" s="1"/>
  <c r="AA106" i="4"/>
  <c r="AA182" i="4"/>
  <c r="Z182" i="4"/>
  <c r="Y182" i="4"/>
  <c r="S185" i="9" s="1"/>
  <c r="AD182" i="4"/>
  <c r="V186" i="4"/>
  <c r="T186" i="4"/>
  <c r="T171" i="4"/>
  <c r="V195" i="4"/>
  <c r="T211" i="4"/>
  <c r="Y198" i="4"/>
  <c r="S201" i="9" s="1"/>
  <c r="H234" i="11" s="1"/>
  <c r="AA198" i="4"/>
  <c r="AD198" i="4"/>
  <c r="Z198" i="4"/>
  <c r="X140" i="4"/>
  <c r="P21" i="9"/>
  <c r="P53" i="9"/>
  <c r="E86" i="11" s="1"/>
  <c r="P69" i="9"/>
  <c r="E102" i="11" s="1"/>
  <c r="AA54" i="4"/>
  <c r="AD54" i="4"/>
  <c r="Z54" i="4"/>
  <c r="Y54" i="4"/>
  <c r="S57" i="9" s="1"/>
  <c r="H90" i="11" s="1"/>
  <c r="X40" i="4"/>
  <c r="V111" i="4"/>
  <c r="T111" i="4"/>
  <c r="E205" i="11"/>
  <c r="A205" i="11"/>
  <c r="D205" i="11"/>
  <c r="G205" i="11"/>
  <c r="C205" i="11"/>
  <c r="F205" i="11"/>
  <c r="B205" i="11"/>
  <c r="AD34" i="4"/>
  <c r="Z34" i="4"/>
  <c r="X139" i="4"/>
  <c r="F63" i="11"/>
  <c r="B63" i="11"/>
  <c r="E63" i="11"/>
  <c r="A63" i="11"/>
  <c r="H63" i="11"/>
  <c r="D63" i="11"/>
  <c r="G63" i="11"/>
  <c r="C63" i="11"/>
  <c r="F95" i="11"/>
  <c r="B95" i="11"/>
  <c r="E95" i="11"/>
  <c r="A95" i="11"/>
  <c r="H95" i="11"/>
  <c r="G95" i="11"/>
  <c r="D95" i="11"/>
  <c r="C95" i="11"/>
  <c r="P94" i="9"/>
  <c r="R199" i="9"/>
  <c r="AA58" i="4"/>
  <c r="AD58" i="4"/>
  <c r="Z58" i="4"/>
  <c r="Y58" i="4"/>
  <c r="S61" i="9" s="1"/>
  <c r="T69" i="4"/>
  <c r="X135" i="4"/>
  <c r="X113" i="4"/>
  <c r="X212" i="4"/>
  <c r="U188" i="4"/>
  <c r="Q191" i="9" s="1"/>
  <c r="V188" i="4"/>
  <c r="V166" i="4"/>
  <c r="U202" i="4"/>
  <c r="Q205" i="9" s="1"/>
  <c r="X189" i="4"/>
  <c r="T203" i="4"/>
  <c r="U137" i="4"/>
  <c r="Q140" i="9" s="1"/>
  <c r="V137" i="4"/>
  <c r="T218" i="4"/>
  <c r="P33" i="9"/>
  <c r="E66" i="11" s="1"/>
  <c r="P49" i="9"/>
  <c r="P65" i="9"/>
  <c r="P81" i="9"/>
  <c r="R132" i="9"/>
  <c r="R148" i="9"/>
  <c r="Q34" i="9"/>
  <c r="T35" i="4"/>
  <c r="P16" i="9" s="1"/>
  <c r="T95" i="4"/>
  <c r="X112" i="4"/>
  <c r="P115" i="9"/>
  <c r="U109" i="4"/>
  <c r="Q112" i="9" s="1"/>
  <c r="V109" i="4"/>
  <c r="AD148" i="4"/>
  <c r="R151" i="9"/>
  <c r="P139" i="9"/>
  <c r="X136" i="4"/>
  <c r="T179" i="4"/>
  <c r="V222" i="4"/>
  <c r="X36" i="4"/>
  <c r="Q167" i="9"/>
  <c r="T19" i="4"/>
  <c r="AD217" i="4"/>
  <c r="Z217" i="4"/>
  <c r="AA217" i="4"/>
  <c r="Y217" i="4"/>
  <c r="S220" i="9" s="1"/>
  <c r="X197" i="4"/>
  <c r="H221" i="11"/>
  <c r="D221" i="11"/>
  <c r="G221" i="11"/>
  <c r="C221" i="11"/>
  <c r="F221" i="11"/>
  <c r="B221" i="11"/>
  <c r="E221" i="11"/>
  <c r="A221" i="11"/>
  <c r="AD28" i="4"/>
  <c r="Z28" i="4"/>
  <c r="Y28" i="4"/>
  <c r="S31" i="9" s="1"/>
  <c r="AA28" i="4"/>
  <c r="R31" i="9"/>
  <c r="B59" i="11"/>
  <c r="A59" i="11"/>
  <c r="D59" i="11"/>
  <c r="C59" i="11"/>
  <c r="G107" i="11"/>
  <c r="C107" i="11"/>
  <c r="F107" i="11"/>
  <c r="B107" i="11"/>
  <c r="E107" i="11"/>
  <c r="A107" i="11"/>
  <c r="H107" i="11"/>
  <c r="D107" i="11"/>
  <c r="AA30" i="4"/>
  <c r="AD30" i="4"/>
  <c r="Z30" i="4"/>
  <c r="Y30" i="4"/>
  <c r="S33" i="9" s="1"/>
  <c r="D206" i="11"/>
  <c r="G206" i="11"/>
  <c r="B206" i="11"/>
  <c r="P111" i="9"/>
  <c r="X108" i="4"/>
  <c r="Y170" i="4"/>
  <c r="S173" i="9" s="1"/>
  <c r="H206" i="11" s="1"/>
  <c r="AD170" i="4"/>
  <c r="F62" i="11"/>
  <c r="B62" i="11"/>
  <c r="E62" i="11"/>
  <c r="A62" i="11"/>
  <c r="H62" i="11"/>
  <c r="D62" i="11"/>
  <c r="C62" i="11"/>
  <c r="G62" i="11"/>
  <c r="F94" i="11"/>
  <c r="B94" i="11"/>
  <c r="E94" i="11"/>
  <c r="A94" i="11"/>
  <c r="H94" i="11"/>
  <c r="G94" i="11"/>
  <c r="D94" i="11"/>
  <c r="C94" i="11"/>
  <c r="G142" i="11"/>
  <c r="C142" i="11"/>
  <c r="F142" i="11"/>
  <c r="B142" i="11"/>
  <c r="E142" i="11"/>
  <c r="A142" i="11"/>
  <c r="D142" i="11"/>
  <c r="H142" i="11"/>
  <c r="E158" i="11"/>
  <c r="A158" i="11"/>
  <c r="D158" i="11"/>
  <c r="G158" i="11"/>
  <c r="C158" i="11"/>
  <c r="F158" i="11"/>
  <c r="B158" i="11"/>
  <c r="R168" i="9"/>
  <c r="P73" i="9"/>
  <c r="U15" i="4"/>
  <c r="Q18" i="9" s="1"/>
  <c r="U63" i="4"/>
  <c r="Q66" i="9" s="1"/>
  <c r="Q20" i="9"/>
  <c r="AA80" i="4"/>
  <c r="R83" i="9"/>
  <c r="Z12" i="4"/>
  <c r="R15" i="9"/>
  <c r="AD76" i="4"/>
  <c r="R79" i="9"/>
  <c r="Y103" i="4"/>
  <c r="S106" i="9" s="1"/>
  <c r="H139" i="11" s="1"/>
  <c r="AA103" i="4"/>
  <c r="AD103" i="4"/>
  <c r="Z103" i="4"/>
  <c r="U67" i="4"/>
  <c r="Q70" i="9" s="1"/>
  <c r="AA163" i="4"/>
  <c r="Z163" i="4"/>
  <c r="AD163" i="4"/>
  <c r="Y163" i="4"/>
  <c r="S166" i="9" s="1"/>
  <c r="R166" i="9"/>
  <c r="AD68" i="4"/>
  <c r="Z68" i="4"/>
  <c r="Y68" i="4"/>
  <c r="S71" i="9" s="1"/>
  <c r="AA68" i="4"/>
  <c r="R71" i="9"/>
  <c r="Y33" i="4"/>
  <c r="S36" i="9" s="1"/>
  <c r="H69" i="11" s="1"/>
  <c r="AD33" i="4"/>
  <c r="AA78" i="4"/>
  <c r="AD78" i="4"/>
  <c r="Z78" i="4"/>
  <c r="Y78" i="4"/>
  <c r="S81" i="9" s="1"/>
  <c r="H114" i="11" s="1"/>
  <c r="AD23" i="4"/>
  <c r="Y23" i="4"/>
  <c r="S26" i="9" s="1"/>
  <c r="R177" i="9"/>
  <c r="H253" i="11"/>
  <c r="D253" i="11"/>
  <c r="G253" i="11"/>
  <c r="C253" i="11"/>
  <c r="F253" i="11"/>
  <c r="B253" i="11"/>
  <c r="E253" i="11"/>
  <c r="A253" i="11"/>
  <c r="Y29" i="4"/>
  <c r="S32" i="9" s="1"/>
  <c r="H65" i="11" s="1"/>
  <c r="AA29" i="4"/>
  <c r="AD29" i="4"/>
  <c r="Z29" i="4"/>
  <c r="AA50" i="4"/>
  <c r="AD50" i="4"/>
  <c r="Z50" i="4"/>
  <c r="Y50" i="4"/>
  <c r="S53" i="9" s="1"/>
  <c r="H86" i="11" s="1"/>
  <c r="R158" i="9"/>
  <c r="V69" i="4"/>
  <c r="X8" i="4"/>
  <c r="P224" i="9"/>
  <c r="X221" i="4"/>
  <c r="U157" i="4"/>
  <c r="Q160" i="9" s="1"/>
  <c r="U153" i="4"/>
  <c r="Q156" i="9" s="1"/>
  <c r="U180" i="4"/>
  <c r="Q183" i="9" s="1"/>
  <c r="P116" i="9"/>
  <c r="P148" i="9"/>
  <c r="G240" i="11"/>
  <c r="C240" i="11"/>
  <c r="E240" i="11"/>
  <c r="A240" i="11"/>
  <c r="U35" i="4"/>
  <c r="Q38" i="9" s="1"/>
  <c r="X128" i="4"/>
  <c r="P131" i="9"/>
  <c r="P135" i="9"/>
  <c r="X132" i="4"/>
  <c r="Y169" i="4"/>
  <c r="S172" i="9" s="1"/>
  <c r="H205" i="11" s="1"/>
  <c r="AD169" i="4"/>
  <c r="AA169" i="4"/>
  <c r="Z169" i="4"/>
  <c r="X104" i="4"/>
  <c r="P107" i="9"/>
  <c r="X64" i="4"/>
  <c r="G26" i="5"/>
  <c r="K26" i="5"/>
  <c r="N18" i="5"/>
  <c r="M45" i="5"/>
  <c r="M34" i="5"/>
  <c r="G34" i="5"/>
  <c r="J26" i="5"/>
  <c r="L26" i="5" s="1"/>
  <c r="J45" i="5"/>
  <c r="K45" i="5"/>
  <c r="N47" i="5"/>
  <c r="J34" i="5"/>
  <c r="K38" i="5"/>
  <c r="N45" i="5"/>
  <c r="N34" i="5"/>
  <c r="G38" i="5"/>
  <c r="M26" i="5"/>
  <c r="O26" i="5" s="1"/>
  <c r="M38" i="5"/>
  <c r="K18" i="5"/>
  <c r="J18" i="5"/>
  <c r="L18" i="5" s="1"/>
  <c r="N26" i="5"/>
  <c r="G18" i="5"/>
  <c r="G45" i="5"/>
  <c r="K34" i="5"/>
  <c r="N38" i="5"/>
  <c r="X38" i="4"/>
  <c r="K10" i="5" s="1"/>
  <c r="P102" i="9"/>
  <c r="E135" i="11" s="1"/>
  <c r="P134" i="9"/>
  <c r="E167" i="11" s="1"/>
  <c r="U19" i="4"/>
  <c r="Q22" i="9" s="1"/>
  <c r="X20" i="4"/>
  <c r="Y206" i="4"/>
  <c r="S209" i="9" s="1"/>
  <c r="H242" i="11" s="1"/>
  <c r="AA206" i="4"/>
  <c r="AD206" i="4"/>
  <c r="Z206" i="4"/>
  <c r="Y57" i="4"/>
  <c r="S60" i="9" s="1"/>
  <c r="H93" i="11" s="1"/>
  <c r="AA57" i="4"/>
  <c r="Z57" i="4"/>
  <c r="AD57" i="4"/>
  <c r="X156" i="4"/>
  <c r="AA100" i="4"/>
  <c r="Z100" i="4"/>
  <c r="Y100" i="4"/>
  <c r="S103" i="9" s="1"/>
  <c r="R103" i="9"/>
  <c r="X84" i="4"/>
  <c r="Y32" i="4" l="1"/>
  <c r="S35" i="9" s="1"/>
  <c r="Y119" i="4"/>
  <c r="S122" i="9" s="1"/>
  <c r="Y55" i="4"/>
  <c r="S58" i="9" s="1"/>
  <c r="B240" i="11"/>
  <c r="D240" i="11"/>
  <c r="Z33" i="4"/>
  <c r="AA12" i="4"/>
  <c r="AD80" i="4"/>
  <c r="AA170" i="4"/>
  <c r="F206" i="11"/>
  <c r="A206" i="11"/>
  <c r="Y148" i="4"/>
  <c r="S151" i="9" s="1"/>
  <c r="Z158" i="4"/>
  <c r="F240" i="11"/>
  <c r="AA33" i="4"/>
  <c r="Z76" i="4"/>
  <c r="Y12" i="4"/>
  <c r="Y80" i="4"/>
  <c r="S83" i="9" s="1"/>
  <c r="Z170" i="4"/>
  <c r="C206" i="11"/>
  <c r="Z148" i="4"/>
  <c r="Y34" i="4"/>
  <c r="S37" i="9" s="1"/>
  <c r="AD32" i="4"/>
  <c r="G70" i="11"/>
  <c r="E70" i="11"/>
  <c r="AA176" i="4"/>
  <c r="Z123" i="4"/>
  <c r="AD165" i="4"/>
  <c r="D69" i="11"/>
  <c r="F69" i="11"/>
  <c r="Y41" i="4"/>
  <c r="S44" i="9" s="1"/>
  <c r="AD119" i="4"/>
  <c r="AA102" i="4"/>
  <c r="AA142" i="4"/>
  <c r="AD55" i="4"/>
  <c r="Z142" i="4"/>
  <c r="AA76" i="4"/>
  <c r="Z176" i="4"/>
  <c r="AA123" i="4"/>
  <c r="Z41" i="4"/>
  <c r="AA34" i="4"/>
  <c r="C70" i="11"/>
  <c r="G69" i="11"/>
  <c r="A194" i="11"/>
  <c r="AD49" i="4"/>
  <c r="Z61" i="4"/>
  <c r="A249" i="11"/>
  <c r="Y213" i="4"/>
  <c r="S216" i="9" s="1"/>
  <c r="H249" i="11" s="1"/>
  <c r="C249" i="11"/>
  <c r="AD61" i="4"/>
  <c r="A113" i="11"/>
  <c r="H134" i="11"/>
  <c r="AA56" i="4"/>
  <c r="Z48" i="4"/>
  <c r="C169" i="11"/>
  <c r="AA61" i="4"/>
  <c r="C113" i="11"/>
  <c r="Z77" i="4"/>
  <c r="Y98" i="4"/>
  <c r="S101" i="9" s="1"/>
  <c r="AA129" i="4"/>
  <c r="A169" i="11"/>
  <c r="AA42" i="4"/>
  <c r="S15" i="9"/>
  <c r="P34" i="9"/>
  <c r="P12" i="9"/>
  <c r="Q16" i="9"/>
  <c r="AA213" i="4"/>
  <c r="R45" i="9"/>
  <c r="E78" i="11" s="1"/>
  <c r="E249" i="11"/>
  <c r="G249" i="11"/>
  <c r="Y56" i="4"/>
  <c r="S59" i="9" s="1"/>
  <c r="AD77" i="4"/>
  <c r="Z98" i="4"/>
  <c r="R51" i="9"/>
  <c r="A84" i="11" s="1"/>
  <c r="AD48" i="4"/>
  <c r="AD158" i="4"/>
  <c r="Y129" i="4"/>
  <c r="S132" i="9" s="1"/>
  <c r="G169" i="11"/>
  <c r="E169" i="11"/>
  <c r="Y42" i="4"/>
  <c r="S45" i="9" s="1"/>
  <c r="C194" i="11"/>
  <c r="E194" i="11"/>
  <c r="E113" i="11"/>
  <c r="G113" i="11"/>
  <c r="Z49" i="4"/>
  <c r="E134" i="11"/>
  <c r="Z213" i="4"/>
  <c r="X51" i="4"/>
  <c r="AA51" i="4" s="1"/>
  <c r="B249" i="11"/>
  <c r="D249" i="11"/>
  <c r="Z56" i="4"/>
  <c r="AA77" i="4"/>
  <c r="AD98" i="4"/>
  <c r="AA48" i="4"/>
  <c r="AA158" i="4"/>
  <c r="Z129" i="4"/>
  <c r="B169" i="11"/>
  <c r="D169" i="11"/>
  <c r="Z42" i="4"/>
  <c r="G194" i="11"/>
  <c r="B113" i="11"/>
  <c r="AA49" i="4"/>
  <c r="B134" i="11"/>
  <c r="X3" i="4"/>
  <c r="AD213" i="4"/>
  <c r="R59" i="9"/>
  <c r="B92" i="11" s="1"/>
  <c r="Y77" i="4"/>
  <c r="S80" i="9" s="1"/>
  <c r="H113" i="11" s="1"/>
  <c r="AA98" i="4"/>
  <c r="Y158" i="4"/>
  <c r="S161" i="9" s="1"/>
  <c r="F169" i="11"/>
  <c r="D194" i="11"/>
  <c r="D113" i="11"/>
  <c r="R52" i="9"/>
  <c r="E85" i="11" s="1"/>
  <c r="G134" i="11"/>
  <c r="X43" i="4"/>
  <c r="P46" i="9"/>
  <c r="Z75" i="4"/>
  <c r="Y75" i="4"/>
  <c r="S78" i="9" s="1"/>
  <c r="R78" i="9"/>
  <c r="AA75" i="4"/>
  <c r="AD75" i="4"/>
  <c r="J41" i="5"/>
  <c r="L41" i="5" s="1"/>
  <c r="G47" i="5"/>
  <c r="K47" i="5"/>
  <c r="L47" i="5" s="1"/>
  <c r="Z23" i="4"/>
  <c r="G59" i="11"/>
  <c r="E59" i="11"/>
  <c r="Z24" i="4"/>
  <c r="R17" i="9"/>
  <c r="E50" i="11" s="1"/>
  <c r="Z14" i="4"/>
  <c r="R48" i="9"/>
  <c r="F81" i="11" s="1"/>
  <c r="Z45" i="4"/>
  <c r="AA70" i="4"/>
  <c r="R181" i="9"/>
  <c r="D214" i="11" s="1"/>
  <c r="AA178" i="4"/>
  <c r="X222" i="4"/>
  <c r="Z222" i="4" s="1"/>
  <c r="R219" i="9"/>
  <c r="G252" i="11" s="1"/>
  <c r="AA216" i="4"/>
  <c r="X137" i="4"/>
  <c r="G40" i="5" s="1"/>
  <c r="R212" i="9"/>
  <c r="D245" i="11" s="1"/>
  <c r="AD209" i="4"/>
  <c r="R73" i="9"/>
  <c r="C106" i="11" s="1"/>
  <c r="R27" i="9"/>
  <c r="E60" i="11" s="1"/>
  <c r="AD24" i="4"/>
  <c r="X157" i="4"/>
  <c r="AD157" i="4" s="1"/>
  <c r="X190" i="4"/>
  <c r="AD190" i="4" s="1"/>
  <c r="AD14" i="4"/>
  <c r="AD45" i="4"/>
  <c r="Y70" i="4"/>
  <c r="S73" i="9" s="1"/>
  <c r="Z178" i="4"/>
  <c r="X47" i="4"/>
  <c r="AD47" i="4" s="1"/>
  <c r="Z216" i="4"/>
  <c r="Y209" i="4"/>
  <c r="S212" i="9" s="1"/>
  <c r="D134" i="11"/>
  <c r="F134" i="11"/>
  <c r="G48" i="5"/>
  <c r="O38" i="5"/>
  <c r="K41" i="5"/>
  <c r="L34" i="5"/>
  <c r="M18" i="5"/>
  <c r="AA23" i="4"/>
  <c r="H59" i="11"/>
  <c r="X37" i="4"/>
  <c r="AD37" i="4" s="1"/>
  <c r="F194" i="11"/>
  <c r="A134" i="11"/>
  <c r="Y11" i="4"/>
  <c r="S14" i="9" s="1"/>
  <c r="AA11" i="4"/>
  <c r="R14" i="9"/>
  <c r="AD11" i="4"/>
  <c r="Z11" i="4"/>
  <c r="Y10" i="4"/>
  <c r="S13" i="9" s="1"/>
  <c r="AA10" i="4"/>
  <c r="AD10" i="4"/>
  <c r="Z10" i="4"/>
  <c r="R13" i="9"/>
  <c r="X125" i="4"/>
  <c r="P128" i="9"/>
  <c r="Y74" i="4"/>
  <c r="S77" i="9" s="1"/>
  <c r="AA74" i="4"/>
  <c r="AD74" i="4"/>
  <c r="Z74" i="4"/>
  <c r="R77" i="9"/>
  <c r="X93" i="4"/>
  <c r="P96" i="9"/>
  <c r="X31" i="4"/>
  <c r="X143" i="4"/>
  <c r="P48" i="5"/>
  <c r="AA104" i="4"/>
  <c r="AD104" i="4"/>
  <c r="Z104" i="4"/>
  <c r="Y104" i="4"/>
  <c r="S107" i="9" s="1"/>
  <c r="R107" i="9"/>
  <c r="AA128" i="4"/>
  <c r="AD128" i="4"/>
  <c r="Z128" i="4"/>
  <c r="Y128" i="4"/>
  <c r="S131" i="9" s="1"/>
  <c r="R131" i="9"/>
  <c r="E191" i="11"/>
  <c r="A191" i="11"/>
  <c r="H191" i="11"/>
  <c r="D191" i="11"/>
  <c r="G191" i="11"/>
  <c r="C191" i="11"/>
  <c r="F191" i="11"/>
  <c r="B191" i="11"/>
  <c r="E201" i="11"/>
  <c r="A201" i="11"/>
  <c r="H201" i="11"/>
  <c r="D201" i="11"/>
  <c r="G201" i="11"/>
  <c r="C201" i="11"/>
  <c r="F201" i="11"/>
  <c r="B201" i="11"/>
  <c r="F92" i="11"/>
  <c r="H92" i="11"/>
  <c r="AA136" i="4"/>
  <c r="AD136" i="4"/>
  <c r="Z136" i="4"/>
  <c r="P38" i="5" s="1"/>
  <c r="Y136" i="4"/>
  <c r="S139" i="9" s="1"/>
  <c r="R139" i="9"/>
  <c r="X95" i="4"/>
  <c r="P98" i="9"/>
  <c r="E165" i="11"/>
  <c r="A165" i="11"/>
  <c r="H165" i="11"/>
  <c r="D165" i="11"/>
  <c r="G165" i="11"/>
  <c r="C165" i="11"/>
  <c r="F165" i="11"/>
  <c r="B165" i="11"/>
  <c r="X203" i="4"/>
  <c r="P206" i="9"/>
  <c r="AD40" i="4"/>
  <c r="Z40" i="4"/>
  <c r="Y40" i="4"/>
  <c r="S43" i="9" s="1"/>
  <c r="AA40" i="4"/>
  <c r="R43" i="9"/>
  <c r="AA140" i="4"/>
  <c r="AD140" i="4"/>
  <c r="Z140" i="4"/>
  <c r="Y140" i="4"/>
  <c r="S143" i="9" s="1"/>
  <c r="R143" i="9"/>
  <c r="X186" i="4"/>
  <c r="P189" i="9"/>
  <c r="AA117" i="4"/>
  <c r="AD117" i="4"/>
  <c r="Z117" i="4"/>
  <c r="Y117" i="4"/>
  <c r="S120" i="9" s="1"/>
  <c r="R120" i="9"/>
  <c r="X15" i="4"/>
  <c r="P18" i="9"/>
  <c r="P156" i="9"/>
  <c r="X153" i="4"/>
  <c r="F68" i="11"/>
  <c r="B68" i="11"/>
  <c r="E68" i="11"/>
  <c r="A68" i="11"/>
  <c r="H68" i="11"/>
  <c r="D68" i="11"/>
  <c r="G68" i="11"/>
  <c r="C68" i="11"/>
  <c r="AA124" i="4"/>
  <c r="AD124" i="4"/>
  <c r="Z124" i="4"/>
  <c r="Y124" i="4"/>
  <c r="S127" i="9" s="1"/>
  <c r="R127" i="9"/>
  <c r="F98" i="11"/>
  <c r="B98" i="11"/>
  <c r="E98" i="11"/>
  <c r="A98" i="11"/>
  <c r="H98" i="11"/>
  <c r="G98" i="11"/>
  <c r="D98" i="11"/>
  <c r="C98" i="11"/>
  <c r="AA157" i="4"/>
  <c r="R160" i="9"/>
  <c r="AA190" i="4"/>
  <c r="R193" i="9"/>
  <c r="E159" i="11"/>
  <c r="A159" i="11"/>
  <c r="H159" i="11"/>
  <c r="D159" i="11"/>
  <c r="G159" i="11"/>
  <c r="C159" i="11"/>
  <c r="F159" i="11"/>
  <c r="B159" i="11"/>
  <c r="X223" i="4"/>
  <c r="P226" i="9"/>
  <c r="P24" i="9"/>
  <c r="X21" i="4"/>
  <c r="AD44" i="4"/>
  <c r="Z44" i="4"/>
  <c r="Y44" i="4"/>
  <c r="S47" i="9" s="1"/>
  <c r="AA44" i="4"/>
  <c r="R47" i="9"/>
  <c r="F58" i="11"/>
  <c r="B58" i="11"/>
  <c r="E58" i="11"/>
  <c r="A58" i="11"/>
  <c r="H58" i="11"/>
  <c r="D58" i="11"/>
  <c r="C58" i="11"/>
  <c r="G58" i="11"/>
  <c r="P186" i="9"/>
  <c r="X183" i="4"/>
  <c r="P222" i="9"/>
  <c r="X219" i="4"/>
  <c r="AA92" i="4"/>
  <c r="AD92" i="4"/>
  <c r="Z92" i="4"/>
  <c r="Y92" i="4"/>
  <c r="S95" i="9" s="1"/>
  <c r="R95" i="9"/>
  <c r="G127" i="11"/>
  <c r="C127" i="11"/>
  <c r="F127" i="11"/>
  <c r="B127" i="11"/>
  <c r="E127" i="11"/>
  <c r="A127" i="11"/>
  <c r="H127" i="11"/>
  <c r="D127" i="11"/>
  <c r="F97" i="11"/>
  <c r="B97" i="11"/>
  <c r="E97" i="11"/>
  <c r="A97" i="11"/>
  <c r="H97" i="11"/>
  <c r="G97" i="11"/>
  <c r="D97" i="11"/>
  <c r="C97" i="11"/>
  <c r="F42" i="11"/>
  <c r="B42" i="11"/>
  <c r="E42" i="11"/>
  <c r="A42" i="11"/>
  <c r="H42" i="11"/>
  <c r="D42" i="11"/>
  <c r="G42" i="11"/>
  <c r="C42" i="11"/>
  <c r="E170" i="11"/>
  <c r="A170" i="11"/>
  <c r="H170" i="11"/>
  <c r="D170" i="11"/>
  <c r="G170" i="11"/>
  <c r="C170" i="11"/>
  <c r="F170" i="11"/>
  <c r="B170" i="11"/>
  <c r="E213" i="11"/>
  <c r="A213" i="11"/>
  <c r="H213" i="11"/>
  <c r="D213" i="11"/>
  <c r="G213" i="11"/>
  <c r="C213" i="11"/>
  <c r="F213" i="11"/>
  <c r="B213" i="11"/>
  <c r="F75" i="11"/>
  <c r="B75" i="11"/>
  <c r="E75" i="11"/>
  <c r="A75" i="11"/>
  <c r="H75" i="11"/>
  <c r="D75" i="11"/>
  <c r="G75" i="11"/>
  <c r="C75" i="11"/>
  <c r="E174" i="11"/>
  <c r="A174" i="11"/>
  <c r="H174" i="11"/>
  <c r="D174" i="11"/>
  <c r="G174" i="11"/>
  <c r="C174" i="11"/>
  <c r="F174" i="11"/>
  <c r="B174" i="11"/>
  <c r="AD137" i="4"/>
  <c r="B85" i="11"/>
  <c r="G85" i="11"/>
  <c r="F91" i="11"/>
  <c r="B91" i="11"/>
  <c r="E91" i="11"/>
  <c r="A91" i="11"/>
  <c r="H91" i="11"/>
  <c r="G91" i="11"/>
  <c r="D91" i="11"/>
  <c r="C91" i="11"/>
  <c r="AA83" i="4"/>
  <c r="AD83" i="4"/>
  <c r="Y83" i="4"/>
  <c r="S86" i="9" s="1"/>
  <c r="Z83" i="4"/>
  <c r="R86" i="9"/>
  <c r="E200" i="11"/>
  <c r="A200" i="11"/>
  <c r="H200" i="11"/>
  <c r="D200" i="11"/>
  <c r="G200" i="11"/>
  <c r="C200" i="11"/>
  <c r="F200" i="11"/>
  <c r="B200" i="11"/>
  <c r="AD20" i="4"/>
  <c r="Z20" i="4"/>
  <c r="Y20" i="4"/>
  <c r="S23" i="9" s="1"/>
  <c r="AA20" i="4"/>
  <c r="R23" i="9"/>
  <c r="AA38" i="4"/>
  <c r="AD38" i="4"/>
  <c r="Z38" i="4"/>
  <c r="Y38" i="4"/>
  <c r="S41" i="9" s="1"/>
  <c r="R41" i="9"/>
  <c r="N30" i="5"/>
  <c r="M49" i="5"/>
  <c r="AA132" i="4"/>
  <c r="AD132" i="4"/>
  <c r="Z132" i="4"/>
  <c r="Y132" i="4"/>
  <c r="S135" i="9" s="1"/>
  <c r="R135" i="9"/>
  <c r="AD8" i="4"/>
  <c r="Z8" i="4"/>
  <c r="Y8" i="4"/>
  <c r="S11" i="9" s="1"/>
  <c r="AA8" i="4"/>
  <c r="R11" i="9"/>
  <c r="E210" i="11"/>
  <c r="A210" i="11"/>
  <c r="H210" i="11"/>
  <c r="D210" i="11"/>
  <c r="G210" i="11"/>
  <c r="C210" i="11"/>
  <c r="F210" i="11"/>
  <c r="B210" i="11"/>
  <c r="G112" i="11"/>
  <c r="C112" i="11"/>
  <c r="F112" i="11"/>
  <c r="B112" i="11"/>
  <c r="E112" i="11"/>
  <c r="A112" i="11"/>
  <c r="D112" i="11"/>
  <c r="H112" i="11"/>
  <c r="D78" i="11"/>
  <c r="F64" i="11"/>
  <c r="B64" i="11"/>
  <c r="E64" i="11"/>
  <c r="A64" i="11"/>
  <c r="H64" i="11"/>
  <c r="D64" i="11"/>
  <c r="C64" i="11"/>
  <c r="G64" i="11"/>
  <c r="AD36" i="4"/>
  <c r="Z36" i="4"/>
  <c r="Y36" i="4"/>
  <c r="S39" i="9" s="1"/>
  <c r="AA36" i="4"/>
  <c r="R39" i="9"/>
  <c r="X7" i="4"/>
  <c r="P38" i="9"/>
  <c r="X35" i="4"/>
  <c r="X218" i="4"/>
  <c r="P221" i="9"/>
  <c r="AD189" i="4"/>
  <c r="Z189" i="4"/>
  <c r="Y189" i="4"/>
  <c r="S192" i="9" s="1"/>
  <c r="AA189" i="4"/>
  <c r="R192" i="9"/>
  <c r="Y135" i="4"/>
  <c r="S138" i="9" s="1"/>
  <c r="AA135" i="4"/>
  <c r="AD135" i="4"/>
  <c r="Z135" i="4"/>
  <c r="R138" i="9"/>
  <c r="Y139" i="4"/>
  <c r="S142" i="9" s="1"/>
  <c r="AA139" i="4"/>
  <c r="AD139" i="4"/>
  <c r="Z139" i="4"/>
  <c r="R142" i="9"/>
  <c r="P214" i="9"/>
  <c r="X211" i="4"/>
  <c r="AD60" i="4"/>
  <c r="Z60" i="4"/>
  <c r="Y60" i="4"/>
  <c r="S63" i="9" s="1"/>
  <c r="AA60" i="4"/>
  <c r="R63" i="9"/>
  <c r="E186" i="11"/>
  <c r="A186" i="11"/>
  <c r="H186" i="11"/>
  <c r="D186" i="11"/>
  <c r="G186" i="11"/>
  <c r="C186" i="11"/>
  <c r="F186" i="11"/>
  <c r="B186" i="11"/>
  <c r="AD4" i="4"/>
  <c r="Z4" i="4"/>
  <c r="AA4" i="4"/>
  <c r="Y4" i="4"/>
  <c r="S7" i="9" s="1"/>
  <c r="R7" i="9"/>
  <c r="P165" i="9"/>
  <c r="X162" i="4"/>
  <c r="AD201" i="4"/>
  <c r="Z201" i="4"/>
  <c r="AA201" i="4"/>
  <c r="Y201" i="4"/>
  <c r="S204" i="9" s="1"/>
  <c r="R204" i="9"/>
  <c r="Y25" i="4"/>
  <c r="S28" i="9" s="1"/>
  <c r="AA25" i="4"/>
  <c r="Z25" i="4"/>
  <c r="AD25" i="4"/>
  <c r="R28" i="9"/>
  <c r="AA160" i="4"/>
  <c r="AD160" i="4"/>
  <c r="Z160" i="4"/>
  <c r="P47" i="5" s="1"/>
  <c r="Y160" i="4"/>
  <c r="S163" i="9" s="1"/>
  <c r="R163" i="9"/>
  <c r="E82" i="11"/>
  <c r="A82" i="11"/>
  <c r="H82" i="11"/>
  <c r="C82" i="11"/>
  <c r="G82" i="11"/>
  <c r="B82" i="11"/>
  <c r="F82" i="11"/>
  <c r="D82" i="11"/>
  <c r="X215" i="4"/>
  <c r="P218" i="9"/>
  <c r="AA116" i="4"/>
  <c r="AD116" i="4"/>
  <c r="Z116" i="4"/>
  <c r="Y116" i="4"/>
  <c r="S119" i="9" s="1"/>
  <c r="R119" i="9"/>
  <c r="AA149" i="4"/>
  <c r="AD149" i="4"/>
  <c r="Z149" i="4"/>
  <c r="Y149" i="4"/>
  <c r="S152" i="9" s="1"/>
  <c r="R152" i="9"/>
  <c r="Y13" i="4"/>
  <c r="AA13" i="4"/>
  <c r="AD13" i="4"/>
  <c r="Z13" i="4"/>
  <c r="R16" i="9"/>
  <c r="X87" i="4"/>
  <c r="P90" i="9"/>
  <c r="AD168" i="4"/>
  <c r="Z168" i="4"/>
  <c r="Y168" i="4"/>
  <c r="S171" i="9" s="1"/>
  <c r="AA168" i="4"/>
  <c r="R171" i="9"/>
  <c r="G137" i="11"/>
  <c r="C137" i="11"/>
  <c r="F137" i="11"/>
  <c r="B137" i="11"/>
  <c r="E137" i="11"/>
  <c r="A137" i="11"/>
  <c r="H137" i="11"/>
  <c r="D137" i="11"/>
  <c r="AA88" i="4"/>
  <c r="AD88" i="4"/>
  <c r="Z88" i="4"/>
  <c r="Y88" i="4"/>
  <c r="S91" i="9" s="1"/>
  <c r="R91" i="9"/>
  <c r="G133" i="11"/>
  <c r="C133" i="11"/>
  <c r="F133" i="11"/>
  <c r="B133" i="11"/>
  <c r="E133" i="11"/>
  <c r="A133" i="11"/>
  <c r="H133" i="11"/>
  <c r="D133" i="11"/>
  <c r="X121" i="4"/>
  <c r="X175" i="4"/>
  <c r="AA184" i="4"/>
  <c r="AD184" i="4"/>
  <c r="Z184" i="4"/>
  <c r="Y184" i="4"/>
  <c r="S187" i="9" s="1"/>
  <c r="R187" i="9"/>
  <c r="F77" i="11"/>
  <c r="B77" i="11"/>
  <c r="E77" i="11"/>
  <c r="A77" i="11"/>
  <c r="H77" i="11"/>
  <c r="D77" i="11"/>
  <c r="G77" i="11"/>
  <c r="C77" i="11"/>
  <c r="G126" i="11"/>
  <c r="C126" i="11"/>
  <c r="F126" i="11"/>
  <c r="B126" i="11"/>
  <c r="E126" i="11"/>
  <c r="A126" i="11"/>
  <c r="D126" i="11"/>
  <c r="H126" i="11"/>
  <c r="E197" i="11"/>
  <c r="A197" i="11"/>
  <c r="H197" i="11"/>
  <c r="D197" i="11"/>
  <c r="G197" i="11"/>
  <c r="C197" i="11"/>
  <c r="F197" i="11"/>
  <c r="B197" i="11"/>
  <c r="G143" i="11"/>
  <c r="C143" i="11"/>
  <c r="F143" i="11"/>
  <c r="B143" i="11"/>
  <c r="E143" i="11"/>
  <c r="A143" i="11"/>
  <c r="H143" i="11"/>
  <c r="D143" i="11"/>
  <c r="E155" i="11"/>
  <c r="A155" i="11"/>
  <c r="H155" i="11"/>
  <c r="D155" i="11"/>
  <c r="G155" i="11"/>
  <c r="C155" i="11"/>
  <c r="F155" i="11"/>
  <c r="B155" i="11"/>
  <c r="AA191" i="4"/>
  <c r="AD191" i="4"/>
  <c r="Z191" i="4"/>
  <c r="Y191" i="4"/>
  <c r="S194" i="9" s="1"/>
  <c r="R194" i="9"/>
  <c r="G122" i="11"/>
  <c r="C122" i="11"/>
  <c r="F122" i="11"/>
  <c r="B122" i="11"/>
  <c r="E122" i="11"/>
  <c r="A122" i="11"/>
  <c r="D122" i="11"/>
  <c r="H122" i="11"/>
  <c r="AA105" i="4"/>
  <c r="AD105" i="4"/>
  <c r="Z105" i="4"/>
  <c r="Y105" i="4"/>
  <c r="S108" i="9" s="1"/>
  <c r="R108" i="9"/>
  <c r="H230" i="11"/>
  <c r="D230" i="11"/>
  <c r="G230" i="11"/>
  <c r="C230" i="11"/>
  <c r="F230" i="11"/>
  <c r="B230" i="11"/>
  <c r="E230" i="11"/>
  <c r="A230" i="11"/>
  <c r="E190" i="11"/>
  <c r="A190" i="11"/>
  <c r="H190" i="11"/>
  <c r="D190" i="11"/>
  <c r="G190" i="11"/>
  <c r="C190" i="11"/>
  <c r="F190" i="11"/>
  <c r="B190" i="11"/>
  <c r="G117" i="11"/>
  <c r="C117" i="11"/>
  <c r="F117" i="11"/>
  <c r="B117" i="11"/>
  <c r="E117" i="11"/>
  <c r="A117" i="11"/>
  <c r="H117" i="11"/>
  <c r="D117" i="11"/>
  <c r="AA141" i="4"/>
  <c r="AD141" i="4"/>
  <c r="Z141" i="4"/>
  <c r="Y141" i="4"/>
  <c r="S144" i="9" s="1"/>
  <c r="R144" i="9"/>
  <c r="AA156" i="4"/>
  <c r="AD156" i="4"/>
  <c r="Z156" i="4"/>
  <c r="Y156" i="4"/>
  <c r="S159" i="9" s="1"/>
  <c r="R159" i="9"/>
  <c r="N48" i="5"/>
  <c r="J48" i="5"/>
  <c r="L48" i="5" s="1"/>
  <c r="AD84" i="4"/>
  <c r="Z84" i="4"/>
  <c r="AA84" i="4"/>
  <c r="Y84" i="4"/>
  <c r="S87" i="9" s="1"/>
  <c r="R87" i="9"/>
  <c r="K48" i="5"/>
  <c r="G10" i="5"/>
  <c r="P10" i="5"/>
  <c r="N10" i="5"/>
  <c r="J12" i="5"/>
  <c r="L45" i="5"/>
  <c r="J13" i="5"/>
  <c r="M48" i="5"/>
  <c r="M31" i="5"/>
  <c r="M47" i="5"/>
  <c r="O47" i="5" s="1"/>
  <c r="AD64" i="4"/>
  <c r="Z64" i="4"/>
  <c r="Y64" i="4"/>
  <c r="S67" i="9" s="1"/>
  <c r="AA64" i="4"/>
  <c r="R67" i="9"/>
  <c r="F104" i="11"/>
  <c r="B104" i="11"/>
  <c r="E104" i="11"/>
  <c r="A104" i="11"/>
  <c r="H104" i="11"/>
  <c r="G104" i="11"/>
  <c r="D104" i="11"/>
  <c r="C104" i="11"/>
  <c r="F48" i="11"/>
  <c r="B48" i="11"/>
  <c r="E48" i="11"/>
  <c r="A48" i="11"/>
  <c r="H48" i="11"/>
  <c r="D48" i="11"/>
  <c r="G48" i="11"/>
  <c r="C48" i="11"/>
  <c r="AA108" i="4"/>
  <c r="AD108" i="4"/>
  <c r="Z108" i="4"/>
  <c r="Y108" i="4"/>
  <c r="S111" i="9" s="1"/>
  <c r="R111" i="9"/>
  <c r="AD197" i="4"/>
  <c r="Z197" i="4"/>
  <c r="AA197" i="4"/>
  <c r="Y197" i="4"/>
  <c r="S200" i="9" s="1"/>
  <c r="R200" i="9"/>
  <c r="E184" i="11"/>
  <c r="A184" i="11"/>
  <c r="H184" i="11"/>
  <c r="D184" i="11"/>
  <c r="G184" i="11"/>
  <c r="C184" i="11"/>
  <c r="F184" i="11"/>
  <c r="B184" i="11"/>
  <c r="AA212" i="4"/>
  <c r="Y212" i="4"/>
  <c r="S215" i="9" s="1"/>
  <c r="Z212" i="4"/>
  <c r="AD212" i="4"/>
  <c r="R215" i="9"/>
  <c r="X69" i="4"/>
  <c r="P72" i="9"/>
  <c r="X111" i="4"/>
  <c r="P114" i="9"/>
  <c r="P70" i="9"/>
  <c r="X67" i="4"/>
  <c r="G109" i="11"/>
  <c r="C109" i="11"/>
  <c r="F109" i="11"/>
  <c r="B109" i="11"/>
  <c r="E109" i="11"/>
  <c r="A109" i="11"/>
  <c r="H109" i="11"/>
  <c r="D109" i="11"/>
  <c r="G106" i="11"/>
  <c r="E106" i="11"/>
  <c r="B60" i="11"/>
  <c r="AA152" i="4"/>
  <c r="AD152" i="4"/>
  <c r="Z152" i="4"/>
  <c r="Y152" i="4"/>
  <c r="S155" i="9" s="1"/>
  <c r="R155" i="9"/>
  <c r="AD193" i="4"/>
  <c r="Z193" i="4"/>
  <c r="AA193" i="4"/>
  <c r="Y193" i="4"/>
  <c r="S196" i="9" s="1"/>
  <c r="R196" i="9"/>
  <c r="Y210" i="4"/>
  <c r="S213" i="9" s="1"/>
  <c r="AA210" i="4"/>
  <c r="Z210" i="4"/>
  <c r="AD210" i="4"/>
  <c r="R213" i="9"/>
  <c r="AD114" i="4"/>
  <c r="Z114" i="4"/>
  <c r="P34" i="5" s="1"/>
  <c r="Y114" i="4"/>
  <c r="S117" i="9" s="1"/>
  <c r="AA114" i="4"/>
  <c r="R117" i="9"/>
  <c r="P130" i="9"/>
  <c r="X127" i="4"/>
  <c r="B50" i="11"/>
  <c r="D50" i="11"/>
  <c r="AA208" i="4"/>
  <c r="Y208" i="4"/>
  <c r="S211" i="9" s="1"/>
  <c r="AD208" i="4"/>
  <c r="Z208" i="4"/>
  <c r="R211" i="9"/>
  <c r="X199" i="4"/>
  <c r="P202" i="9"/>
  <c r="X166" i="4"/>
  <c r="P169" i="9"/>
  <c r="AD89" i="4"/>
  <c r="Z89" i="4"/>
  <c r="Y89" i="4"/>
  <c r="S92" i="9" s="1"/>
  <c r="AA89" i="4"/>
  <c r="R92" i="9"/>
  <c r="F54" i="11"/>
  <c r="B54" i="11"/>
  <c r="E54" i="11"/>
  <c r="A54" i="11"/>
  <c r="H54" i="11"/>
  <c r="D54" i="11"/>
  <c r="C54" i="11"/>
  <c r="G54" i="11"/>
  <c r="P203" i="9"/>
  <c r="X200" i="4"/>
  <c r="H241" i="11"/>
  <c r="D241" i="11"/>
  <c r="G241" i="11"/>
  <c r="C241" i="11"/>
  <c r="F241" i="11"/>
  <c r="B241" i="11"/>
  <c r="E241" i="11"/>
  <c r="A241" i="11"/>
  <c r="A81" i="11"/>
  <c r="P56" i="9"/>
  <c r="X53" i="4"/>
  <c r="H53" i="11"/>
  <c r="D53" i="11"/>
  <c r="G53" i="11"/>
  <c r="C53" i="11"/>
  <c r="F53" i="11"/>
  <c r="B53" i="11"/>
  <c r="A53" i="11"/>
  <c r="E53" i="11"/>
  <c r="AA187" i="4"/>
  <c r="AD187" i="4"/>
  <c r="Z187" i="4"/>
  <c r="Y187" i="4"/>
  <c r="S190" i="9" s="1"/>
  <c r="R190" i="9"/>
  <c r="AA167" i="4"/>
  <c r="AD167" i="4"/>
  <c r="Y167" i="4"/>
  <c r="S170" i="9" s="1"/>
  <c r="Z167" i="4"/>
  <c r="R170" i="9"/>
  <c r="X109" i="4"/>
  <c r="E187" i="11"/>
  <c r="A187" i="11"/>
  <c r="H187" i="11"/>
  <c r="D187" i="11"/>
  <c r="G187" i="11"/>
  <c r="C187" i="11"/>
  <c r="F187" i="11"/>
  <c r="B187" i="11"/>
  <c r="G138" i="11"/>
  <c r="C138" i="11"/>
  <c r="F138" i="11"/>
  <c r="B138" i="11"/>
  <c r="E138" i="11"/>
  <c r="A138" i="11"/>
  <c r="D138" i="11"/>
  <c r="H138" i="11"/>
  <c r="AA37" i="4"/>
  <c r="X172" i="4"/>
  <c r="E178" i="11"/>
  <c r="A178" i="11"/>
  <c r="H178" i="11"/>
  <c r="D178" i="11"/>
  <c r="G178" i="11"/>
  <c r="C178" i="11"/>
  <c r="F178" i="11"/>
  <c r="B178" i="11"/>
  <c r="O34" i="5"/>
  <c r="G136" i="11"/>
  <c r="C136" i="11"/>
  <c r="F136" i="11"/>
  <c r="B136" i="11"/>
  <c r="E136" i="11"/>
  <c r="A136" i="11"/>
  <c r="D136" i="11"/>
  <c r="H136" i="11"/>
  <c r="N41" i="5"/>
  <c r="O41" i="5" s="1"/>
  <c r="G37" i="5"/>
  <c r="M10" i="5"/>
  <c r="O10" i="5" s="1"/>
  <c r="K30" i="5"/>
  <c r="P41" i="5"/>
  <c r="G41" i="5"/>
  <c r="P14" i="5"/>
  <c r="O18" i="5"/>
  <c r="J10" i="5"/>
  <c r="L10" i="5" s="1"/>
  <c r="O45" i="5"/>
  <c r="J30" i="5"/>
  <c r="L30" i="5" s="1"/>
  <c r="K31" i="5"/>
  <c r="J38" i="5"/>
  <c r="L38" i="5" s="1"/>
  <c r="AD221" i="4"/>
  <c r="Z221" i="4"/>
  <c r="Y221" i="4"/>
  <c r="S224" i="9" s="1"/>
  <c r="AA221" i="4"/>
  <c r="R224" i="9"/>
  <c r="R54" i="9"/>
  <c r="E199" i="11"/>
  <c r="A199" i="11"/>
  <c r="H199" i="11"/>
  <c r="D199" i="11"/>
  <c r="G199" i="11"/>
  <c r="C199" i="11"/>
  <c r="F199" i="11"/>
  <c r="B199" i="11"/>
  <c r="G116" i="11"/>
  <c r="C116" i="11"/>
  <c r="F116" i="11"/>
  <c r="B116" i="11"/>
  <c r="E116" i="11"/>
  <c r="A116" i="11"/>
  <c r="D116" i="11"/>
  <c r="H116" i="11"/>
  <c r="P22" i="9"/>
  <c r="X19" i="4"/>
  <c r="P182" i="9"/>
  <c r="X179" i="4"/>
  <c r="AA112" i="4"/>
  <c r="AD112" i="4"/>
  <c r="Z112" i="4"/>
  <c r="Y112" i="4"/>
  <c r="S115" i="9" s="1"/>
  <c r="R115" i="9"/>
  <c r="E181" i="11"/>
  <c r="A181" i="11"/>
  <c r="H181" i="11"/>
  <c r="D181" i="11"/>
  <c r="G181" i="11"/>
  <c r="C181" i="11"/>
  <c r="F181" i="11"/>
  <c r="B181" i="11"/>
  <c r="AA113" i="4"/>
  <c r="AD113" i="4"/>
  <c r="Z113" i="4"/>
  <c r="Y113" i="4"/>
  <c r="S116" i="9" s="1"/>
  <c r="R116" i="9"/>
  <c r="H232" i="11"/>
  <c r="D232" i="11"/>
  <c r="G232" i="11"/>
  <c r="C232" i="11"/>
  <c r="F232" i="11"/>
  <c r="B232" i="11"/>
  <c r="E232" i="11"/>
  <c r="A232" i="11"/>
  <c r="P174" i="9"/>
  <c r="X171" i="4"/>
  <c r="X63" i="4"/>
  <c r="P66" i="9"/>
  <c r="AD16" i="4"/>
  <c r="Z16" i="4"/>
  <c r="Y16" i="4"/>
  <c r="S19" i="9" s="1"/>
  <c r="AA16" i="4"/>
  <c r="R19" i="9"/>
  <c r="E156" i="11"/>
  <c r="A156" i="11"/>
  <c r="H156" i="11"/>
  <c r="D156" i="11"/>
  <c r="G156" i="11"/>
  <c r="C156" i="11"/>
  <c r="F156" i="11"/>
  <c r="B156" i="11"/>
  <c r="AD225" i="4"/>
  <c r="Z225" i="4"/>
  <c r="P49" i="5" s="1"/>
  <c r="Y225" i="4"/>
  <c r="S228" i="9" s="1"/>
  <c r="AA225" i="4"/>
  <c r="R228" i="9"/>
  <c r="AA96" i="4"/>
  <c r="AD96" i="4"/>
  <c r="Z96" i="4"/>
  <c r="Y96" i="4"/>
  <c r="S99" i="9" s="1"/>
  <c r="R99" i="9"/>
  <c r="AD52" i="4"/>
  <c r="Z52" i="4"/>
  <c r="Y52" i="4"/>
  <c r="S55" i="9" s="1"/>
  <c r="AA52" i="4"/>
  <c r="R55" i="9"/>
  <c r="P183" i="9"/>
  <c r="X180" i="4"/>
  <c r="X159" i="4"/>
  <c r="P162" i="9"/>
  <c r="X202" i="4"/>
  <c r="Y115" i="4"/>
  <c r="S118" i="9" s="1"/>
  <c r="AA115" i="4"/>
  <c r="P40" i="5" s="1"/>
  <c r="AD115" i="4"/>
  <c r="Z115" i="4"/>
  <c r="R118" i="9"/>
  <c r="AD72" i="4"/>
  <c r="Z72" i="4"/>
  <c r="Y72" i="4"/>
  <c r="S75" i="9" s="1"/>
  <c r="AA72" i="4"/>
  <c r="R75" i="9"/>
  <c r="AD110" i="4"/>
  <c r="Z110" i="4"/>
  <c r="P26" i="5" s="1"/>
  <c r="Y110" i="4"/>
  <c r="S113" i="9" s="1"/>
  <c r="AA110" i="4"/>
  <c r="R113" i="9"/>
  <c r="P198" i="9"/>
  <c r="X195" i="4"/>
  <c r="Y173" i="4"/>
  <c r="S176" i="9" s="1"/>
  <c r="AA173" i="4"/>
  <c r="Z173" i="4"/>
  <c r="AD173" i="4"/>
  <c r="R176" i="9"/>
  <c r="AD126" i="4"/>
  <c r="Z126" i="4"/>
  <c r="Y126" i="4"/>
  <c r="S129" i="9" s="1"/>
  <c r="AA126" i="4"/>
  <c r="R129" i="9"/>
  <c r="Y9" i="4"/>
  <c r="AA9" i="4"/>
  <c r="Z9" i="4"/>
  <c r="AD9" i="4"/>
  <c r="R12" i="9"/>
  <c r="E212" i="11"/>
  <c r="A212" i="11"/>
  <c r="H212" i="11"/>
  <c r="D212" i="11"/>
  <c r="G212" i="11"/>
  <c r="C212" i="11"/>
  <c r="F212" i="11"/>
  <c r="B212" i="11"/>
  <c r="X2" i="4"/>
  <c r="P5" i="9"/>
  <c r="AA144" i="4"/>
  <c r="AD144" i="4"/>
  <c r="Z144" i="4"/>
  <c r="Y144" i="4"/>
  <c r="S147" i="9" s="1"/>
  <c r="R147" i="9"/>
  <c r="P68" i="9"/>
  <c r="X65" i="4"/>
  <c r="H214" i="11"/>
  <c r="F214" i="11"/>
  <c r="X79" i="4"/>
  <c r="X5" i="4"/>
  <c r="J3" i="5" s="1"/>
  <c r="X192" i="4"/>
  <c r="D252" i="11"/>
  <c r="C252" i="11"/>
  <c r="B252" i="11"/>
  <c r="A252" i="11"/>
  <c r="E182" i="11"/>
  <c r="A182" i="11"/>
  <c r="H182" i="11"/>
  <c r="D182" i="11"/>
  <c r="G182" i="11"/>
  <c r="C182" i="11"/>
  <c r="F182" i="11"/>
  <c r="B182" i="11"/>
  <c r="E183" i="11"/>
  <c r="A183" i="11"/>
  <c r="H183" i="11"/>
  <c r="D183" i="11"/>
  <c r="G183" i="11"/>
  <c r="C183" i="11"/>
  <c r="F183" i="11"/>
  <c r="B183" i="11"/>
  <c r="X224" i="4"/>
  <c r="E166" i="11"/>
  <c r="A166" i="11"/>
  <c r="H166" i="11"/>
  <c r="D166" i="11"/>
  <c r="G166" i="11"/>
  <c r="C166" i="11"/>
  <c r="F166" i="11"/>
  <c r="B166" i="11"/>
  <c r="E154" i="11"/>
  <c r="A154" i="11"/>
  <c r="H154" i="11"/>
  <c r="D154" i="11"/>
  <c r="G154" i="11"/>
  <c r="C154" i="11"/>
  <c r="F154" i="11"/>
  <c r="B154" i="11"/>
  <c r="AA82" i="4"/>
  <c r="Z82" i="4"/>
  <c r="P18" i="5" s="1"/>
  <c r="AD82" i="4"/>
  <c r="Y82" i="4"/>
  <c r="S85" i="9" s="1"/>
  <c r="R85" i="9"/>
  <c r="X207" i="4"/>
  <c r="X188" i="4"/>
  <c r="G130" i="11"/>
  <c r="C130" i="11"/>
  <c r="F130" i="11"/>
  <c r="B130" i="11"/>
  <c r="E130" i="11"/>
  <c r="A130" i="11"/>
  <c r="D130" i="11"/>
  <c r="H130" i="11"/>
  <c r="B78" i="11" l="1"/>
  <c r="Y51" i="4"/>
  <c r="S54" i="9" s="1"/>
  <c r="H245" i="11"/>
  <c r="Z51" i="4"/>
  <c r="H78" i="11"/>
  <c r="F78" i="11"/>
  <c r="AD51" i="4"/>
  <c r="C78" i="11"/>
  <c r="A78" i="11"/>
  <c r="F245" i="11"/>
  <c r="AD222" i="4"/>
  <c r="G78" i="11"/>
  <c r="E81" i="11"/>
  <c r="F60" i="11"/>
  <c r="Y47" i="4"/>
  <c r="S50" i="9" s="1"/>
  <c r="C81" i="11"/>
  <c r="D60" i="11"/>
  <c r="Z47" i="4"/>
  <c r="G81" i="11"/>
  <c r="H60" i="11"/>
  <c r="Z137" i="4"/>
  <c r="C214" i="11"/>
  <c r="A214" i="11"/>
  <c r="H106" i="11"/>
  <c r="B106" i="11"/>
  <c r="Y190" i="4"/>
  <c r="S193" i="9" s="1"/>
  <c r="C92" i="11"/>
  <c r="A92" i="11"/>
  <c r="G214" i="11"/>
  <c r="E214" i="11"/>
  <c r="D106" i="11"/>
  <c r="F106" i="11"/>
  <c r="D84" i="11"/>
  <c r="D92" i="11"/>
  <c r="E92" i="11"/>
  <c r="B214" i="11"/>
  <c r="A106" i="11"/>
  <c r="Z190" i="4"/>
  <c r="E84" i="11"/>
  <c r="G92" i="11"/>
  <c r="G3" i="5"/>
  <c r="N3" i="5"/>
  <c r="K3" i="5"/>
  <c r="M3" i="5"/>
  <c r="O3" i="5" s="1"/>
  <c r="F252" i="11"/>
  <c r="H252" i="11"/>
  <c r="H50" i="11"/>
  <c r="F50" i="11"/>
  <c r="P11" i="5"/>
  <c r="H85" i="11"/>
  <c r="F85" i="11"/>
  <c r="Y157" i="4"/>
  <c r="S160" i="9" s="1"/>
  <c r="G84" i="11"/>
  <c r="B84" i="11"/>
  <c r="C50" i="11"/>
  <c r="A50" i="11"/>
  <c r="C85" i="11"/>
  <c r="A85" i="11"/>
  <c r="Z157" i="4"/>
  <c r="H84" i="11"/>
  <c r="F84" i="11"/>
  <c r="AA43" i="4"/>
  <c r="Z43" i="4"/>
  <c r="Y43" i="4"/>
  <c r="S46" i="9" s="1"/>
  <c r="R46" i="9"/>
  <c r="AD43" i="4"/>
  <c r="R6" i="9"/>
  <c r="AA3" i="4"/>
  <c r="Z3" i="4"/>
  <c r="Y3" i="4"/>
  <c r="S6" i="9" s="1"/>
  <c r="AD3" i="4"/>
  <c r="E252" i="11"/>
  <c r="G50" i="11"/>
  <c r="D85" i="11"/>
  <c r="C84" i="11"/>
  <c r="Y125" i="4"/>
  <c r="S128" i="9" s="1"/>
  <c r="J35" i="5"/>
  <c r="L35" i="5" s="1"/>
  <c r="K35" i="5"/>
  <c r="AA125" i="4"/>
  <c r="R128" i="9"/>
  <c r="AD125" i="4"/>
  <c r="N35" i="5"/>
  <c r="Z125" i="4"/>
  <c r="G35" i="5"/>
  <c r="C47" i="11"/>
  <c r="A47" i="11"/>
  <c r="H47" i="11"/>
  <c r="F47" i="11"/>
  <c r="D47" i="11"/>
  <c r="B47" i="11"/>
  <c r="G47" i="11"/>
  <c r="E47" i="11"/>
  <c r="A245" i="11"/>
  <c r="AA222" i="4"/>
  <c r="Z93" i="4"/>
  <c r="K29" i="5"/>
  <c r="N29" i="5"/>
  <c r="Y93" i="4"/>
  <c r="S96" i="9" s="1"/>
  <c r="AA93" i="4"/>
  <c r="R96" i="9"/>
  <c r="AD93" i="4"/>
  <c r="G13" i="5"/>
  <c r="M13" i="5"/>
  <c r="K13" i="5"/>
  <c r="M12" i="5"/>
  <c r="K12" i="5"/>
  <c r="L12" i="5" s="1"/>
  <c r="G12" i="5"/>
  <c r="N12" i="5"/>
  <c r="P35" i="5"/>
  <c r="J14" i="5"/>
  <c r="G245" i="11"/>
  <c r="R40" i="9"/>
  <c r="E73" i="11" s="1"/>
  <c r="D81" i="11"/>
  <c r="B81" i="11"/>
  <c r="G60" i="11"/>
  <c r="A60" i="11"/>
  <c r="O48" i="5"/>
  <c r="J40" i="5"/>
  <c r="R225" i="9"/>
  <c r="H258" i="11" s="1"/>
  <c r="Y222" i="4"/>
  <c r="S225" i="9" s="1"/>
  <c r="R140" i="9"/>
  <c r="H173" i="11" s="1"/>
  <c r="AA137" i="4"/>
  <c r="AA143" i="4"/>
  <c r="Z143" i="4"/>
  <c r="AD143" i="4"/>
  <c r="Y143" i="4"/>
  <c r="S146" i="9" s="1"/>
  <c r="R146" i="9"/>
  <c r="F110" i="11"/>
  <c r="D110" i="11"/>
  <c r="B110" i="11"/>
  <c r="H110" i="11"/>
  <c r="G110" i="11"/>
  <c r="E110" i="11"/>
  <c r="C110" i="11"/>
  <c r="A110" i="11"/>
  <c r="J29" i="5"/>
  <c r="L29" i="5" s="1"/>
  <c r="M29" i="5"/>
  <c r="O29" i="5" s="1"/>
  <c r="L13" i="5"/>
  <c r="C245" i="11"/>
  <c r="A46" i="11"/>
  <c r="G46" i="11"/>
  <c r="F46" i="11"/>
  <c r="H46" i="11"/>
  <c r="B46" i="11"/>
  <c r="D46" i="11"/>
  <c r="E46" i="11"/>
  <c r="C46" i="11"/>
  <c r="G14" i="5"/>
  <c r="M14" i="5"/>
  <c r="K14" i="5"/>
  <c r="N14" i="5"/>
  <c r="N40" i="5"/>
  <c r="E245" i="11"/>
  <c r="Y37" i="4"/>
  <c r="S40" i="9" s="1"/>
  <c r="M35" i="5"/>
  <c r="O35" i="5" s="1"/>
  <c r="N13" i="5"/>
  <c r="B245" i="11"/>
  <c r="Z37" i="4"/>
  <c r="H81" i="11"/>
  <c r="C60" i="11"/>
  <c r="M40" i="5"/>
  <c r="K40" i="5"/>
  <c r="Y137" i="4"/>
  <c r="S140" i="9" s="1"/>
  <c r="R50" i="9"/>
  <c r="A83" i="11" s="1"/>
  <c r="AA47" i="4"/>
  <c r="AA31" i="4"/>
  <c r="R34" i="9"/>
  <c r="G11" i="5"/>
  <c r="M11" i="5"/>
  <c r="N11" i="5"/>
  <c r="AD31" i="4"/>
  <c r="Z31" i="4"/>
  <c r="K11" i="5"/>
  <c r="Y31" i="4"/>
  <c r="S34" i="9" s="1"/>
  <c r="J11" i="5"/>
  <c r="N49" i="5"/>
  <c r="O49" i="5" s="1"/>
  <c r="J49" i="5"/>
  <c r="L49" i="5" s="1"/>
  <c r="K49" i="5"/>
  <c r="G49" i="5"/>
  <c r="G29" i="5"/>
  <c r="B111" i="11"/>
  <c r="D111" i="11"/>
  <c r="G111" i="11"/>
  <c r="E111" i="11"/>
  <c r="C111" i="11"/>
  <c r="A111" i="11"/>
  <c r="F111" i="11"/>
  <c r="H111" i="11"/>
  <c r="AA79" i="4"/>
  <c r="AD79" i="4"/>
  <c r="Z79" i="4"/>
  <c r="Y79" i="4"/>
  <c r="S82" i="9" s="1"/>
  <c r="R82" i="9"/>
  <c r="G21" i="5"/>
  <c r="M21" i="5"/>
  <c r="N21" i="5"/>
  <c r="K21" i="5"/>
  <c r="J21" i="5"/>
  <c r="P29" i="5"/>
  <c r="E192" i="11"/>
  <c r="A192" i="11"/>
  <c r="H192" i="11"/>
  <c r="D192" i="11"/>
  <c r="G192" i="11"/>
  <c r="C192" i="11"/>
  <c r="F192" i="11"/>
  <c r="B192" i="11"/>
  <c r="AD211" i="4"/>
  <c r="Z211" i="4"/>
  <c r="Y211" i="4"/>
  <c r="S214" i="9" s="1"/>
  <c r="AA211" i="4"/>
  <c r="R214" i="9"/>
  <c r="N63" i="5"/>
  <c r="M63" i="5"/>
  <c r="J63" i="5"/>
  <c r="K63" i="5"/>
  <c r="G63" i="5"/>
  <c r="H225" i="11"/>
  <c r="D225" i="11"/>
  <c r="G225" i="11"/>
  <c r="C225" i="11"/>
  <c r="F225" i="11"/>
  <c r="B225" i="11"/>
  <c r="E225" i="11"/>
  <c r="A225" i="11"/>
  <c r="E168" i="11"/>
  <c r="A168" i="11"/>
  <c r="H168" i="11"/>
  <c r="D168" i="11"/>
  <c r="G168" i="11"/>
  <c r="C168" i="11"/>
  <c r="F168" i="11"/>
  <c r="B168" i="11"/>
  <c r="F56" i="11"/>
  <c r="B56" i="11"/>
  <c r="E56" i="11"/>
  <c r="A56" i="11"/>
  <c r="H56" i="11"/>
  <c r="D56" i="11"/>
  <c r="C56" i="11"/>
  <c r="G56" i="11"/>
  <c r="AA183" i="4"/>
  <c r="AD183" i="4"/>
  <c r="Z183" i="4"/>
  <c r="Y183" i="4"/>
  <c r="S186" i="9" s="1"/>
  <c r="R186" i="9"/>
  <c r="J55" i="5"/>
  <c r="G55" i="5"/>
  <c r="K55" i="5"/>
  <c r="N55" i="5"/>
  <c r="M55" i="5"/>
  <c r="E193" i="11"/>
  <c r="A193" i="11"/>
  <c r="H193" i="11"/>
  <c r="D193" i="11"/>
  <c r="G193" i="11"/>
  <c r="C193" i="11"/>
  <c r="F193" i="11"/>
  <c r="B193" i="11"/>
  <c r="Y186" i="4"/>
  <c r="S189" i="9" s="1"/>
  <c r="AA186" i="4"/>
  <c r="Z186" i="4"/>
  <c r="AD186" i="4"/>
  <c r="R189" i="9"/>
  <c r="G50" i="5"/>
  <c r="N50" i="5"/>
  <c r="J50" i="5"/>
  <c r="M50" i="5"/>
  <c r="P50" i="5"/>
  <c r="K50" i="5"/>
  <c r="AD203" i="4"/>
  <c r="Z203" i="4"/>
  <c r="Y203" i="4"/>
  <c r="S206" i="9" s="1"/>
  <c r="AA203" i="4"/>
  <c r="R206" i="9"/>
  <c r="N65" i="5"/>
  <c r="K65" i="5"/>
  <c r="M65" i="5"/>
  <c r="G65" i="5"/>
  <c r="J65" i="5"/>
  <c r="E164" i="11"/>
  <c r="A164" i="11"/>
  <c r="H164" i="11"/>
  <c r="D164" i="11"/>
  <c r="G164" i="11"/>
  <c r="C164" i="11"/>
  <c r="F164" i="11"/>
  <c r="B164" i="11"/>
  <c r="G108" i="11"/>
  <c r="C108" i="11"/>
  <c r="F108" i="11"/>
  <c r="B108" i="11"/>
  <c r="E108" i="11"/>
  <c r="A108" i="11"/>
  <c r="D108" i="11"/>
  <c r="H108" i="11"/>
  <c r="Y159" i="4"/>
  <c r="S162" i="9" s="1"/>
  <c r="AA159" i="4"/>
  <c r="Z159" i="4"/>
  <c r="AD159" i="4"/>
  <c r="R162" i="9"/>
  <c r="J46" i="5"/>
  <c r="P46" i="5"/>
  <c r="N46" i="5"/>
  <c r="G46" i="5"/>
  <c r="K46" i="5"/>
  <c r="M46" i="5"/>
  <c r="E188" i="11"/>
  <c r="A188" i="11"/>
  <c r="H188" i="11"/>
  <c r="D188" i="11"/>
  <c r="G188" i="11"/>
  <c r="C188" i="11"/>
  <c r="F188" i="11"/>
  <c r="B188" i="11"/>
  <c r="Y111" i="4"/>
  <c r="S114" i="9" s="1"/>
  <c r="AA111" i="4"/>
  <c r="Z111" i="4"/>
  <c r="AD111" i="4"/>
  <c r="R114" i="9"/>
  <c r="N33" i="5"/>
  <c r="K33" i="5"/>
  <c r="K28" i="5"/>
  <c r="J28" i="5"/>
  <c r="L28" i="5" s="1"/>
  <c r="G33" i="5"/>
  <c r="J33" i="5"/>
  <c r="L33" i="5" s="1"/>
  <c r="N28" i="5"/>
  <c r="G28" i="5"/>
  <c r="M28" i="5"/>
  <c r="O28" i="5" s="1"/>
  <c r="M33" i="5"/>
  <c r="G124" i="11"/>
  <c r="C124" i="11"/>
  <c r="F124" i="11"/>
  <c r="B124" i="11"/>
  <c r="E124" i="11"/>
  <c r="A124" i="11"/>
  <c r="D124" i="11"/>
  <c r="H124" i="11"/>
  <c r="H49" i="11"/>
  <c r="D49" i="11"/>
  <c r="G49" i="11"/>
  <c r="C49" i="11"/>
  <c r="F49" i="11"/>
  <c r="B49" i="11"/>
  <c r="E49" i="11"/>
  <c r="A49" i="11"/>
  <c r="AD215" i="4"/>
  <c r="Z215" i="4"/>
  <c r="P62" i="5" s="1"/>
  <c r="AA215" i="4"/>
  <c r="Y215" i="4"/>
  <c r="S218" i="9" s="1"/>
  <c r="R218" i="9"/>
  <c r="N62" i="5"/>
  <c r="K62" i="5"/>
  <c r="J62" i="5"/>
  <c r="M62" i="5"/>
  <c r="G62" i="5"/>
  <c r="AA162" i="4"/>
  <c r="Z162" i="4"/>
  <c r="AD162" i="4"/>
  <c r="Y162" i="4"/>
  <c r="S165" i="9" s="1"/>
  <c r="R165" i="9"/>
  <c r="J42" i="5"/>
  <c r="M42" i="5"/>
  <c r="G42" i="5"/>
  <c r="N42" i="5"/>
  <c r="K42" i="5"/>
  <c r="AA224" i="4"/>
  <c r="P37" i="5" s="1"/>
  <c r="AD224" i="4"/>
  <c r="Z224" i="4"/>
  <c r="P42" i="5" s="1"/>
  <c r="Y224" i="4"/>
  <c r="S227" i="9" s="1"/>
  <c r="R227" i="9"/>
  <c r="Y65" i="4"/>
  <c r="S68" i="9" s="1"/>
  <c r="AA65" i="4"/>
  <c r="P21" i="5" s="1"/>
  <c r="Z65" i="4"/>
  <c r="AD65" i="4"/>
  <c r="R68" i="9"/>
  <c r="G20" i="5"/>
  <c r="N20" i="5"/>
  <c r="J20" i="5"/>
  <c r="M20" i="5"/>
  <c r="O20" i="5" s="1"/>
  <c r="K20" i="5"/>
  <c r="C7" i="11"/>
  <c r="AD2" i="4"/>
  <c r="Z2" i="4"/>
  <c r="P2" i="5" s="1"/>
  <c r="Y2" i="4"/>
  <c r="S5" i="9" s="1"/>
  <c r="G6" i="1"/>
  <c r="AA2" i="4"/>
  <c r="K8" i="11"/>
  <c r="A2" i="6"/>
  <c r="R5" i="9"/>
  <c r="G2" i="5"/>
  <c r="N2" i="5"/>
  <c r="M2" i="5"/>
  <c r="K2" i="5"/>
  <c r="J2" i="5"/>
  <c r="AD195" i="4"/>
  <c r="Z195" i="4"/>
  <c r="Y195" i="4"/>
  <c r="S198" i="9" s="1"/>
  <c r="AA195" i="4"/>
  <c r="R198" i="9"/>
  <c r="E151" i="11"/>
  <c r="A151" i="11"/>
  <c r="H151" i="11"/>
  <c r="D151" i="11"/>
  <c r="G151" i="11"/>
  <c r="C151" i="11"/>
  <c r="F151" i="11"/>
  <c r="B151" i="11"/>
  <c r="AD180" i="4"/>
  <c r="Z180" i="4"/>
  <c r="Y180" i="4"/>
  <c r="S183" i="9" s="1"/>
  <c r="AA180" i="4"/>
  <c r="R183" i="9"/>
  <c r="M53" i="5"/>
  <c r="G53" i="5"/>
  <c r="K53" i="5"/>
  <c r="J53" i="5"/>
  <c r="L53" i="5" s="1"/>
  <c r="N53" i="5"/>
  <c r="H261" i="11"/>
  <c r="D261" i="11"/>
  <c r="G261" i="11"/>
  <c r="C261" i="11"/>
  <c r="F261" i="11"/>
  <c r="B261" i="11"/>
  <c r="E261" i="11"/>
  <c r="A261" i="11"/>
  <c r="AA171" i="4"/>
  <c r="AD171" i="4"/>
  <c r="Z171" i="4"/>
  <c r="Y171" i="4"/>
  <c r="S174" i="9" s="1"/>
  <c r="R174" i="9"/>
  <c r="M51" i="5"/>
  <c r="N51" i="5"/>
  <c r="J51" i="5"/>
  <c r="K51" i="5"/>
  <c r="G51" i="5"/>
  <c r="AA179" i="4"/>
  <c r="AD179" i="4"/>
  <c r="Z179" i="4"/>
  <c r="P56" i="5" s="1"/>
  <c r="Y179" i="4"/>
  <c r="S182" i="9" s="1"/>
  <c r="R182" i="9"/>
  <c r="N56" i="5"/>
  <c r="M56" i="5"/>
  <c r="K56" i="5"/>
  <c r="G56" i="5"/>
  <c r="J56" i="5"/>
  <c r="F87" i="11"/>
  <c r="B87" i="11"/>
  <c r="E87" i="11"/>
  <c r="A87" i="11"/>
  <c r="H87" i="11"/>
  <c r="G87" i="11"/>
  <c r="D87" i="11"/>
  <c r="C87" i="11"/>
  <c r="B73" i="11"/>
  <c r="Y53" i="4"/>
  <c r="S56" i="9" s="1"/>
  <c r="AA53" i="4"/>
  <c r="AD53" i="4"/>
  <c r="Z53" i="4"/>
  <c r="P15" i="5" s="1"/>
  <c r="R56" i="9"/>
  <c r="G16" i="5"/>
  <c r="J15" i="5"/>
  <c r="K15" i="5"/>
  <c r="M15" i="5"/>
  <c r="M16" i="5"/>
  <c r="N15" i="5"/>
  <c r="J16" i="5"/>
  <c r="G15" i="5"/>
  <c r="G125" i="11"/>
  <c r="C125" i="11"/>
  <c r="F125" i="11"/>
  <c r="B125" i="11"/>
  <c r="E125" i="11"/>
  <c r="A125" i="11"/>
  <c r="H125" i="11"/>
  <c r="D125" i="11"/>
  <c r="AD199" i="4"/>
  <c r="Z199" i="4"/>
  <c r="AA199" i="4"/>
  <c r="Y199" i="4"/>
  <c r="S202" i="9" s="1"/>
  <c r="R202" i="9"/>
  <c r="K59" i="5"/>
  <c r="N59" i="5"/>
  <c r="M59" i="5"/>
  <c r="J59" i="5"/>
  <c r="G59" i="5"/>
  <c r="E150" i="11"/>
  <c r="A150" i="11"/>
  <c r="H150" i="11"/>
  <c r="D150" i="11"/>
  <c r="G150" i="11"/>
  <c r="C150" i="11"/>
  <c r="F150" i="11"/>
  <c r="B150" i="11"/>
  <c r="AA67" i="4"/>
  <c r="AD67" i="4"/>
  <c r="Z67" i="4"/>
  <c r="Y67" i="4"/>
  <c r="S70" i="9" s="1"/>
  <c r="R70" i="9"/>
  <c r="K22" i="5"/>
  <c r="M24" i="5"/>
  <c r="M22" i="5"/>
  <c r="G24" i="5"/>
  <c r="N24" i="5"/>
  <c r="G22" i="5"/>
  <c r="N22" i="5"/>
  <c r="K24" i="5"/>
  <c r="P24" i="5"/>
  <c r="J22" i="5"/>
  <c r="L22" i="5" s="1"/>
  <c r="J24" i="5"/>
  <c r="L24" i="5" s="1"/>
  <c r="G144" i="11"/>
  <c r="C144" i="11"/>
  <c r="F144" i="11"/>
  <c r="B144" i="11"/>
  <c r="E144" i="11"/>
  <c r="A144" i="11"/>
  <c r="D144" i="11"/>
  <c r="H144" i="11"/>
  <c r="L3" i="5"/>
  <c r="E177" i="11"/>
  <c r="A177" i="11"/>
  <c r="H177" i="11"/>
  <c r="D177" i="11"/>
  <c r="G177" i="11"/>
  <c r="C177" i="11"/>
  <c r="F177" i="11"/>
  <c r="B177" i="11"/>
  <c r="H220" i="11"/>
  <c r="D220" i="11"/>
  <c r="G220" i="11"/>
  <c r="C220" i="11"/>
  <c r="F220" i="11"/>
  <c r="B220" i="11"/>
  <c r="E220" i="11"/>
  <c r="A220" i="11"/>
  <c r="E204" i="11"/>
  <c r="A204" i="11"/>
  <c r="H204" i="11"/>
  <c r="D204" i="11"/>
  <c r="G204" i="11"/>
  <c r="C204" i="11"/>
  <c r="F204" i="11"/>
  <c r="B204" i="11"/>
  <c r="E185" i="11"/>
  <c r="A185" i="11"/>
  <c r="H185" i="11"/>
  <c r="D185" i="11"/>
  <c r="G185" i="11"/>
  <c r="C185" i="11"/>
  <c r="F185" i="11"/>
  <c r="B185" i="11"/>
  <c r="E196" i="11"/>
  <c r="A196" i="11"/>
  <c r="H196" i="11"/>
  <c r="D196" i="11"/>
  <c r="G196" i="11"/>
  <c r="C196" i="11"/>
  <c r="F196" i="11"/>
  <c r="B196" i="11"/>
  <c r="AA7" i="4"/>
  <c r="AD7" i="4"/>
  <c r="Z7" i="4"/>
  <c r="Y7" i="4"/>
  <c r="S10" i="9" s="1"/>
  <c r="R10" i="9"/>
  <c r="K9" i="5"/>
  <c r="M9" i="5"/>
  <c r="G9" i="5"/>
  <c r="N9" i="5"/>
  <c r="J9" i="5"/>
  <c r="L9" i="5" s="1"/>
  <c r="P16" i="5"/>
  <c r="G128" i="11"/>
  <c r="C128" i="11"/>
  <c r="F128" i="11"/>
  <c r="B128" i="11"/>
  <c r="E128" i="11"/>
  <c r="A128" i="11"/>
  <c r="D128" i="11"/>
  <c r="H128" i="11"/>
  <c r="E160" i="11"/>
  <c r="A160" i="11"/>
  <c r="H160" i="11"/>
  <c r="D160" i="11"/>
  <c r="G160" i="11"/>
  <c r="C160" i="11"/>
  <c r="F160" i="11"/>
  <c r="B160" i="11"/>
  <c r="AA15" i="4"/>
  <c r="AD15" i="4"/>
  <c r="Z15" i="4"/>
  <c r="Y15" i="4"/>
  <c r="S18" i="9" s="1"/>
  <c r="R18" i="9"/>
  <c r="N7" i="5"/>
  <c r="J7" i="5"/>
  <c r="P7" i="5"/>
  <c r="M7" i="5"/>
  <c r="K7" i="5"/>
  <c r="G7" i="5"/>
  <c r="E176" i="11"/>
  <c r="A176" i="11"/>
  <c r="H176" i="11"/>
  <c r="D176" i="11"/>
  <c r="G176" i="11"/>
  <c r="C176" i="11"/>
  <c r="F176" i="11"/>
  <c r="B176" i="11"/>
  <c r="G140" i="11"/>
  <c r="C140" i="11"/>
  <c r="F140" i="11"/>
  <c r="B140" i="11"/>
  <c r="E140" i="11"/>
  <c r="A140" i="11"/>
  <c r="D140" i="11"/>
  <c r="H140" i="11"/>
  <c r="G118" i="11"/>
  <c r="C118" i="11"/>
  <c r="F118" i="11"/>
  <c r="B118" i="11"/>
  <c r="E118" i="11"/>
  <c r="A118" i="11"/>
  <c r="D118" i="11"/>
  <c r="H118" i="11"/>
  <c r="AA63" i="4"/>
  <c r="P23" i="5" s="1"/>
  <c r="AD63" i="4"/>
  <c r="Z63" i="4"/>
  <c r="Y63" i="4"/>
  <c r="S66" i="9" s="1"/>
  <c r="R66" i="9"/>
  <c r="J23" i="5"/>
  <c r="L23" i="5" s="1"/>
  <c r="K23" i="5"/>
  <c r="G23" i="5"/>
  <c r="M25" i="5"/>
  <c r="N23" i="5"/>
  <c r="P25" i="5"/>
  <c r="K25" i="5"/>
  <c r="M23" i="5"/>
  <c r="O23" i="5" s="1"/>
  <c r="N25" i="5"/>
  <c r="J25" i="5"/>
  <c r="G25" i="5"/>
  <c r="E148" i="11"/>
  <c r="A148" i="11"/>
  <c r="H148" i="11"/>
  <c r="D148" i="11"/>
  <c r="G148" i="11"/>
  <c r="C148" i="11"/>
  <c r="F148" i="11"/>
  <c r="B148" i="11"/>
  <c r="AD172" i="4"/>
  <c r="Z172" i="4"/>
  <c r="Y172" i="4"/>
  <c r="S175" i="9" s="1"/>
  <c r="AA172" i="4"/>
  <c r="R175" i="9"/>
  <c r="G52" i="5"/>
  <c r="K52" i="5"/>
  <c r="P52" i="5"/>
  <c r="N52" i="5"/>
  <c r="M52" i="5"/>
  <c r="J52" i="5"/>
  <c r="L52" i="5" s="1"/>
  <c r="H223" i="11"/>
  <c r="D223" i="11"/>
  <c r="G223" i="11"/>
  <c r="C223" i="11"/>
  <c r="F223" i="11"/>
  <c r="B223" i="11"/>
  <c r="E223" i="11"/>
  <c r="A223" i="11"/>
  <c r="H233" i="11"/>
  <c r="D233" i="11"/>
  <c r="G233" i="11"/>
  <c r="C233" i="11"/>
  <c r="F233" i="11"/>
  <c r="B233" i="11"/>
  <c r="E233" i="11"/>
  <c r="A233" i="11"/>
  <c r="H45" i="11"/>
  <c r="D45" i="11"/>
  <c r="G45" i="11"/>
  <c r="C45" i="11"/>
  <c r="F45" i="11"/>
  <c r="B45" i="11"/>
  <c r="A45" i="11"/>
  <c r="E45" i="11"/>
  <c r="P53" i="5"/>
  <c r="Y202" i="4"/>
  <c r="S205" i="9" s="1"/>
  <c r="AA202" i="4"/>
  <c r="Z202" i="4"/>
  <c r="AD202" i="4"/>
  <c r="R205" i="9"/>
  <c r="M58" i="5"/>
  <c r="G58" i="5"/>
  <c r="N58" i="5"/>
  <c r="K58" i="5"/>
  <c r="J58" i="5"/>
  <c r="P33" i="5"/>
  <c r="F52" i="11"/>
  <c r="B52" i="11"/>
  <c r="E52" i="11"/>
  <c r="A52" i="11"/>
  <c r="H52" i="11"/>
  <c r="D52" i="11"/>
  <c r="G52" i="11"/>
  <c r="C52" i="11"/>
  <c r="H257" i="11"/>
  <c r="D257" i="11"/>
  <c r="G257" i="11"/>
  <c r="C257" i="11"/>
  <c r="F257" i="11"/>
  <c r="B257" i="11"/>
  <c r="E257" i="11"/>
  <c r="A257" i="11"/>
  <c r="P12" i="5"/>
  <c r="AA109" i="4"/>
  <c r="AD109" i="4"/>
  <c r="Z109" i="4"/>
  <c r="Y109" i="4"/>
  <c r="S112" i="9" s="1"/>
  <c r="R112" i="9"/>
  <c r="J31" i="5"/>
  <c r="L31" i="5" s="1"/>
  <c r="N31" i="5"/>
  <c r="H244" i="11"/>
  <c r="D244" i="11"/>
  <c r="G244" i="11"/>
  <c r="C244" i="11"/>
  <c r="F244" i="11"/>
  <c r="B244" i="11"/>
  <c r="E244" i="11"/>
  <c r="A244" i="11"/>
  <c r="H246" i="11"/>
  <c r="D246" i="11"/>
  <c r="G246" i="11"/>
  <c r="C246" i="11"/>
  <c r="F246" i="11"/>
  <c r="B246" i="11"/>
  <c r="E246" i="11"/>
  <c r="A246" i="11"/>
  <c r="Y69" i="4"/>
  <c r="S72" i="9" s="1"/>
  <c r="AA69" i="4"/>
  <c r="AD69" i="4"/>
  <c r="Z69" i="4"/>
  <c r="P19" i="5" s="1"/>
  <c r="R72" i="9"/>
  <c r="M19" i="5"/>
  <c r="K19" i="5"/>
  <c r="N19" i="5"/>
  <c r="J19" i="5"/>
  <c r="G19" i="5"/>
  <c r="F100" i="11"/>
  <c r="B100" i="11"/>
  <c r="E100" i="11"/>
  <c r="A100" i="11"/>
  <c r="H100" i="11"/>
  <c r="G100" i="11"/>
  <c r="D100" i="11"/>
  <c r="C100" i="11"/>
  <c r="O40" i="5"/>
  <c r="G31" i="5"/>
  <c r="G141" i="11"/>
  <c r="C141" i="11"/>
  <c r="F141" i="11"/>
  <c r="B141" i="11"/>
  <c r="E141" i="11"/>
  <c r="A141" i="11"/>
  <c r="H141" i="11"/>
  <c r="D141" i="11"/>
  <c r="AA175" i="4"/>
  <c r="AD175" i="4"/>
  <c r="Z175" i="4"/>
  <c r="P57" i="5" s="1"/>
  <c r="Y175" i="4"/>
  <c r="S178" i="9" s="1"/>
  <c r="R178" i="9"/>
  <c r="G57" i="5"/>
  <c r="J57" i="5"/>
  <c r="L57" i="5" s="1"/>
  <c r="K57" i="5"/>
  <c r="N57" i="5"/>
  <c r="M57" i="5"/>
  <c r="O57" i="5" s="1"/>
  <c r="P28" i="5"/>
  <c r="E152" i="11"/>
  <c r="A152" i="11"/>
  <c r="H152" i="11"/>
  <c r="D152" i="11"/>
  <c r="G152" i="11"/>
  <c r="C152" i="11"/>
  <c r="F152" i="11"/>
  <c r="B152" i="11"/>
  <c r="F61" i="11"/>
  <c r="B61" i="11"/>
  <c r="E61" i="11"/>
  <c r="A61" i="11"/>
  <c r="H61" i="11"/>
  <c r="D61" i="11"/>
  <c r="G61" i="11"/>
  <c r="C61" i="11"/>
  <c r="F40" i="11"/>
  <c r="B40" i="11"/>
  <c r="E40" i="11"/>
  <c r="A40" i="11"/>
  <c r="H40" i="11"/>
  <c r="D40" i="11"/>
  <c r="G40" i="11"/>
  <c r="C40" i="11"/>
  <c r="P20" i="5"/>
  <c r="E175" i="11"/>
  <c r="A175" i="11"/>
  <c r="H175" i="11"/>
  <c r="D175" i="11"/>
  <c r="G175" i="11"/>
  <c r="C175" i="11"/>
  <c r="F175" i="11"/>
  <c r="B175" i="11"/>
  <c r="Y218" i="4"/>
  <c r="S221" i="9" s="1"/>
  <c r="AA218" i="4"/>
  <c r="Z218" i="4"/>
  <c r="P58" i="5" s="1"/>
  <c r="AD218" i="4"/>
  <c r="R221" i="9"/>
  <c r="F72" i="11"/>
  <c r="B72" i="11"/>
  <c r="E72" i="11"/>
  <c r="A72" i="11"/>
  <c r="H72" i="11"/>
  <c r="D72" i="11"/>
  <c r="G72" i="11"/>
  <c r="C72" i="11"/>
  <c r="P3" i="5"/>
  <c r="G119" i="11"/>
  <c r="C119" i="11"/>
  <c r="F119" i="11"/>
  <c r="B119" i="11"/>
  <c r="E119" i="11"/>
  <c r="A119" i="11"/>
  <c r="H119" i="11"/>
  <c r="D119" i="11"/>
  <c r="AD219" i="4"/>
  <c r="Z219" i="4"/>
  <c r="Y219" i="4"/>
  <c r="S222" i="9" s="1"/>
  <c r="AA219" i="4"/>
  <c r="P59" i="5" s="1"/>
  <c r="R222" i="9"/>
  <c r="K61" i="5"/>
  <c r="J61" i="5"/>
  <c r="L61" i="5" s="1"/>
  <c r="G61" i="5"/>
  <c r="N61" i="5"/>
  <c r="M61" i="5"/>
  <c r="F80" i="11"/>
  <c r="B80" i="11"/>
  <c r="E80" i="11"/>
  <c r="A80" i="11"/>
  <c r="H80" i="11"/>
  <c r="D80" i="11"/>
  <c r="G80" i="11"/>
  <c r="C80" i="11"/>
  <c r="AA223" i="4"/>
  <c r="P65" i="5" s="1"/>
  <c r="AD223" i="4"/>
  <c r="Z223" i="4"/>
  <c r="P61" i="5" s="1"/>
  <c r="Y223" i="4"/>
  <c r="S226" i="9" s="1"/>
  <c r="R226" i="9"/>
  <c r="AA153" i="4"/>
  <c r="P44" i="5" s="1"/>
  <c r="AD153" i="4"/>
  <c r="Z153" i="4"/>
  <c r="Y153" i="4"/>
  <c r="S156" i="9" s="1"/>
  <c r="R156" i="9"/>
  <c r="G44" i="5"/>
  <c r="J44" i="5"/>
  <c r="N43" i="5"/>
  <c r="M43" i="5"/>
  <c r="K43" i="5"/>
  <c r="J43" i="5"/>
  <c r="K44" i="5"/>
  <c r="M44" i="5"/>
  <c r="G43" i="5"/>
  <c r="N44" i="5"/>
  <c r="E153" i="11"/>
  <c r="A153" i="11"/>
  <c r="H153" i="11"/>
  <c r="D153" i="11"/>
  <c r="G153" i="11"/>
  <c r="C153" i="11"/>
  <c r="F153" i="11"/>
  <c r="B153" i="11"/>
  <c r="F76" i="11"/>
  <c r="B76" i="11"/>
  <c r="E76" i="11"/>
  <c r="A76" i="11"/>
  <c r="H76" i="11"/>
  <c r="D76" i="11"/>
  <c r="G76" i="11"/>
  <c r="C76" i="11"/>
  <c r="Y95" i="4"/>
  <c r="S98" i="9" s="1"/>
  <c r="AA95" i="4"/>
  <c r="Z95" i="4"/>
  <c r="AD95" i="4"/>
  <c r="R98" i="9"/>
  <c r="K32" i="5"/>
  <c r="M32" i="5"/>
  <c r="N32" i="5"/>
  <c r="M30" i="5"/>
  <c r="O30" i="5" s="1"/>
  <c r="G32" i="5"/>
  <c r="J32" i="5"/>
  <c r="G30" i="5"/>
  <c r="P31" i="5"/>
  <c r="P45" i="5"/>
  <c r="E209" i="11"/>
  <c r="A209" i="11"/>
  <c r="H209" i="11"/>
  <c r="D209" i="11"/>
  <c r="G209" i="11"/>
  <c r="C209" i="11"/>
  <c r="F209" i="11"/>
  <c r="B209" i="11"/>
  <c r="G132" i="11"/>
  <c r="C132" i="11"/>
  <c r="F132" i="11"/>
  <c r="B132" i="11"/>
  <c r="E132" i="11"/>
  <c r="A132" i="11"/>
  <c r="D132" i="11"/>
  <c r="H132" i="11"/>
  <c r="O31" i="5"/>
  <c r="AA188" i="4"/>
  <c r="P51" i="5" s="1"/>
  <c r="AD188" i="4"/>
  <c r="Z188" i="4"/>
  <c r="P55" i="5" s="1"/>
  <c r="Y188" i="4"/>
  <c r="S191" i="9" s="1"/>
  <c r="R191" i="9"/>
  <c r="AA192" i="4"/>
  <c r="AD192" i="4"/>
  <c r="Z192" i="4"/>
  <c r="P54" i="5" s="1"/>
  <c r="Y192" i="4"/>
  <c r="S195" i="9" s="1"/>
  <c r="R195" i="9"/>
  <c r="K54" i="5"/>
  <c r="N54" i="5"/>
  <c r="M54" i="5"/>
  <c r="J54" i="5"/>
  <c r="G54" i="5"/>
  <c r="AD207" i="4"/>
  <c r="Z207" i="4"/>
  <c r="AA207" i="4"/>
  <c r="Y207" i="4"/>
  <c r="S210" i="9" s="1"/>
  <c r="R210" i="9"/>
  <c r="G64" i="5"/>
  <c r="M64" i="5"/>
  <c r="O64" i="5" s="1"/>
  <c r="K64" i="5"/>
  <c r="P64" i="5"/>
  <c r="N64" i="5"/>
  <c r="J64" i="5"/>
  <c r="Y5" i="4"/>
  <c r="S8" i="9" s="1"/>
  <c r="AA5" i="4"/>
  <c r="AD5" i="4"/>
  <c r="Z5" i="4"/>
  <c r="R8" i="9"/>
  <c r="M5" i="5"/>
  <c r="P5" i="5"/>
  <c r="K5" i="5"/>
  <c r="G5" i="5"/>
  <c r="J5" i="5"/>
  <c r="N5" i="5"/>
  <c r="E180" i="11"/>
  <c r="A180" i="11"/>
  <c r="H180" i="11"/>
  <c r="D180" i="11"/>
  <c r="G180" i="11"/>
  <c r="C180" i="11"/>
  <c r="F180" i="11"/>
  <c r="B180" i="11"/>
  <c r="E162" i="11"/>
  <c r="A162" i="11"/>
  <c r="H162" i="11"/>
  <c r="D162" i="11"/>
  <c r="G162" i="11"/>
  <c r="C162" i="11"/>
  <c r="F162" i="11"/>
  <c r="B162" i="11"/>
  <c r="E146" i="11"/>
  <c r="A146" i="11"/>
  <c r="H146" i="11"/>
  <c r="D146" i="11"/>
  <c r="G146" i="11"/>
  <c r="C146" i="11"/>
  <c r="F146" i="11"/>
  <c r="B146" i="11"/>
  <c r="F88" i="11"/>
  <c r="B88" i="11"/>
  <c r="E88" i="11"/>
  <c r="A88" i="11"/>
  <c r="H88" i="11"/>
  <c r="G88" i="11"/>
  <c r="D88" i="11"/>
  <c r="C88" i="11"/>
  <c r="E149" i="11"/>
  <c r="A149" i="11"/>
  <c r="H149" i="11"/>
  <c r="D149" i="11"/>
  <c r="G149" i="11"/>
  <c r="C149" i="11"/>
  <c r="F149" i="11"/>
  <c r="B149" i="11"/>
  <c r="AA19" i="4"/>
  <c r="P4" i="5" s="1"/>
  <c r="AD19" i="4"/>
  <c r="Z19" i="4"/>
  <c r="Y19" i="4"/>
  <c r="S22" i="9" s="1"/>
  <c r="R22" i="9"/>
  <c r="K6" i="5"/>
  <c r="M6" i="5"/>
  <c r="G6" i="5"/>
  <c r="K4" i="5"/>
  <c r="J4" i="5"/>
  <c r="M4" i="5"/>
  <c r="G4" i="5"/>
  <c r="N6" i="5"/>
  <c r="P6" i="5"/>
  <c r="J6" i="5"/>
  <c r="N4" i="5"/>
  <c r="P13" i="5"/>
  <c r="E203" i="11"/>
  <c r="A203" i="11"/>
  <c r="H203" i="11"/>
  <c r="D203" i="11"/>
  <c r="G203" i="11"/>
  <c r="C203" i="11"/>
  <c r="F203" i="11"/>
  <c r="B203" i="11"/>
  <c r="AA200" i="4"/>
  <c r="P63" i="5" s="1"/>
  <c r="Y200" i="4"/>
  <c r="S203" i="9" s="1"/>
  <c r="AD200" i="4"/>
  <c r="Z200" i="4"/>
  <c r="P60" i="5" s="1"/>
  <c r="R203" i="9"/>
  <c r="J60" i="5"/>
  <c r="G60" i="5"/>
  <c r="K60" i="5"/>
  <c r="M60" i="5"/>
  <c r="N60" i="5"/>
  <c r="AA166" i="4"/>
  <c r="Z166" i="4"/>
  <c r="AD166" i="4"/>
  <c r="Y166" i="4"/>
  <c r="S169" i="9" s="1"/>
  <c r="R169" i="9"/>
  <c r="Y127" i="4"/>
  <c r="S130" i="9" s="1"/>
  <c r="AA127" i="4"/>
  <c r="Z127" i="4"/>
  <c r="P39" i="5" s="1"/>
  <c r="AD127" i="4"/>
  <c r="R130" i="9"/>
  <c r="J39" i="5"/>
  <c r="G39" i="5"/>
  <c r="N39" i="5"/>
  <c r="K39" i="5"/>
  <c r="M39" i="5"/>
  <c r="O39" i="5" s="1"/>
  <c r="H229" i="11"/>
  <c r="D229" i="11"/>
  <c r="G229" i="11"/>
  <c r="C229" i="11"/>
  <c r="F229" i="11"/>
  <c r="B229" i="11"/>
  <c r="E229" i="11"/>
  <c r="A229" i="11"/>
  <c r="H248" i="11"/>
  <c r="D248" i="11"/>
  <c r="G248" i="11"/>
  <c r="C248" i="11"/>
  <c r="F248" i="11"/>
  <c r="B248" i="11"/>
  <c r="E248" i="11"/>
  <c r="A248" i="11"/>
  <c r="P30" i="5"/>
  <c r="P22" i="5"/>
  <c r="M37" i="5"/>
  <c r="N16" i="5"/>
  <c r="K16" i="5"/>
  <c r="G120" i="11"/>
  <c r="C120" i="11"/>
  <c r="F120" i="11"/>
  <c r="B120" i="11"/>
  <c r="E120" i="11"/>
  <c r="A120" i="11"/>
  <c r="D120" i="11"/>
  <c r="H120" i="11"/>
  <c r="H227" i="11"/>
  <c r="D227" i="11"/>
  <c r="G227" i="11"/>
  <c r="C227" i="11"/>
  <c r="F227" i="11"/>
  <c r="B227" i="11"/>
  <c r="E227" i="11"/>
  <c r="A227" i="11"/>
  <c r="AA121" i="4"/>
  <c r="AD121" i="4"/>
  <c r="Z121" i="4"/>
  <c r="P36" i="5" s="1"/>
  <c r="Y121" i="4"/>
  <c r="S124" i="9" s="1"/>
  <c r="R124" i="9"/>
  <c r="G36" i="5"/>
  <c r="K37" i="5"/>
  <c r="N37" i="5"/>
  <c r="J36" i="5"/>
  <c r="N36" i="5"/>
  <c r="J37" i="5"/>
  <c r="L37" i="5" s="1"/>
  <c r="K36" i="5"/>
  <c r="M36" i="5"/>
  <c r="AA87" i="4"/>
  <c r="P32" i="5" s="1"/>
  <c r="Y87" i="4"/>
  <c r="S90" i="9" s="1"/>
  <c r="AD87" i="4"/>
  <c r="Z87" i="4"/>
  <c r="P27" i="5" s="1"/>
  <c r="R90" i="9"/>
  <c r="G27" i="5"/>
  <c r="N27" i="5"/>
  <c r="M27" i="5"/>
  <c r="J27" i="5"/>
  <c r="K27" i="5"/>
  <c r="H237" i="11"/>
  <c r="D237" i="11"/>
  <c r="G237" i="11"/>
  <c r="C237" i="11"/>
  <c r="F237" i="11"/>
  <c r="B237" i="11"/>
  <c r="E237" i="11"/>
  <c r="A237" i="11"/>
  <c r="F96" i="11"/>
  <c r="B96" i="11"/>
  <c r="E96" i="11"/>
  <c r="A96" i="11"/>
  <c r="H96" i="11"/>
  <c r="G96" i="11"/>
  <c r="D96" i="11"/>
  <c r="C96" i="11"/>
  <c r="E171" i="11"/>
  <c r="A171" i="11"/>
  <c r="H171" i="11"/>
  <c r="D171" i="11"/>
  <c r="G171" i="11"/>
  <c r="C171" i="11"/>
  <c r="F171" i="11"/>
  <c r="B171" i="11"/>
  <c r="AA35" i="4"/>
  <c r="AD35" i="4"/>
  <c r="Z35" i="4"/>
  <c r="P17" i="5" s="1"/>
  <c r="Y35" i="4"/>
  <c r="S38" i="9" s="1"/>
  <c r="R38" i="9"/>
  <c r="K17" i="5"/>
  <c r="N17" i="5"/>
  <c r="J17" i="5"/>
  <c r="M17" i="5"/>
  <c r="G17" i="5"/>
  <c r="F44" i="11"/>
  <c r="B44" i="11"/>
  <c r="E44" i="11"/>
  <c r="A44" i="11"/>
  <c r="H44" i="11"/>
  <c r="D44" i="11"/>
  <c r="G44" i="11"/>
  <c r="C44" i="11"/>
  <c r="F74" i="11"/>
  <c r="B74" i="11"/>
  <c r="E74" i="11"/>
  <c r="A74" i="11"/>
  <c r="H74" i="11"/>
  <c r="D74" i="11"/>
  <c r="G74" i="11"/>
  <c r="C74" i="11"/>
  <c r="A173" i="11"/>
  <c r="C173" i="11"/>
  <c r="Y21" i="4"/>
  <c r="S24" i="9" s="1"/>
  <c r="AA21" i="4"/>
  <c r="P9" i="5" s="1"/>
  <c r="AD21" i="4"/>
  <c r="Z21" i="4"/>
  <c r="P8" i="5" s="1"/>
  <c r="R24" i="9"/>
  <c r="J8" i="5"/>
  <c r="N8" i="5"/>
  <c r="K8" i="5"/>
  <c r="M8" i="5"/>
  <c r="G8" i="5"/>
  <c r="H226" i="11"/>
  <c r="D226" i="11"/>
  <c r="G226" i="11"/>
  <c r="C226" i="11"/>
  <c r="F226" i="11"/>
  <c r="B226" i="11"/>
  <c r="E226" i="11"/>
  <c r="A226" i="11"/>
  <c r="E172" i="11"/>
  <c r="A172" i="11"/>
  <c r="H172" i="11"/>
  <c r="D172" i="11"/>
  <c r="G172" i="11"/>
  <c r="C172" i="11"/>
  <c r="F172" i="11"/>
  <c r="B172" i="11"/>
  <c r="H83" i="11" l="1"/>
  <c r="D73" i="11"/>
  <c r="C258" i="11"/>
  <c r="H73" i="11"/>
  <c r="F73" i="11"/>
  <c r="F83" i="11"/>
  <c r="C73" i="11"/>
  <c r="A73" i="11"/>
  <c r="G73" i="11"/>
  <c r="G83" i="11"/>
  <c r="G173" i="11"/>
  <c r="E173" i="11"/>
  <c r="B173" i="11"/>
  <c r="D173" i="11"/>
  <c r="F173" i="11"/>
  <c r="D83" i="11"/>
  <c r="B83" i="11"/>
  <c r="A258" i="11"/>
  <c r="S16" i="9"/>
  <c r="E83" i="11"/>
  <c r="S12" i="9"/>
  <c r="C39" i="11"/>
  <c r="A39" i="11"/>
  <c r="F39" i="11"/>
  <c r="G39" i="11"/>
  <c r="D39" i="11"/>
  <c r="B39" i="11"/>
  <c r="E39" i="11"/>
  <c r="O7" i="5"/>
  <c r="E258" i="11"/>
  <c r="G258" i="11"/>
  <c r="H39" i="11"/>
  <c r="O9" i="5"/>
  <c r="C83" i="11"/>
  <c r="B258" i="11"/>
  <c r="D258" i="11"/>
  <c r="O11" i="5"/>
  <c r="O14" i="5"/>
  <c r="O12" i="5"/>
  <c r="E79" i="11"/>
  <c r="G79" i="11"/>
  <c r="D79" i="11"/>
  <c r="A79" i="11"/>
  <c r="C79" i="11"/>
  <c r="B79" i="11"/>
  <c r="F79" i="11"/>
  <c r="H79" i="11"/>
  <c r="L7" i="5"/>
  <c r="F258" i="11"/>
  <c r="O13" i="5"/>
  <c r="O37" i="5"/>
  <c r="L64" i="5"/>
  <c r="L59" i="5"/>
  <c r="L65" i="5"/>
  <c r="B129" i="11"/>
  <c r="D129" i="11"/>
  <c r="A129" i="11"/>
  <c r="H129" i="11"/>
  <c r="G129" i="11"/>
  <c r="E129" i="11"/>
  <c r="C129" i="11"/>
  <c r="F129" i="11"/>
  <c r="A161" i="11"/>
  <c r="C161" i="11"/>
  <c r="H161" i="11"/>
  <c r="F161" i="11"/>
  <c r="D161" i="11"/>
  <c r="B161" i="11"/>
  <c r="E161" i="11"/>
  <c r="G161" i="11"/>
  <c r="L27" i="5"/>
  <c r="O27" i="5"/>
  <c r="L36" i="5"/>
  <c r="L43" i="5"/>
  <c r="O61" i="5"/>
  <c r="O59" i="5"/>
  <c r="O56" i="5"/>
  <c r="L2" i="5"/>
  <c r="O62" i="5"/>
  <c r="O46" i="5"/>
  <c r="L50" i="5"/>
  <c r="O55" i="5"/>
  <c r="L55" i="5"/>
  <c r="O21" i="5"/>
  <c r="L11" i="5"/>
  <c r="E67" i="11"/>
  <c r="G67" i="11"/>
  <c r="A67" i="11"/>
  <c r="C67" i="11"/>
  <c r="F67" i="11"/>
  <c r="H67" i="11"/>
  <c r="B67" i="11"/>
  <c r="D67" i="11"/>
  <c r="E179" i="11"/>
  <c r="G179" i="11"/>
  <c r="C179" i="11"/>
  <c r="A179" i="11"/>
  <c r="H179" i="11"/>
  <c r="F179" i="11"/>
  <c r="D179" i="11"/>
  <c r="B179" i="11"/>
  <c r="L6" i="5"/>
  <c r="L32" i="5"/>
  <c r="O58" i="5"/>
  <c r="L56" i="5"/>
  <c r="L62" i="5"/>
  <c r="O33" i="5"/>
  <c r="O65" i="5"/>
  <c r="L40" i="5"/>
  <c r="L14" i="5"/>
  <c r="E202" i="11"/>
  <c r="A202" i="11"/>
  <c r="H202" i="11"/>
  <c r="D202" i="11"/>
  <c r="G202" i="11"/>
  <c r="C202" i="11"/>
  <c r="F202" i="11"/>
  <c r="B202" i="11"/>
  <c r="F55" i="11"/>
  <c r="B55" i="11"/>
  <c r="E55" i="11"/>
  <c r="A55" i="11"/>
  <c r="H55" i="11"/>
  <c r="D55" i="11"/>
  <c r="G55" i="11"/>
  <c r="C55" i="11"/>
  <c r="G131" i="11"/>
  <c r="C131" i="11"/>
  <c r="F131" i="11"/>
  <c r="B131" i="11"/>
  <c r="E131" i="11"/>
  <c r="A131" i="11"/>
  <c r="H131" i="11"/>
  <c r="D131" i="11"/>
  <c r="H259" i="11"/>
  <c r="D259" i="11"/>
  <c r="G259" i="11"/>
  <c r="C259" i="11"/>
  <c r="F259" i="11"/>
  <c r="B259" i="11"/>
  <c r="E259" i="11"/>
  <c r="A259" i="11"/>
  <c r="H254" i="11"/>
  <c r="D254" i="11"/>
  <c r="G254" i="11"/>
  <c r="C254" i="11"/>
  <c r="F254" i="11"/>
  <c r="B254" i="11"/>
  <c r="E254" i="11"/>
  <c r="A254" i="11"/>
  <c r="H235" i="11"/>
  <c r="D235" i="11"/>
  <c r="G235" i="11"/>
  <c r="C235" i="11"/>
  <c r="F235" i="11"/>
  <c r="B235" i="11"/>
  <c r="E235" i="11"/>
  <c r="A235" i="11"/>
  <c r="O16" i="5"/>
  <c r="O51" i="5"/>
  <c r="E216" i="11"/>
  <c r="A216" i="11"/>
  <c r="H216" i="11"/>
  <c r="D216" i="11"/>
  <c r="G216" i="11"/>
  <c r="C216" i="11"/>
  <c r="F216" i="11"/>
  <c r="B216" i="11"/>
  <c r="O2" i="5"/>
  <c r="F38" i="11"/>
  <c r="B38" i="11"/>
  <c r="E38" i="11"/>
  <c r="A38" i="11"/>
  <c r="H38" i="11"/>
  <c r="D38" i="11"/>
  <c r="C38" i="11"/>
  <c r="G38" i="11"/>
  <c r="C13" i="1"/>
  <c r="C9" i="1"/>
  <c r="E9" i="1" s="1"/>
  <c r="L20" i="5"/>
  <c r="H260" i="11"/>
  <c r="D260" i="11"/>
  <c r="G260" i="11"/>
  <c r="C260" i="11"/>
  <c r="F260" i="11"/>
  <c r="B260" i="11"/>
  <c r="E260" i="11"/>
  <c r="A260" i="11"/>
  <c r="O42" i="5"/>
  <c r="E147" i="11"/>
  <c r="A147" i="11"/>
  <c r="H147" i="11"/>
  <c r="D147" i="11"/>
  <c r="G147" i="11"/>
  <c r="C147" i="11"/>
  <c r="F147" i="11"/>
  <c r="B147" i="11"/>
  <c r="E195" i="11"/>
  <c r="A195" i="11"/>
  <c r="H195" i="11"/>
  <c r="D195" i="11"/>
  <c r="G195" i="11"/>
  <c r="C195" i="11"/>
  <c r="F195" i="11"/>
  <c r="B195" i="11"/>
  <c r="H239" i="11"/>
  <c r="D239" i="11"/>
  <c r="G239" i="11"/>
  <c r="C239" i="11"/>
  <c r="F239" i="11"/>
  <c r="B239" i="11"/>
  <c r="E239" i="11"/>
  <c r="A239" i="11"/>
  <c r="O17" i="5"/>
  <c r="O32" i="5"/>
  <c r="L44" i="5"/>
  <c r="P43" i="5"/>
  <c r="O19" i="5"/>
  <c r="H238" i="11"/>
  <c r="D238" i="11"/>
  <c r="G238" i="11"/>
  <c r="C238" i="11"/>
  <c r="F238" i="11"/>
  <c r="B238" i="11"/>
  <c r="E238" i="11"/>
  <c r="A238" i="11"/>
  <c r="O52" i="5"/>
  <c r="L25" i="5"/>
  <c r="F103" i="11"/>
  <c r="B103" i="11"/>
  <c r="E103" i="11"/>
  <c r="A103" i="11"/>
  <c r="H103" i="11"/>
  <c r="G103" i="11"/>
  <c r="D103" i="11"/>
  <c r="C103" i="11"/>
  <c r="O15" i="5"/>
  <c r="L51" i="5"/>
  <c r="E207" i="11"/>
  <c r="A207" i="11"/>
  <c r="H207" i="11"/>
  <c r="D207" i="11"/>
  <c r="G207" i="11"/>
  <c r="C207" i="11"/>
  <c r="F207" i="11"/>
  <c r="B207" i="11"/>
  <c r="H231" i="11"/>
  <c r="D231" i="11"/>
  <c r="G231" i="11"/>
  <c r="C231" i="11"/>
  <c r="F231" i="11"/>
  <c r="B231" i="11"/>
  <c r="E231" i="11"/>
  <c r="A231" i="11"/>
  <c r="L42" i="5"/>
  <c r="H251" i="11"/>
  <c r="D251" i="11"/>
  <c r="G251" i="11"/>
  <c r="C251" i="11"/>
  <c r="F251" i="11"/>
  <c r="B251" i="11"/>
  <c r="E251" i="11"/>
  <c r="A251" i="11"/>
  <c r="H247" i="11"/>
  <c r="D247" i="11"/>
  <c r="G247" i="11"/>
  <c r="C247" i="11"/>
  <c r="F247" i="11"/>
  <c r="B247" i="11"/>
  <c r="E247" i="11"/>
  <c r="A247" i="11"/>
  <c r="L21" i="5"/>
  <c r="L8" i="5"/>
  <c r="F71" i="11"/>
  <c r="B71" i="11"/>
  <c r="E71" i="11"/>
  <c r="A71" i="11"/>
  <c r="H71" i="11"/>
  <c r="D71" i="11"/>
  <c r="G71" i="11"/>
  <c r="C71" i="11"/>
  <c r="O36" i="5"/>
  <c r="E157" i="11"/>
  <c r="A157" i="11"/>
  <c r="H157" i="11"/>
  <c r="D157" i="11"/>
  <c r="G157" i="11"/>
  <c r="C157" i="11"/>
  <c r="F157" i="11"/>
  <c r="B157" i="11"/>
  <c r="L39" i="5"/>
  <c r="O60" i="5"/>
  <c r="L60" i="5"/>
  <c r="O4" i="5"/>
  <c r="O6" i="5"/>
  <c r="L5" i="5"/>
  <c r="O5" i="5"/>
  <c r="L54" i="5"/>
  <c r="H228" i="11"/>
  <c r="D228" i="11"/>
  <c r="G228" i="11"/>
  <c r="C228" i="11"/>
  <c r="F228" i="11"/>
  <c r="B228" i="11"/>
  <c r="E228" i="11"/>
  <c r="A228" i="11"/>
  <c r="H255" i="11"/>
  <c r="D255" i="11"/>
  <c r="G255" i="11"/>
  <c r="C255" i="11"/>
  <c r="F255" i="11"/>
  <c r="B255" i="11"/>
  <c r="E255" i="11"/>
  <c r="A255" i="11"/>
  <c r="E211" i="11"/>
  <c r="A211" i="11"/>
  <c r="H211" i="11"/>
  <c r="D211" i="11"/>
  <c r="G211" i="11"/>
  <c r="C211" i="11"/>
  <c r="F211" i="11"/>
  <c r="B211" i="11"/>
  <c r="L19" i="5"/>
  <c r="G105" i="11"/>
  <c r="F105" i="11"/>
  <c r="B105" i="11"/>
  <c r="E105" i="11"/>
  <c r="A105" i="11"/>
  <c r="H105" i="11"/>
  <c r="D105" i="11"/>
  <c r="C105" i="11"/>
  <c r="E145" i="11"/>
  <c r="H145" i="11"/>
  <c r="C145" i="11"/>
  <c r="G145" i="11"/>
  <c r="B145" i="11"/>
  <c r="F145" i="11"/>
  <c r="A145" i="11"/>
  <c r="D145" i="11"/>
  <c r="E208" i="11"/>
  <c r="A208" i="11"/>
  <c r="H208" i="11"/>
  <c r="D208" i="11"/>
  <c r="G208" i="11"/>
  <c r="C208" i="11"/>
  <c r="F208" i="11"/>
  <c r="B208" i="11"/>
  <c r="H51" i="11"/>
  <c r="D51" i="11"/>
  <c r="G51" i="11"/>
  <c r="C51" i="11"/>
  <c r="F51" i="11"/>
  <c r="B51" i="11"/>
  <c r="E51" i="11"/>
  <c r="A51" i="11"/>
  <c r="H43" i="11"/>
  <c r="D43" i="11"/>
  <c r="G43" i="11"/>
  <c r="C43" i="11"/>
  <c r="F43" i="11"/>
  <c r="B43" i="11"/>
  <c r="E43" i="11"/>
  <c r="A43" i="11"/>
  <c r="O22" i="5"/>
  <c r="L16" i="5"/>
  <c r="F89" i="11"/>
  <c r="B89" i="11"/>
  <c r="E89" i="11"/>
  <c r="A89" i="11"/>
  <c r="H89" i="11"/>
  <c r="G89" i="11"/>
  <c r="D89" i="11"/>
  <c r="C89" i="11"/>
  <c r="E215" i="11"/>
  <c r="A215" i="11"/>
  <c r="H215" i="11"/>
  <c r="D215" i="11"/>
  <c r="G215" i="11"/>
  <c r="C215" i="11"/>
  <c r="F215" i="11"/>
  <c r="B215" i="11"/>
  <c r="E198" i="11"/>
  <c r="A198" i="11"/>
  <c r="H198" i="11"/>
  <c r="D198" i="11"/>
  <c r="G198" i="11"/>
  <c r="C198" i="11"/>
  <c r="F198" i="11"/>
  <c r="B198" i="11"/>
  <c r="H219" i="11"/>
  <c r="G219" i="11"/>
  <c r="F219" i="11"/>
  <c r="E219" i="11"/>
  <c r="A219" i="11"/>
  <c r="D219" i="11"/>
  <c r="C219" i="11"/>
  <c r="B219" i="11"/>
  <c r="L63" i="5"/>
  <c r="G123" i="11"/>
  <c r="C123" i="11"/>
  <c r="F123" i="11"/>
  <c r="B123" i="11"/>
  <c r="E123" i="11"/>
  <c r="A123" i="11"/>
  <c r="H123" i="11"/>
  <c r="D123" i="11"/>
  <c r="O8" i="5"/>
  <c r="F57" i="11"/>
  <c r="B57" i="11"/>
  <c r="E57" i="11"/>
  <c r="A57" i="11"/>
  <c r="H57" i="11"/>
  <c r="D57" i="11"/>
  <c r="G57" i="11"/>
  <c r="C57" i="11"/>
  <c r="L17" i="5"/>
  <c r="E163" i="11"/>
  <c r="A163" i="11"/>
  <c r="H163" i="11"/>
  <c r="D163" i="11"/>
  <c r="G163" i="11"/>
  <c r="C163" i="11"/>
  <c r="F163" i="11"/>
  <c r="B163" i="11"/>
  <c r="H236" i="11"/>
  <c r="D236" i="11"/>
  <c r="G236" i="11"/>
  <c r="C236" i="11"/>
  <c r="F236" i="11"/>
  <c r="B236" i="11"/>
  <c r="E236" i="11"/>
  <c r="A236" i="11"/>
  <c r="L4" i="5"/>
  <c r="H41" i="11"/>
  <c r="D41" i="11"/>
  <c r="G41" i="11"/>
  <c r="C41" i="11"/>
  <c r="F41" i="11"/>
  <c r="B41" i="11"/>
  <c r="E41" i="11"/>
  <c r="A41" i="11"/>
  <c r="H243" i="11"/>
  <c r="D243" i="11"/>
  <c r="G243" i="11"/>
  <c r="C243" i="11"/>
  <c r="F243" i="11"/>
  <c r="B243" i="11"/>
  <c r="E243" i="11"/>
  <c r="A243" i="11"/>
  <c r="O54" i="5"/>
  <c r="H224" i="11"/>
  <c r="D224" i="11"/>
  <c r="G224" i="11"/>
  <c r="C224" i="11"/>
  <c r="F224" i="11"/>
  <c r="B224" i="11"/>
  <c r="E224" i="11"/>
  <c r="A224" i="11"/>
  <c r="O44" i="5"/>
  <c r="O43" i="5"/>
  <c r="E189" i="11"/>
  <c r="A189" i="11"/>
  <c r="H189" i="11"/>
  <c r="D189" i="11"/>
  <c r="G189" i="11"/>
  <c r="C189" i="11"/>
  <c r="F189" i="11"/>
  <c r="B189" i="11"/>
  <c r="L58" i="5"/>
  <c r="O25" i="5"/>
  <c r="F99" i="11"/>
  <c r="B99" i="11"/>
  <c r="E99" i="11"/>
  <c r="A99" i="11"/>
  <c r="H99" i="11"/>
  <c r="G99" i="11"/>
  <c r="D99" i="11"/>
  <c r="C99" i="11"/>
  <c r="O24" i="5"/>
  <c r="L15" i="5"/>
  <c r="I51" i="5"/>
  <c r="O53" i="5"/>
  <c r="H63" i="5"/>
  <c r="H59" i="5"/>
  <c r="Q59" i="5" s="1"/>
  <c r="H55" i="5"/>
  <c r="Q55" i="5" s="1"/>
  <c r="H51" i="5"/>
  <c r="Q51" i="5" s="1"/>
  <c r="H47" i="5"/>
  <c r="H43" i="5"/>
  <c r="I43" i="5" s="1"/>
  <c r="H39" i="5"/>
  <c r="Q39" i="5" s="1"/>
  <c r="H35" i="5"/>
  <c r="H31" i="5"/>
  <c r="Q31" i="5" s="1"/>
  <c r="H64" i="5"/>
  <c r="I64" i="5" s="1"/>
  <c r="H48" i="5"/>
  <c r="H32" i="5"/>
  <c r="I32" i="5" s="1"/>
  <c r="H60" i="5"/>
  <c r="I60" i="5" s="1"/>
  <c r="H44" i="5"/>
  <c r="I44" i="5" s="1"/>
  <c r="H24" i="5"/>
  <c r="I24" i="5" s="1"/>
  <c r="H23" i="5"/>
  <c r="Q23" i="5" s="1"/>
  <c r="H11" i="5"/>
  <c r="H56" i="5"/>
  <c r="Q56" i="5" s="1"/>
  <c r="H40" i="5"/>
  <c r="H15" i="5"/>
  <c r="H14" i="5"/>
  <c r="H8" i="5"/>
  <c r="H4" i="5"/>
  <c r="H36" i="5"/>
  <c r="Q36" i="5" s="1"/>
  <c r="H28" i="5"/>
  <c r="I28" i="5" s="1"/>
  <c r="H27" i="5"/>
  <c r="I27" i="5" s="1"/>
  <c r="H16" i="5"/>
  <c r="I16" i="5" s="1"/>
  <c r="H20" i="5"/>
  <c r="Q20" i="5" s="1"/>
  <c r="H19" i="5"/>
  <c r="I19" i="5" s="1"/>
  <c r="H18" i="5"/>
  <c r="H5" i="5"/>
  <c r="I5" i="5" s="1"/>
  <c r="H52" i="5"/>
  <c r="I52" i="5" s="1"/>
  <c r="H34" i="5"/>
  <c r="H17" i="5"/>
  <c r="Q17" i="5" s="1"/>
  <c r="H22" i="5"/>
  <c r="I22" i="5" s="1"/>
  <c r="H30" i="5"/>
  <c r="Q30" i="5" s="1"/>
  <c r="H33" i="5"/>
  <c r="Q33" i="5" s="1"/>
  <c r="H49" i="5"/>
  <c r="H65" i="5"/>
  <c r="Q65" i="5" s="1"/>
  <c r="H37" i="5"/>
  <c r="I37" i="5" s="1"/>
  <c r="H3" i="5"/>
  <c r="I3" i="5" s="1"/>
  <c r="H7" i="5"/>
  <c r="H50" i="5"/>
  <c r="H6" i="5"/>
  <c r="Q6" i="5" s="1"/>
  <c r="H13" i="5"/>
  <c r="I13" i="5" s="1"/>
  <c r="H21" i="5"/>
  <c r="Q21" i="5" s="1"/>
  <c r="H29" i="5"/>
  <c r="I29" i="5" s="1"/>
  <c r="H45" i="5"/>
  <c r="I45" i="5" s="1"/>
  <c r="H61" i="5"/>
  <c r="I61" i="5" s="1"/>
  <c r="H26" i="5"/>
  <c r="H38" i="5"/>
  <c r="H9" i="5"/>
  <c r="H54" i="5"/>
  <c r="Q54" i="5" s="1"/>
  <c r="H46" i="5"/>
  <c r="I46" i="5" s="1"/>
  <c r="H12" i="5"/>
  <c r="I12" i="5" s="1"/>
  <c r="H42" i="5"/>
  <c r="Q42" i="5" s="1"/>
  <c r="H2" i="5"/>
  <c r="I2" i="5" s="1"/>
  <c r="H62" i="5"/>
  <c r="Q62" i="5" s="1"/>
  <c r="H41" i="5"/>
  <c r="H57" i="5"/>
  <c r="I57" i="5" s="1"/>
  <c r="H58" i="5"/>
  <c r="Q58" i="5" s="1"/>
  <c r="H53" i="5"/>
  <c r="Q53" i="5" s="1"/>
  <c r="H10" i="5"/>
  <c r="H25" i="5"/>
  <c r="I25" i="5" s="1"/>
  <c r="F101" i="11"/>
  <c r="B101" i="11"/>
  <c r="E101" i="11"/>
  <c r="A101" i="11"/>
  <c r="H101" i="11"/>
  <c r="G101" i="11"/>
  <c r="D101" i="11"/>
  <c r="C101" i="11"/>
  <c r="I42" i="5"/>
  <c r="I62" i="5"/>
  <c r="I33" i="5"/>
  <c r="L46" i="5"/>
  <c r="I65" i="5"/>
  <c r="O50" i="5"/>
  <c r="H222" i="11"/>
  <c r="D222" i="11"/>
  <c r="G222" i="11"/>
  <c r="C222" i="11"/>
  <c r="F222" i="11"/>
  <c r="B222" i="11"/>
  <c r="E222" i="11"/>
  <c r="A222" i="11"/>
  <c r="I63" i="5"/>
  <c r="O63" i="5"/>
  <c r="G115" i="11"/>
  <c r="C115" i="11"/>
  <c r="F115" i="11"/>
  <c r="B115" i="11"/>
  <c r="E115" i="11"/>
  <c r="A115" i="11"/>
  <c r="H115" i="11"/>
  <c r="D115" i="11"/>
  <c r="Q4" i="5" l="1"/>
  <c r="Q7" i="5"/>
  <c r="Q8" i="5"/>
  <c r="Q9" i="5"/>
  <c r="Q15" i="5"/>
  <c r="Q50" i="5"/>
  <c r="Q63" i="5"/>
  <c r="I26" i="5"/>
  <c r="Q26" i="5"/>
  <c r="I49" i="5"/>
  <c r="Q49" i="5"/>
  <c r="I18" i="5"/>
  <c r="Q18" i="5"/>
  <c r="R23" i="5" s="1"/>
  <c r="S23" i="5" s="1"/>
  <c r="I9" i="5"/>
  <c r="Q52" i="5"/>
  <c r="I31" i="5"/>
  <c r="Q64" i="5"/>
  <c r="Q22" i="5"/>
  <c r="I21" i="5"/>
  <c r="Q46" i="5"/>
  <c r="I59" i="5"/>
  <c r="Q45" i="5"/>
  <c r="I17" i="5"/>
  <c r="I56" i="5"/>
  <c r="Q25" i="5"/>
  <c r="Q43" i="5"/>
  <c r="Q5" i="5"/>
  <c r="I39" i="5"/>
  <c r="I55" i="5"/>
  <c r="Q24" i="5"/>
  <c r="I30" i="5"/>
  <c r="Q44" i="5"/>
  <c r="Q57" i="5"/>
  <c r="R57" i="5" s="1"/>
  <c r="S57" i="5" s="1"/>
  <c r="Q19" i="5"/>
  <c r="Q60" i="5"/>
  <c r="R60" i="5" s="1"/>
  <c r="S60" i="5" s="1"/>
  <c r="I34" i="5"/>
  <c r="Q34" i="5"/>
  <c r="I14" i="5"/>
  <c r="Q14" i="5"/>
  <c r="I11" i="5"/>
  <c r="Q11" i="5"/>
  <c r="I47" i="5"/>
  <c r="Q47" i="5"/>
  <c r="R47" i="5" s="1"/>
  <c r="S47" i="5" s="1"/>
  <c r="Q16" i="5"/>
  <c r="I58" i="5"/>
  <c r="Q28" i="5"/>
  <c r="I20" i="5"/>
  <c r="I6" i="5"/>
  <c r="I36" i="5"/>
  <c r="I7" i="5"/>
  <c r="Q13" i="5"/>
  <c r="Q2" i="5"/>
  <c r="Q32" i="5"/>
  <c r="I35" i="5"/>
  <c r="Q35" i="5"/>
  <c r="R35" i="5" s="1"/>
  <c r="S35" i="5" s="1"/>
  <c r="Q3" i="5"/>
  <c r="I50" i="5"/>
  <c r="I53" i="5"/>
  <c r="I15" i="5"/>
  <c r="I4" i="5"/>
  <c r="I23" i="5"/>
  <c r="Q61" i="5"/>
  <c r="Q37" i="5"/>
  <c r="R37" i="5" s="1"/>
  <c r="S37" i="5" s="1"/>
  <c r="Q27" i="5"/>
  <c r="I10" i="5"/>
  <c r="Q10" i="5"/>
  <c r="I41" i="5"/>
  <c r="Q41" i="5"/>
  <c r="I38" i="5"/>
  <c r="Q38" i="5"/>
  <c r="I40" i="5"/>
  <c r="Q40" i="5"/>
  <c r="I48" i="5"/>
  <c r="Q48" i="5"/>
  <c r="Q12" i="5"/>
  <c r="R12" i="5" s="1"/>
  <c r="S12" i="5" s="1"/>
  <c r="I8" i="5"/>
  <c r="I54" i="5"/>
  <c r="Q29" i="5"/>
  <c r="R5" i="5" l="1"/>
  <c r="S5" i="5" s="1"/>
  <c r="R31" i="5"/>
  <c r="S31" i="5" s="1"/>
  <c r="R36" i="5"/>
  <c r="S36" i="5" s="1"/>
  <c r="R52" i="5"/>
  <c r="S52" i="5" s="1"/>
  <c r="R29" i="5"/>
  <c r="S29" i="5" s="1"/>
  <c r="R15" i="5"/>
  <c r="S15" i="5" s="1"/>
  <c r="R19" i="5"/>
  <c r="S19" i="5" s="1"/>
  <c r="R13" i="5"/>
  <c r="S13" i="5" s="1"/>
  <c r="R14" i="5"/>
  <c r="S14" i="5" s="1"/>
  <c r="R38" i="5"/>
  <c r="S38" i="5" s="1"/>
  <c r="R40" i="5"/>
  <c r="S40" i="5" s="1"/>
  <c r="R41" i="5"/>
  <c r="S41" i="5" s="1"/>
  <c r="R27" i="5"/>
  <c r="S27" i="5" s="1"/>
  <c r="R3" i="5"/>
  <c r="S3" i="5" s="1"/>
  <c r="R2" i="5"/>
  <c r="R16" i="5"/>
  <c r="S16" i="5" s="1"/>
  <c r="R44" i="5"/>
  <c r="S44" i="5" s="1"/>
  <c r="R46" i="5"/>
  <c r="S46" i="5" s="1"/>
  <c r="R54" i="5"/>
  <c r="S54" i="5" s="1"/>
  <c r="R8" i="5"/>
  <c r="S8" i="5" s="1"/>
  <c r="R62" i="5"/>
  <c r="S62" i="5" s="1"/>
  <c r="R65" i="5"/>
  <c r="S65" i="5" s="1"/>
  <c r="R30" i="5"/>
  <c r="S30" i="5" s="1"/>
  <c r="R49" i="5"/>
  <c r="S49" i="5" s="1"/>
  <c r="R63" i="5"/>
  <c r="S63" i="5" s="1"/>
  <c r="R58" i="5"/>
  <c r="R17" i="5"/>
  <c r="S17" i="5" s="1"/>
  <c r="R53" i="5"/>
  <c r="S53" i="5" s="1"/>
  <c r="R50" i="5"/>
  <c r="R6" i="5"/>
  <c r="S6" i="5" s="1"/>
  <c r="R10" i="5"/>
  <c r="R61" i="5"/>
  <c r="S61" i="5" s="1"/>
  <c r="R28" i="5"/>
  <c r="S28" i="5" s="1"/>
  <c r="R24" i="5"/>
  <c r="S24" i="5" s="1"/>
  <c r="R43" i="5"/>
  <c r="S43" i="5" s="1"/>
  <c r="R45" i="5"/>
  <c r="S45" i="5" s="1"/>
  <c r="R22" i="5"/>
  <c r="S22" i="5" s="1"/>
  <c r="R59" i="5"/>
  <c r="S59" i="5" s="1"/>
  <c r="R7" i="5"/>
  <c r="S7" i="5" s="1"/>
  <c r="R39" i="5"/>
  <c r="S39" i="5" s="1"/>
  <c r="R55" i="5"/>
  <c r="S55" i="5" s="1"/>
  <c r="R9" i="5"/>
  <c r="S9" i="5" s="1"/>
  <c r="R48" i="5"/>
  <c r="S48" i="5" s="1"/>
  <c r="R32" i="5"/>
  <c r="S32" i="5" s="1"/>
  <c r="R11" i="5"/>
  <c r="S11" i="5" s="1"/>
  <c r="R34" i="5"/>
  <c r="R25" i="5"/>
  <c r="S25" i="5" s="1"/>
  <c r="R64" i="5"/>
  <c r="S64" i="5" s="1"/>
  <c r="R18" i="5"/>
  <c r="R26" i="5"/>
  <c r="R33" i="5"/>
  <c r="S33" i="5" s="1"/>
  <c r="R56" i="5"/>
  <c r="S56" i="5" s="1"/>
  <c r="R21" i="5"/>
  <c r="S21" i="5" s="1"/>
  <c r="R4" i="5"/>
  <c r="S4" i="5" s="1"/>
  <c r="R51" i="5"/>
  <c r="S51" i="5" s="1"/>
  <c r="R20" i="5"/>
  <c r="S20" i="5" s="1"/>
  <c r="R42" i="5"/>
  <c r="F22" i="11" l="1"/>
  <c r="F21" i="11"/>
  <c r="F20" i="11"/>
  <c r="F19" i="11"/>
  <c r="F18" i="11"/>
  <c r="F17" i="11"/>
  <c r="F16" i="11"/>
  <c r="F15" i="11"/>
  <c r="E22" i="11"/>
  <c r="E21" i="11"/>
  <c r="E20" i="11"/>
  <c r="E19" i="11"/>
  <c r="E18" i="11"/>
  <c r="E17" i="11"/>
  <c r="E16" i="11"/>
  <c r="E15" i="11"/>
  <c r="G19" i="11"/>
  <c r="G15" i="11"/>
  <c r="K25" i="6"/>
  <c r="G25" i="6"/>
  <c r="C25" i="6"/>
  <c r="K24" i="6"/>
  <c r="G24" i="6"/>
  <c r="C24" i="6"/>
  <c r="K23" i="6"/>
  <c r="G23" i="6"/>
  <c r="C23" i="6"/>
  <c r="K22" i="6"/>
  <c r="G22" i="6"/>
  <c r="C22" i="6"/>
  <c r="K21" i="6"/>
  <c r="G21" i="6"/>
  <c r="C21" i="6"/>
  <c r="K20" i="6"/>
  <c r="G20" i="6"/>
  <c r="C20" i="6"/>
  <c r="K19" i="6"/>
  <c r="G19" i="6"/>
  <c r="C19" i="6"/>
  <c r="K18" i="6"/>
  <c r="G18" i="6"/>
  <c r="C18" i="6"/>
  <c r="G20" i="11"/>
  <c r="G16" i="11"/>
  <c r="J25" i="6"/>
  <c r="F25" i="6"/>
  <c r="B25" i="6"/>
  <c r="J24" i="6"/>
  <c r="F24" i="6"/>
  <c r="B24" i="6"/>
  <c r="J23" i="6"/>
  <c r="F23" i="6"/>
  <c r="B23" i="6"/>
  <c r="J22" i="6"/>
  <c r="F22" i="6"/>
  <c r="B22" i="6"/>
  <c r="J21" i="6"/>
  <c r="F21" i="6"/>
  <c r="B21" i="6"/>
  <c r="J20" i="6"/>
  <c r="F20" i="6"/>
  <c r="B20" i="6"/>
  <c r="J19" i="6"/>
  <c r="F19" i="6"/>
  <c r="B19" i="6"/>
  <c r="J18" i="6"/>
  <c r="F18" i="6"/>
  <c r="B18" i="6"/>
  <c r="G21" i="11"/>
  <c r="G17" i="11"/>
  <c r="I25" i="6"/>
  <c r="E25" i="6"/>
  <c r="I24" i="6"/>
  <c r="E24" i="6"/>
  <c r="I23" i="6"/>
  <c r="E23" i="6"/>
  <c r="I22" i="6"/>
  <c r="E22" i="6"/>
  <c r="I21" i="6"/>
  <c r="E21" i="6"/>
  <c r="I20" i="6"/>
  <c r="E20" i="6"/>
  <c r="I19" i="6"/>
  <c r="E19" i="6"/>
  <c r="I18" i="6"/>
  <c r="E18" i="6"/>
  <c r="H25" i="6"/>
  <c r="H24" i="6"/>
  <c r="H23" i="6"/>
  <c r="H22" i="6"/>
  <c r="H21" i="6"/>
  <c r="H20" i="6"/>
  <c r="H19" i="6"/>
  <c r="H18" i="6"/>
  <c r="G18" i="11"/>
  <c r="D25" i="6"/>
  <c r="D24" i="6"/>
  <c r="D23" i="6"/>
  <c r="D22" i="6"/>
  <c r="D21" i="6"/>
  <c r="D20" i="6"/>
  <c r="D19" i="6"/>
  <c r="D18" i="6"/>
  <c r="G22" i="11"/>
  <c r="L25" i="6"/>
  <c r="L24" i="6"/>
  <c r="L23" i="6"/>
  <c r="L22" i="6"/>
  <c r="L21" i="6"/>
  <c r="L20" i="6"/>
  <c r="L19" i="6"/>
  <c r="L18" i="6"/>
  <c r="S10" i="5"/>
  <c r="D6" i="7"/>
  <c r="C8" i="7"/>
  <c r="A22" i="11"/>
  <c r="A21" i="11"/>
  <c r="A20" i="11"/>
  <c r="A19" i="11"/>
  <c r="A18" i="11"/>
  <c r="A17" i="11"/>
  <c r="A16" i="11"/>
  <c r="A15" i="11"/>
  <c r="C22" i="11"/>
  <c r="C21" i="11"/>
  <c r="C20" i="11"/>
  <c r="C19" i="11"/>
  <c r="C18" i="11"/>
  <c r="C17" i="11"/>
  <c r="C16" i="11"/>
  <c r="C15" i="11"/>
  <c r="B22" i="11"/>
  <c r="B18" i="11"/>
  <c r="I12" i="6"/>
  <c r="E12" i="6"/>
  <c r="I11" i="6"/>
  <c r="E11" i="6"/>
  <c r="I10" i="6"/>
  <c r="E10" i="6"/>
  <c r="I9" i="6"/>
  <c r="E9" i="6"/>
  <c r="I8" i="6"/>
  <c r="E8" i="6"/>
  <c r="I7" i="6"/>
  <c r="E7" i="6"/>
  <c r="I6" i="6"/>
  <c r="E6" i="6"/>
  <c r="I5" i="6"/>
  <c r="E5" i="6"/>
  <c r="B19" i="11"/>
  <c r="B15" i="11"/>
  <c r="L12" i="6"/>
  <c r="H12" i="6"/>
  <c r="D12" i="6"/>
  <c r="L11" i="6"/>
  <c r="H11" i="6"/>
  <c r="D11" i="6"/>
  <c r="L10" i="6"/>
  <c r="H10" i="6"/>
  <c r="D10" i="6"/>
  <c r="L9" i="6"/>
  <c r="H9" i="6"/>
  <c r="D9" i="6"/>
  <c r="L8" i="6"/>
  <c r="H8" i="6"/>
  <c r="D8" i="6"/>
  <c r="L7" i="6"/>
  <c r="H7" i="6"/>
  <c r="D7" i="6"/>
  <c r="L6" i="6"/>
  <c r="H6" i="6"/>
  <c r="D6" i="6"/>
  <c r="L5" i="6"/>
  <c r="H5" i="6"/>
  <c r="D5" i="6"/>
  <c r="B20" i="11"/>
  <c r="B16" i="11"/>
  <c r="K12" i="6"/>
  <c r="G12" i="6"/>
  <c r="C12" i="6"/>
  <c r="K11" i="6"/>
  <c r="G11" i="6"/>
  <c r="C11" i="6"/>
  <c r="K10" i="6"/>
  <c r="G10" i="6"/>
  <c r="C10" i="6"/>
  <c r="K9" i="6"/>
  <c r="G9" i="6"/>
  <c r="C9" i="6"/>
  <c r="K8" i="6"/>
  <c r="G8" i="6"/>
  <c r="C8" i="6"/>
  <c r="K7" i="6"/>
  <c r="G7" i="6"/>
  <c r="C7" i="6"/>
  <c r="K6" i="6"/>
  <c r="G6" i="6"/>
  <c r="C6" i="6"/>
  <c r="K5" i="6"/>
  <c r="G5" i="6"/>
  <c r="C5" i="6"/>
  <c r="J12" i="6"/>
  <c r="J11" i="6"/>
  <c r="J10" i="6"/>
  <c r="J9" i="6"/>
  <c r="J8" i="6"/>
  <c r="J7" i="6"/>
  <c r="J6" i="6"/>
  <c r="J5" i="6"/>
  <c r="S2" i="5"/>
  <c r="B17" i="11"/>
  <c r="F12" i="6"/>
  <c r="F11" i="6"/>
  <c r="F10" i="6"/>
  <c r="F9" i="6"/>
  <c r="F8" i="6"/>
  <c r="F7" i="6"/>
  <c r="F6" i="6"/>
  <c r="F5" i="6"/>
  <c r="B12" i="6"/>
  <c r="B11" i="6"/>
  <c r="B10" i="6"/>
  <c r="B9" i="6"/>
  <c r="B8" i="6"/>
  <c r="B7" i="6"/>
  <c r="B6" i="6"/>
  <c r="B5" i="6"/>
  <c r="B21" i="11"/>
  <c r="D8" i="7"/>
  <c r="C6" i="7"/>
  <c r="J51" i="6"/>
  <c r="F51" i="6"/>
  <c r="B51" i="6"/>
  <c r="J50" i="6"/>
  <c r="F50" i="6"/>
  <c r="B50" i="6"/>
  <c r="J49" i="6"/>
  <c r="F49" i="6"/>
  <c r="B49" i="6"/>
  <c r="J48" i="6"/>
  <c r="F48" i="6"/>
  <c r="B48" i="6"/>
  <c r="J47" i="6"/>
  <c r="F47" i="6"/>
  <c r="B47" i="6"/>
  <c r="J46" i="6"/>
  <c r="F46" i="6"/>
  <c r="B46" i="6"/>
  <c r="J45" i="6"/>
  <c r="F45" i="6"/>
  <c r="B45" i="6"/>
  <c r="J44" i="6"/>
  <c r="F44" i="6"/>
  <c r="B44" i="6"/>
  <c r="O22" i="11"/>
  <c r="O21" i="11"/>
  <c r="O20" i="11"/>
  <c r="O19" i="11"/>
  <c r="O18" i="11"/>
  <c r="O17" i="11"/>
  <c r="O16" i="11"/>
  <c r="O15" i="11"/>
  <c r="I51" i="6"/>
  <c r="E51" i="6"/>
  <c r="I50" i="6"/>
  <c r="E50" i="6"/>
  <c r="I49" i="6"/>
  <c r="E49" i="6"/>
  <c r="I48" i="6"/>
  <c r="E48" i="6"/>
  <c r="I47" i="6"/>
  <c r="E47" i="6"/>
  <c r="I46" i="6"/>
  <c r="E46" i="6"/>
  <c r="I45" i="6"/>
  <c r="E45" i="6"/>
  <c r="I44" i="6"/>
  <c r="E44" i="6"/>
  <c r="N22" i="11"/>
  <c r="N21" i="11"/>
  <c r="N20" i="11"/>
  <c r="N19" i="11"/>
  <c r="N18" i="11"/>
  <c r="N17" i="11"/>
  <c r="N16" i="11"/>
  <c r="N15" i="11"/>
  <c r="L51" i="6"/>
  <c r="H51" i="6"/>
  <c r="D51" i="6"/>
  <c r="L50" i="6"/>
  <c r="H50" i="6"/>
  <c r="D50" i="6"/>
  <c r="L49" i="6"/>
  <c r="H49" i="6"/>
  <c r="D49" i="6"/>
  <c r="L48" i="6"/>
  <c r="H48" i="6"/>
  <c r="D48" i="6"/>
  <c r="L47" i="6"/>
  <c r="H47" i="6"/>
  <c r="D47" i="6"/>
  <c r="L46" i="6"/>
  <c r="H46" i="6"/>
  <c r="D46" i="6"/>
  <c r="L45" i="6"/>
  <c r="H45" i="6"/>
  <c r="D45" i="6"/>
  <c r="L44" i="6"/>
  <c r="H44" i="6"/>
  <c r="D44" i="6"/>
  <c r="M20" i="11"/>
  <c r="M16" i="11"/>
  <c r="K51" i="6"/>
  <c r="K50" i="6"/>
  <c r="K49" i="6"/>
  <c r="K48" i="6"/>
  <c r="K47" i="6"/>
  <c r="K46" i="6"/>
  <c r="K45" i="6"/>
  <c r="K44" i="6"/>
  <c r="M21" i="11"/>
  <c r="M17" i="11"/>
  <c r="G51" i="6"/>
  <c r="G50" i="6"/>
  <c r="G49" i="6"/>
  <c r="G48" i="6"/>
  <c r="G47" i="6"/>
  <c r="G46" i="6"/>
  <c r="G45" i="6"/>
  <c r="G44" i="6"/>
  <c r="M22" i="11"/>
  <c r="M18" i="11"/>
  <c r="C51" i="6"/>
  <c r="C50" i="6"/>
  <c r="C49" i="6"/>
  <c r="C48" i="6"/>
  <c r="C47" i="6"/>
  <c r="C46" i="6"/>
  <c r="C45" i="6"/>
  <c r="C44" i="6"/>
  <c r="M19" i="11"/>
  <c r="M15" i="11"/>
  <c r="S26" i="5"/>
  <c r="C9" i="7"/>
  <c r="D7" i="7"/>
  <c r="B33" i="11"/>
  <c r="A32" i="11"/>
  <c r="A31" i="11"/>
  <c r="A30" i="11"/>
  <c r="A29" i="11"/>
  <c r="A28" i="11"/>
  <c r="A27" i="11"/>
  <c r="A26" i="11"/>
  <c r="C33" i="11"/>
  <c r="A33" i="11"/>
  <c r="C32" i="11"/>
  <c r="C31" i="11"/>
  <c r="C30" i="11"/>
  <c r="C29" i="11"/>
  <c r="C28" i="11"/>
  <c r="C27" i="11"/>
  <c r="C26" i="11"/>
  <c r="B29" i="11"/>
  <c r="V12" i="6"/>
  <c r="R12" i="6"/>
  <c r="V11" i="6"/>
  <c r="R11" i="6"/>
  <c r="V10" i="6"/>
  <c r="R10" i="6"/>
  <c r="V9" i="6"/>
  <c r="R9" i="6"/>
  <c r="V8" i="6"/>
  <c r="R8" i="6"/>
  <c r="V7" i="6"/>
  <c r="R7" i="6"/>
  <c r="V6" i="6"/>
  <c r="R6" i="6"/>
  <c r="V5" i="6"/>
  <c r="R5" i="6"/>
  <c r="B30" i="11"/>
  <c r="B26" i="11"/>
  <c r="Y12" i="6"/>
  <c r="U12" i="6"/>
  <c r="Q12" i="6"/>
  <c r="Y11" i="6"/>
  <c r="U11" i="6"/>
  <c r="Q11" i="6"/>
  <c r="Y10" i="6"/>
  <c r="U10" i="6"/>
  <c r="Q10" i="6"/>
  <c r="Y9" i="6"/>
  <c r="U9" i="6"/>
  <c r="Q9" i="6"/>
  <c r="Y8" i="6"/>
  <c r="U8" i="6"/>
  <c r="Q8" i="6"/>
  <c r="Y7" i="6"/>
  <c r="U7" i="6"/>
  <c r="Q7" i="6"/>
  <c r="Y6" i="6"/>
  <c r="U6" i="6"/>
  <c r="Q6" i="6"/>
  <c r="Y5" i="6"/>
  <c r="U5" i="6"/>
  <c r="Q5" i="6"/>
  <c r="B31" i="11"/>
  <c r="B27" i="11"/>
  <c r="X12" i="6"/>
  <c r="T12" i="6"/>
  <c r="P12" i="6"/>
  <c r="X11" i="6"/>
  <c r="T11" i="6"/>
  <c r="P11" i="6"/>
  <c r="X10" i="6"/>
  <c r="T10" i="6"/>
  <c r="P10" i="6"/>
  <c r="X9" i="6"/>
  <c r="T9" i="6"/>
  <c r="P9" i="6"/>
  <c r="X8" i="6"/>
  <c r="T8" i="6"/>
  <c r="P8" i="6"/>
  <c r="X7" i="6"/>
  <c r="T7" i="6"/>
  <c r="P7" i="6"/>
  <c r="X6" i="6"/>
  <c r="T6" i="6"/>
  <c r="P6" i="6"/>
  <c r="X5" i="6"/>
  <c r="T5" i="6"/>
  <c r="P5" i="6"/>
  <c r="B28" i="11"/>
  <c r="B32" i="11"/>
  <c r="W12" i="6"/>
  <c r="W11" i="6"/>
  <c r="W10" i="6"/>
  <c r="W9" i="6"/>
  <c r="W8" i="6"/>
  <c r="W7" i="6"/>
  <c r="W6" i="6"/>
  <c r="W5" i="6"/>
  <c r="S12" i="6"/>
  <c r="S11" i="6"/>
  <c r="S10" i="6"/>
  <c r="S9" i="6"/>
  <c r="S8" i="6"/>
  <c r="S7" i="6"/>
  <c r="S6" i="6"/>
  <c r="S5" i="6"/>
  <c r="O12" i="6"/>
  <c r="O11" i="6"/>
  <c r="O10" i="6"/>
  <c r="O9" i="6"/>
  <c r="O8" i="6"/>
  <c r="O7" i="6"/>
  <c r="O6" i="6"/>
  <c r="O5" i="6"/>
  <c r="S34" i="5"/>
  <c r="D12" i="7"/>
  <c r="C10" i="7"/>
  <c r="M33" i="11"/>
  <c r="M32" i="11"/>
  <c r="O33" i="11"/>
  <c r="N32" i="11"/>
  <c r="W51" i="6"/>
  <c r="S51" i="6"/>
  <c r="O51" i="6"/>
  <c r="W50" i="6"/>
  <c r="S50" i="6"/>
  <c r="O50" i="6"/>
  <c r="W49" i="6"/>
  <c r="S49" i="6"/>
  <c r="O49" i="6"/>
  <c r="W48" i="6"/>
  <c r="S48" i="6"/>
  <c r="O48" i="6"/>
  <c r="W47" i="6"/>
  <c r="S47" i="6"/>
  <c r="O47" i="6"/>
  <c r="W46" i="6"/>
  <c r="S46" i="6"/>
  <c r="O46" i="6"/>
  <c r="W45" i="6"/>
  <c r="S45" i="6"/>
  <c r="O45" i="6"/>
  <c r="W44" i="6"/>
  <c r="S44" i="6"/>
  <c r="O44" i="6"/>
  <c r="N33" i="11"/>
  <c r="O31" i="11"/>
  <c r="O30" i="11"/>
  <c r="O29" i="11"/>
  <c r="O28" i="11"/>
  <c r="O27" i="11"/>
  <c r="O26" i="11"/>
  <c r="V51" i="6"/>
  <c r="R51" i="6"/>
  <c r="V50" i="6"/>
  <c r="R50" i="6"/>
  <c r="V49" i="6"/>
  <c r="R49" i="6"/>
  <c r="V48" i="6"/>
  <c r="R48" i="6"/>
  <c r="V47" i="6"/>
  <c r="R47" i="6"/>
  <c r="V46" i="6"/>
  <c r="R46" i="6"/>
  <c r="V45" i="6"/>
  <c r="R45" i="6"/>
  <c r="V44" i="6"/>
  <c r="R44" i="6"/>
  <c r="N31" i="11"/>
  <c r="N30" i="11"/>
  <c r="N29" i="11"/>
  <c r="N28" i="11"/>
  <c r="N27" i="11"/>
  <c r="N26" i="11"/>
  <c r="Y51" i="6"/>
  <c r="U51" i="6"/>
  <c r="Q51" i="6"/>
  <c r="Y50" i="6"/>
  <c r="U50" i="6"/>
  <c r="Q50" i="6"/>
  <c r="Y49" i="6"/>
  <c r="U49" i="6"/>
  <c r="Q49" i="6"/>
  <c r="Y48" i="6"/>
  <c r="U48" i="6"/>
  <c r="Q48" i="6"/>
  <c r="Y47" i="6"/>
  <c r="U47" i="6"/>
  <c r="Q47" i="6"/>
  <c r="Y46" i="6"/>
  <c r="U46" i="6"/>
  <c r="Q46" i="6"/>
  <c r="Y45" i="6"/>
  <c r="U45" i="6"/>
  <c r="Q45" i="6"/>
  <c r="Y44" i="6"/>
  <c r="U44" i="6"/>
  <c r="Q44" i="6"/>
  <c r="M31" i="11"/>
  <c r="M27" i="11"/>
  <c r="X51" i="6"/>
  <c r="X50" i="6"/>
  <c r="X49" i="6"/>
  <c r="X48" i="6"/>
  <c r="X47" i="6"/>
  <c r="X46" i="6"/>
  <c r="X45" i="6"/>
  <c r="X44" i="6"/>
  <c r="O32" i="11"/>
  <c r="M28" i="11"/>
  <c r="T51" i="6"/>
  <c r="T50" i="6"/>
  <c r="T49" i="6"/>
  <c r="T48" i="6"/>
  <c r="T47" i="6"/>
  <c r="T46" i="6"/>
  <c r="T45" i="6"/>
  <c r="T44" i="6"/>
  <c r="M29" i="11"/>
  <c r="P51" i="6"/>
  <c r="P50" i="6"/>
  <c r="P49" i="6"/>
  <c r="P48" i="6"/>
  <c r="P47" i="6"/>
  <c r="P46" i="6"/>
  <c r="P45" i="6"/>
  <c r="P44" i="6"/>
  <c r="M26" i="11"/>
  <c r="M30" i="11"/>
  <c r="S58" i="5"/>
  <c r="C13" i="7"/>
  <c r="D11" i="7"/>
  <c r="K22" i="11"/>
  <c r="K21" i="11"/>
  <c r="K20" i="11"/>
  <c r="K19" i="11"/>
  <c r="K18" i="11"/>
  <c r="K17" i="11"/>
  <c r="K16" i="11"/>
  <c r="K15" i="11"/>
  <c r="L38" i="6"/>
  <c r="H38" i="6"/>
  <c r="D38" i="6"/>
  <c r="L37" i="6"/>
  <c r="H37" i="6"/>
  <c r="D37" i="6"/>
  <c r="L36" i="6"/>
  <c r="H36" i="6"/>
  <c r="D36" i="6"/>
  <c r="L35" i="6"/>
  <c r="H35" i="6"/>
  <c r="D35" i="6"/>
  <c r="L34" i="6"/>
  <c r="H34" i="6"/>
  <c r="D34" i="6"/>
  <c r="J22" i="11"/>
  <c r="J21" i="11"/>
  <c r="J20" i="11"/>
  <c r="J19" i="11"/>
  <c r="J18" i="11"/>
  <c r="J17" i="11"/>
  <c r="J16" i="11"/>
  <c r="J15" i="11"/>
  <c r="K38" i="6"/>
  <c r="G38" i="6"/>
  <c r="C38" i="6"/>
  <c r="K37" i="6"/>
  <c r="G37" i="6"/>
  <c r="C37" i="6"/>
  <c r="K36" i="6"/>
  <c r="G36" i="6"/>
  <c r="C36" i="6"/>
  <c r="K35" i="6"/>
  <c r="I22" i="11"/>
  <c r="I21" i="11"/>
  <c r="I20" i="11"/>
  <c r="I19" i="11"/>
  <c r="I18" i="11"/>
  <c r="I17" i="11"/>
  <c r="I16" i="11"/>
  <c r="I15" i="11"/>
  <c r="J38" i="6"/>
  <c r="B38" i="6"/>
  <c r="J37" i="6"/>
  <c r="B37" i="6"/>
  <c r="J36" i="6"/>
  <c r="B36" i="6"/>
  <c r="J35" i="6"/>
  <c r="E35" i="6"/>
  <c r="G34" i="6"/>
  <c r="B34" i="6"/>
  <c r="I33" i="6"/>
  <c r="E33" i="6"/>
  <c r="I32" i="6"/>
  <c r="E32" i="6"/>
  <c r="I31" i="6"/>
  <c r="E31" i="6"/>
  <c r="I38" i="6"/>
  <c r="I37" i="6"/>
  <c r="I36" i="6"/>
  <c r="I35" i="6"/>
  <c r="C35" i="6"/>
  <c r="K34" i="6"/>
  <c r="F34" i="6"/>
  <c r="L33" i="6"/>
  <c r="H33" i="6"/>
  <c r="D33" i="6"/>
  <c r="L32" i="6"/>
  <c r="H32" i="6"/>
  <c r="D32" i="6"/>
  <c r="L31" i="6"/>
  <c r="H31" i="6"/>
  <c r="D31" i="6"/>
  <c r="F38" i="6"/>
  <c r="F37" i="6"/>
  <c r="F36" i="6"/>
  <c r="G35" i="6"/>
  <c r="B35" i="6"/>
  <c r="J34" i="6"/>
  <c r="E34" i="6"/>
  <c r="K33" i="6"/>
  <c r="G33" i="6"/>
  <c r="C33" i="6"/>
  <c r="K32" i="6"/>
  <c r="G32" i="6"/>
  <c r="C32" i="6"/>
  <c r="K31" i="6"/>
  <c r="G31" i="6"/>
  <c r="C31" i="6"/>
  <c r="E38" i="6"/>
  <c r="E37" i="6"/>
  <c r="E36" i="6"/>
  <c r="F35" i="6"/>
  <c r="J33" i="6"/>
  <c r="J32" i="6"/>
  <c r="J31" i="6"/>
  <c r="I34" i="6"/>
  <c r="F33" i="6"/>
  <c r="F32" i="6"/>
  <c r="F31" i="6"/>
  <c r="C34" i="6"/>
  <c r="B33" i="6"/>
  <c r="B32" i="6"/>
  <c r="B31" i="6"/>
  <c r="S18" i="5"/>
  <c r="C7" i="7"/>
  <c r="D9" i="7"/>
  <c r="K33" i="11"/>
  <c r="J33" i="11"/>
  <c r="K31" i="11"/>
  <c r="K30" i="11"/>
  <c r="K29" i="11"/>
  <c r="K28" i="11"/>
  <c r="K27" i="11"/>
  <c r="K26" i="11"/>
  <c r="Y38" i="6"/>
  <c r="U38" i="6"/>
  <c r="Q38" i="6"/>
  <c r="Y37" i="6"/>
  <c r="U37" i="6"/>
  <c r="Q37" i="6"/>
  <c r="Y36" i="6"/>
  <c r="U36" i="6"/>
  <c r="Q36" i="6"/>
  <c r="Y35" i="6"/>
  <c r="U35" i="6"/>
  <c r="Q35" i="6"/>
  <c r="Y34" i="6"/>
  <c r="U34" i="6"/>
  <c r="Q34" i="6"/>
  <c r="Y33" i="6"/>
  <c r="K32" i="11"/>
  <c r="J31" i="11"/>
  <c r="J30" i="11"/>
  <c r="J29" i="11"/>
  <c r="J28" i="11"/>
  <c r="J27" i="11"/>
  <c r="J26" i="11"/>
  <c r="X38" i="6"/>
  <c r="T38" i="6"/>
  <c r="P38" i="6"/>
  <c r="X37" i="6"/>
  <c r="T37" i="6"/>
  <c r="P37" i="6"/>
  <c r="X36" i="6"/>
  <c r="T36" i="6"/>
  <c r="P36" i="6"/>
  <c r="X35" i="6"/>
  <c r="T35" i="6"/>
  <c r="P35" i="6"/>
  <c r="I33" i="11"/>
  <c r="J32" i="11"/>
  <c r="I31" i="11"/>
  <c r="I30" i="11"/>
  <c r="I29" i="11"/>
  <c r="I28" i="11"/>
  <c r="I27" i="11"/>
  <c r="I26" i="11"/>
  <c r="S38" i="6"/>
  <c r="S37" i="6"/>
  <c r="S36" i="6"/>
  <c r="S35" i="6"/>
  <c r="X34" i="6"/>
  <c r="S34" i="6"/>
  <c r="V33" i="6"/>
  <c r="R33" i="6"/>
  <c r="V32" i="6"/>
  <c r="R32" i="6"/>
  <c r="V31" i="6"/>
  <c r="R31" i="6"/>
  <c r="R38" i="6"/>
  <c r="R37" i="6"/>
  <c r="R36" i="6"/>
  <c r="R35" i="6"/>
  <c r="W34" i="6"/>
  <c r="R34" i="6"/>
  <c r="U33" i="6"/>
  <c r="Q33" i="6"/>
  <c r="Y32" i="6"/>
  <c r="U32" i="6"/>
  <c r="Q32" i="6"/>
  <c r="Y31" i="6"/>
  <c r="U31" i="6"/>
  <c r="Q31" i="6"/>
  <c r="I32" i="11"/>
  <c r="W38" i="6"/>
  <c r="O38" i="6"/>
  <c r="W37" i="6"/>
  <c r="O37" i="6"/>
  <c r="W36" i="6"/>
  <c r="O36" i="6"/>
  <c r="W35" i="6"/>
  <c r="O35" i="6"/>
  <c r="V34" i="6"/>
  <c r="P34" i="6"/>
  <c r="X33" i="6"/>
  <c r="T33" i="6"/>
  <c r="P33" i="6"/>
  <c r="X32" i="6"/>
  <c r="T32" i="6"/>
  <c r="P32" i="6"/>
  <c r="X31" i="6"/>
  <c r="T31" i="6"/>
  <c r="P31" i="6"/>
  <c r="O34" i="6"/>
  <c r="W33" i="6"/>
  <c r="W32" i="6"/>
  <c r="W31" i="6"/>
  <c r="S33" i="6"/>
  <c r="S32" i="6"/>
  <c r="S31" i="6"/>
  <c r="V36" i="6"/>
  <c r="V37" i="6"/>
  <c r="V38" i="6"/>
  <c r="T34" i="6"/>
  <c r="O33" i="6"/>
  <c r="O32" i="6"/>
  <c r="O31" i="6"/>
  <c r="V35" i="6"/>
  <c r="S50" i="5"/>
  <c r="C11" i="7"/>
  <c r="D13" i="7"/>
  <c r="G33" i="11"/>
  <c r="G32" i="11"/>
  <c r="E33" i="11"/>
  <c r="F32" i="11"/>
  <c r="F31" i="11"/>
  <c r="F30" i="11"/>
  <c r="F29" i="11"/>
  <c r="F28" i="11"/>
  <c r="F27" i="11"/>
  <c r="F26" i="11"/>
  <c r="E32" i="11"/>
  <c r="E31" i="11"/>
  <c r="E30" i="11"/>
  <c r="E29" i="11"/>
  <c r="E28" i="11"/>
  <c r="E27" i="11"/>
  <c r="E26" i="11"/>
  <c r="F33" i="11"/>
  <c r="G30" i="11"/>
  <c r="G26" i="11"/>
  <c r="X25" i="6"/>
  <c r="T25" i="6"/>
  <c r="P25" i="6"/>
  <c r="X24" i="6"/>
  <c r="T24" i="6"/>
  <c r="P24" i="6"/>
  <c r="X23" i="6"/>
  <c r="T23" i="6"/>
  <c r="P23" i="6"/>
  <c r="X22" i="6"/>
  <c r="T22" i="6"/>
  <c r="P22" i="6"/>
  <c r="X21" i="6"/>
  <c r="T21" i="6"/>
  <c r="P21" i="6"/>
  <c r="X20" i="6"/>
  <c r="T20" i="6"/>
  <c r="P20" i="6"/>
  <c r="X19" i="6"/>
  <c r="T19" i="6"/>
  <c r="P19" i="6"/>
  <c r="X18" i="6"/>
  <c r="T18" i="6"/>
  <c r="P18" i="6"/>
  <c r="G31" i="11"/>
  <c r="G27" i="11"/>
  <c r="W25" i="6"/>
  <c r="S25" i="6"/>
  <c r="O25" i="6"/>
  <c r="W24" i="6"/>
  <c r="S24" i="6"/>
  <c r="O24" i="6"/>
  <c r="W23" i="6"/>
  <c r="S23" i="6"/>
  <c r="O23" i="6"/>
  <c r="W22" i="6"/>
  <c r="S22" i="6"/>
  <c r="O22" i="6"/>
  <c r="W21" i="6"/>
  <c r="S21" i="6"/>
  <c r="O21" i="6"/>
  <c r="W20" i="6"/>
  <c r="S20" i="6"/>
  <c r="O20" i="6"/>
  <c r="W19" i="6"/>
  <c r="S19" i="6"/>
  <c r="O19" i="6"/>
  <c r="W18" i="6"/>
  <c r="S18" i="6"/>
  <c r="O18" i="6"/>
  <c r="G28" i="11"/>
  <c r="V25" i="6"/>
  <c r="R25" i="6"/>
  <c r="V24" i="6"/>
  <c r="R24" i="6"/>
  <c r="V23" i="6"/>
  <c r="R23" i="6"/>
  <c r="V22" i="6"/>
  <c r="R22" i="6"/>
  <c r="V21" i="6"/>
  <c r="R21" i="6"/>
  <c r="V20" i="6"/>
  <c r="R20" i="6"/>
  <c r="V19" i="6"/>
  <c r="R19" i="6"/>
  <c r="V18" i="6"/>
  <c r="R18" i="6"/>
  <c r="U25" i="6"/>
  <c r="U24" i="6"/>
  <c r="U23" i="6"/>
  <c r="U22" i="6"/>
  <c r="U21" i="6"/>
  <c r="U20" i="6"/>
  <c r="U19" i="6"/>
  <c r="U18" i="6"/>
  <c r="Q25" i="6"/>
  <c r="Q24" i="6"/>
  <c r="Q23" i="6"/>
  <c r="Q22" i="6"/>
  <c r="Q21" i="6"/>
  <c r="Q20" i="6"/>
  <c r="Q19" i="6"/>
  <c r="Q18" i="6"/>
  <c r="Y25" i="6"/>
  <c r="Y24" i="6"/>
  <c r="Y23" i="6"/>
  <c r="Y22" i="6"/>
  <c r="Y21" i="6"/>
  <c r="Y20" i="6"/>
  <c r="Y19" i="6"/>
  <c r="Y18" i="6"/>
  <c r="G29" i="11"/>
  <c r="S42" i="5"/>
  <c r="C12" i="7"/>
  <c r="D10" i="7"/>
  <c r="B29" i="10" l="1"/>
  <c r="R11" i="7"/>
  <c r="L43" i="11"/>
  <c r="B25" i="10"/>
  <c r="L42" i="11"/>
  <c r="R10" i="7"/>
  <c r="B19" i="10"/>
  <c r="R9" i="7"/>
  <c r="L41" i="11"/>
  <c r="B33" i="10"/>
  <c r="L44" i="11"/>
  <c r="R12" i="7"/>
  <c r="B30" i="10"/>
  <c r="N43" i="11"/>
  <c r="B34" i="10"/>
  <c r="N44" i="11"/>
  <c r="B15" i="10"/>
  <c r="L40" i="11"/>
  <c r="R8" i="7"/>
  <c r="B26" i="10"/>
  <c r="N42" i="11"/>
  <c r="B20" i="10"/>
  <c r="N41" i="11"/>
  <c r="B37" i="10"/>
  <c r="L45" i="11"/>
  <c r="R13" i="7"/>
  <c r="B7" i="10"/>
  <c r="R6" i="7"/>
  <c r="L38" i="11"/>
  <c r="B8" i="10"/>
  <c r="N38" i="11"/>
  <c r="B38" i="10"/>
  <c r="N45" i="11"/>
  <c r="B11" i="10"/>
  <c r="R7" i="7"/>
  <c r="L39" i="11"/>
  <c r="B12" i="10"/>
  <c r="N39" i="11"/>
  <c r="B16" i="10"/>
  <c r="N40" i="11"/>
  <c r="D7" i="10" l="1"/>
  <c r="D8" i="10"/>
  <c r="M38" i="11"/>
  <c r="C16" i="7"/>
  <c r="D34" i="10"/>
  <c r="D33" i="10"/>
  <c r="M44" i="11"/>
  <c r="C19" i="7"/>
  <c r="D19" i="10"/>
  <c r="D20" i="10"/>
  <c r="M41" i="11"/>
  <c r="D17" i="7"/>
  <c r="D15" i="10"/>
  <c r="D16" i="10"/>
  <c r="C17" i="7"/>
  <c r="M40" i="11"/>
  <c r="D38" i="10"/>
  <c r="D37" i="10"/>
  <c r="D19" i="7"/>
  <c r="M45" i="11"/>
  <c r="D26" i="10"/>
  <c r="D25" i="10"/>
  <c r="C18" i="7"/>
  <c r="M42" i="11"/>
  <c r="D30" i="10"/>
  <c r="D29" i="10"/>
  <c r="D18" i="7"/>
  <c r="M43" i="11"/>
  <c r="D11" i="10"/>
  <c r="D12" i="10"/>
  <c r="M39" i="11"/>
  <c r="D16" i="7"/>
  <c r="H28" i="10" l="1"/>
  <c r="N48" i="11"/>
  <c r="H10" i="10"/>
  <c r="N46" i="11"/>
  <c r="H18" i="10"/>
  <c r="N47" i="11"/>
  <c r="H35" i="10"/>
  <c r="L49" i="11"/>
  <c r="R19" i="7"/>
  <c r="H9" i="10"/>
  <c r="L46" i="11"/>
  <c r="R16" i="7"/>
  <c r="H17" i="10"/>
  <c r="L47" i="11"/>
  <c r="R17" i="7"/>
  <c r="H36" i="10"/>
  <c r="N49" i="11"/>
  <c r="H27" i="10"/>
  <c r="R18" i="7"/>
  <c r="L48" i="11"/>
  <c r="J28" i="10" l="1"/>
  <c r="J27" i="10"/>
  <c r="C23" i="7"/>
  <c r="M48" i="11"/>
  <c r="J9" i="10"/>
  <c r="J10" i="10"/>
  <c r="C22" i="7"/>
  <c r="M46" i="11"/>
  <c r="J17" i="10"/>
  <c r="J18" i="10"/>
  <c r="D22" i="7"/>
  <c r="M47" i="11"/>
  <c r="J36" i="10"/>
  <c r="J35" i="10"/>
  <c r="D23" i="7"/>
  <c r="M49" i="11"/>
  <c r="N13" i="10" l="1"/>
  <c r="R22" i="7"/>
  <c r="C29" i="7" s="1"/>
  <c r="L50" i="11"/>
  <c r="N31" i="10"/>
  <c r="L51" i="11"/>
  <c r="R23" i="7"/>
  <c r="D29" i="7" s="1"/>
  <c r="N14" i="10"/>
  <c r="N50" i="11"/>
  <c r="N32" i="10"/>
  <c r="N51" i="11"/>
  <c r="N41" i="10" l="1"/>
  <c r="N53" i="11"/>
  <c r="N40" i="10"/>
  <c r="R29" i="7"/>
  <c r="L53" i="11"/>
  <c r="P32" i="10"/>
  <c r="P31" i="10"/>
  <c r="M51" i="11"/>
  <c r="D26" i="7"/>
  <c r="P13" i="10"/>
  <c r="P14" i="10"/>
  <c r="M50" i="11"/>
  <c r="C26" i="7"/>
  <c r="K7" i="11" l="1"/>
  <c r="P41" i="10"/>
  <c r="P40" i="10"/>
  <c r="M53" i="11"/>
  <c r="T22" i="10"/>
  <c r="L52" i="11"/>
  <c r="R26" i="7"/>
  <c r="T23" i="10"/>
  <c r="N52" i="11"/>
  <c r="V22" i="10" l="1"/>
  <c r="K9" i="11"/>
  <c r="K5" i="11"/>
  <c r="V23" i="10"/>
  <c r="K6" i="11"/>
  <c r="Z22" i="10"/>
  <c r="M52" i="11"/>
  <c r="C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tc={C64FD27E-1535-4805-B2DC-32D520DB733F}</author>
    <author>tc={802D4041-38F2-439E-B864-06B97DAA7D33}</author>
    <author>tc={B01A71C3-15AA-49C6-A673-FE10167AB083}</author>
    <author>tc={3E395046-BB1D-4ACF-A294-BAC48BCB7AA3}</author>
  </authors>
  <commentList>
    <comment ref="B3" authorId="0" shapeId="0" xr:uid="{C64FD27E-1535-4805-B2DC-32D520DB733F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name of the competition</t>
      </text>
    </comment>
    <comment ref="B4" authorId="1" shapeId="0" xr:uid="{802D4041-38F2-439E-B864-06B97DAA7D33}">
      <text>
        <t>[Threaded comment]
Your version of Excel allows you to read this threaded comment; however, any edits to it will get removed if the file is opened in a newer version of Excel. Learn more: https://go.microsoft.com/fwlink/?linkid=870924
Comment:
    Choose your sport</t>
      </text>
    </comment>
    <comment ref="B5" authorId="2" shapeId="0" xr:uid="{B01A71C3-15AA-49C6-A673-FE10167AB083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number of pools up to 8</t>
      </text>
    </comment>
    <comment ref="B6" authorId="3" shapeId="0" xr:uid="{3E395046-BB1D-4ACF-A294-BAC48BCB7AA3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number of teams per pool up to 8</t>
      </text>
    </comment>
  </commentList>
</comments>
</file>

<file path=xl/sharedStrings.xml><?xml version="1.0" encoding="utf-8"?>
<sst xmlns="http://schemas.openxmlformats.org/spreadsheetml/2006/main" count="536" uniqueCount="261">
  <si>
    <t>COMPETITION CONTROL CENTRE</t>
  </si>
  <si>
    <t>Run the competition from here. Normal users only need Setup, Teams, Match Entry, Pool Tables, Finals and the print sheets.</t>
  </si>
  <si>
    <t>COMPETITION</t>
  </si>
  <si>
    <t>STRUCTURE</t>
  </si>
  <si>
    <t>POOL MATCHES</t>
  </si>
  <si>
    <t>COMPLETED</t>
  </si>
  <si>
    <t>POOL STAGE PROGRESS</t>
  </si>
  <si>
    <t>Progress</t>
  </si>
  <si>
    <t>CURRENT STATUS</t>
  </si>
  <si>
    <t>Stage</t>
  </si>
  <si>
    <t>Next action</t>
  </si>
  <si>
    <t>WORKFLOW — FOLLOW THESE STEPS</t>
  </si>
  <si>
    <t>1. Set up competition</t>
  </si>
  <si>
    <t>START HERE</t>
  </si>
  <si>
    <t>GO TO SETUP →</t>
  </si>
  <si>
    <t>2. Enter teams</t>
  </si>
  <si>
    <t>Team names</t>
  </si>
  <si>
    <t>GO TO TEAMS →</t>
  </si>
  <si>
    <t>3. Enter match results</t>
  </si>
  <si>
    <t>Set scores</t>
  </si>
  <si>
    <t>GO TO MATCH ENTRY →</t>
  </si>
  <si>
    <t>4. View pool tables</t>
  </si>
  <si>
    <t>Live standings</t>
  </si>
  <si>
    <t>GO TO POOL TABLES →</t>
  </si>
  <si>
    <t>5. Run finals</t>
  </si>
  <si>
    <t>Knockout control</t>
  </si>
  <si>
    <t>GO TO FINALS →</t>
  </si>
  <si>
    <t>PRINT / DISPLAY OUTPUTS</t>
  </si>
  <si>
    <t>Finals Bracket</t>
  </si>
  <si>
    <t>Printable elimination tree</t>
  </si>
  <si>
    <t>GO TO FINALS BRACKET →</t>
  </si>
  <si>
    <t>Competition Summary</t>
  </si>
  <si>
    <t>Standings + all results</t>
  </si>
  <si>
    <t>GO TO SUMMARY →</t>
  </si>
  <si>
    <t>STEP 1 — COMPETITION SETUP</t>
  </si>
  <si>
    <t>FINALS CONFIGURATION</t>
  </si>
  <si>
    <t>Complete the yellow cells. Finalise Setup before entering results.</t>
  </si>
  <si>
    <t>Choose finals options once; control and print sheets update automatically.</t>
  </si>
  <si>
    <t>Competition Name</t>
  </si>
  <si>
    <t>Set Score Tournament</t>
  </si>
  <si>
    <t>Edit</t>
  </si>
  <si>
    <t>Finals Mode</t>
  </si>
  <si>
    <t>Automatic</t>
  </si>
  <si>
    <t>Sport / Format</t>
  </si>
  <si>
    <t>Volleyball / Badminton / Table Tennis / Tennis</t>
  </si>
  <si>
    <t>Finalists</t>
  </si>
  <si>
    <t>Number of Pools</t>
  </si>
  <si>
    <t>Input</t>
  </si>
  <si>
    <t>Finals Structure</t>
  </si>
  <si>
    <t>Teams per Pool</t>
  </si>
  <si>
    <t>Third-place playoff?</t>
  </si>
  <si>
    <t>Maximum Sets/Games per Match</t>
  </si>
  <si>
    <t>Pairing Rule</t>
  </si>
  <si>
    <t>Sets/Games Needed to Win</t>
  </si>
  <si>
    <t>Match Win Points</t>
  </si>
  <si>
    <t>Match Loss Points</t>
  </si>
  <si>
    <t>Points/Games Label</t>
  </si>
  <si>
    <t>Points/Games</t>
  </si>
  <si>
    <t>Teams Qualifying per Pool</t>
  </si>
  <si>
    <t>Matches per Pool</t>
  </si>
  <si>
    <t>COMMON SET SCORE PRESETS</t>
  </si>
  <si>
    <t>Volleyball / Badminton</t>
  </si>
  <si>
    <t>Max Sets 3</t>
  </si>
  <si>
    <t>Sets Needed 2</t>
  </si>
  <si>
    <t>Win 2, Loss 0</t>
  </si>
  <si>
    <t>Table Tennis</t>
  </si>
  <si>
    <t>Max Sets 5</t>
  </si>
  <si>
    <t>Sets Needed 3</t>
  </si>
  <si>
    <t>Tennis Short Format</t>
  </si>
  <si>
    <t>Volleyball Best of 5</t>
  </si>
  <si>
    <t>Team Key</t>
  </si>
  <si>
    <t>Pool No</t>
  </si>
  <si>
    <t>Pool</t>
  </si>
  <si>
    <t>Slot</t>
  </si>
  <si>
    <t>Team Name</t>
  </si>
  <si>
    <t>Active?</t>
  </si>
  <si>
    <t>A</t>
  </si>
  <si>
    <t>Pool A Team 1</t>
  </si>
  <si>
    <t>Pool A Team 2</t>
  </si>
  <si>
    <t>Pool A Team 3</t>
  </si>
  <si>
    <t>Pool A Team 4</t>
  </si>
  <si>
    <t>Pool A Team 5</t>
  </si>
  <si>
    <t>Pool A Team 6</t>
  </si>
  <si>
    <t>Pool A Team 7</t>
  </si>
  <si>
    <t>Pool A Team 8</t>
  </si>
  <si>
    <t>B</t>
  </si>
  <si>
    <t>Pool B Team 1</t>
  </si>
  <si>
    <t>Pool B Team 2</t>
  </si>
  <si>
    <t>Pool B Team 3</t>
  </si>
  <si>
    <t>Pool B Team 4</t>
  </si>
  <si>
    <t>Pool B Team 5</t>
  </si>
  <si>
    <t>Pool B Team 6</t>
  </si>
  <si>
    <t>Pool B Team 7</t>
  </si>
  <si>
    <t>Pool B Team 8</t>
  </si>
  <si>
    <t>C</t>
  </si>
  <si>
    <t>Pool C Team 1</t>
  </si>
  <si>
    <t>Pool C Team 2</t>
  </si>
  <si>
    <t>Pool C Team 3</t>
  </si>
  <si>
    <t>Pool C Team 4</t>
  </si>
  <si>
    <t>Pool C Team 5</t>
  </si>
  <si>
    <t>Pool C Team 6</t>
  </si>
  <si>
    <t>Pool C Team 7</t>
  </si>
  <si>
    <t>Pool C Team 8</t>
  </si>
  <si>
    <t>D</t>
  </si>
  <si>
    <t>Pool D Team 1</t>
  </si>
  <si>
    <t>Pool D Team 2</t>
  </si>
  <si>
    <t>Pool D Team 3</t>
  </si>
  <si>
    <t>Pool D Team 4</t>
  </si>
  <si>
    <t>Pool D Team 5</t>
  </si>
  <si>
    <t>Pool D Team 6</t>
  </si>
  <si>
    <t>Pool D Team 7</t>
  </si>
  <si>
    <t>Pool D Team 8</t>
  </si>
  <si>
    <t>E</t>
  </si>
  <si>
    <t>Pool E Team 1</t>
  </si>
  <si>
    <t>Pool E Team 2</t>
  </si>
  <si>
    <t>Pool E Team 3</t>
  </si>
  <si>
    <t>Pool E Team 4</t>
  </si>
  <si>
    <t>Pool E Team 5</t>
  </si>
  <si>
    <t>Pool E Team 6</t>
  </si>
  <si>
    <t>Pool E Team 7</t>
  </si>
  <si>
    <t>Pool E Team 8</t>
  </si>
  <si>
    <t>F</t>
  </si>
  <si>
    <t>Pool F Team 1</t>
  </si>
  <si>
    <t>Pool F Team 2</t>
  </si>
  <si>
    <t>Pool F Team 3</t>
  </si>
  <si>
    <t>Pool F Team 4</t>
  </si>
  <si>
    <t>Pool F Team 5</t>
  </si>
  <si>
    <t>Pool F Team 6</t>
  </si>
  <si>
    <t>Pool F Team 7</t>
  </si>
  <si>
    <t>Pool F Team 8</t>
  </si>
  <si>
    <t>G</t>
  </si>
  <si>
    <t>Pool G Team 1</t>
  </si>
  <si>
    <t>Pool G Team 2</t>
  </si>
  <si>
    <t>Pool G Team 3</t>
  </si>
  <si>
    <t>Pool G Team 4</t>
  </si>
  <si>
    <t>Pool G Team 5</t>
  </si>
  <si>
    <t>Pool G Team 6</t>
  </si>
  <si>
    <t>Pool G Team 7</t>
  </si>
  <si>
    <t>Pool G Team 8</t>
  </si>
  <si>
    <t>H</t>
  </si>
  <si>
    <t>Pool H Team 1</t>
  </si>
  <si>
    <t>Pool H Team 2</t>
  </si>
  <si>
    <t>Pool H Team 3</t>
  </si>
  <si>
    <t>Pool H Team 4</t>
  </si>
  <si>
    <t>Pool H Team 5</t>
  </si>
  <si>
    <t>Pool H Team 6</t>
  </si>
  <si>
    <t>Pool H Team 7</t>
  </si>
  <si>
    <t>Pool H Team 8</t>
  </si>
  <si>
    <t>MATCH ENTRY — SET SCORES</t>
  </si>
  <si>
    <t>Enter set/game scores only in the yellow cells. Active fixtures are packed together from Setup.</t>
  </si>
  <si>
    <t>Match</t>
  </si>
  <si>
    <t>Round</t>
  </si>
  <si>
    <t>Team 1</t>
  </si>
  <si>
    <t>Team 2</t>
  </si>
  <si>
    <t>S1 T1</t>
  </si>
  <si>
    <t>S1 T2</t>
  </si>
  <si>
    <t>S2 T1</t>
  </si>
  <si>
    <t>S2 T2</t>
  </si>
  <si>
    <t>S3 T1</t>
  </si>
  <si>
    <t>S3 T2</t>
  </si>
  <si>
    <t>S4 T1</t>
  </si>
  <si>
    <t>S4 T2</t>
  </si>
  <si>
    <t>S5 T1</t>
  </si>
  <si>
    <t>S5 T2</t>
  </si>
  <si>
    <t>Sets T1</t>
  </si>
  <si>
    <t>Sets T2</t>
  </si>
  <si>
    <t>Status</t>
  </si>
  <si>
    <t>Winner</t>
  </si>
  <si>
    <t>Match In Pool</t>
  </si>
  <si>
    <t>Slot 1</t>
  </si>
  <si>
    <t>Slot 2</t>
  </si>
  <si>
    <t>Set 1 T1</t>
  </si>
  <si>
    <t>Set 1 T2</t>
  </si>
  <si>
    <t>Set 2 T1</t>
  </si>
  <si>
    <t>Set 2 T2</t>
  </si>
  <si>
    <t>Set 3 T1</t>
  </si>
  <si>
    <t>Set 3 T2</t>
  </si>
  <si>
    <t>Set 4 T1</t>
  </si>
  <si>
    <t>Set 4 T2</t>
  </si>
  <si>
    <t>Set 5 T1</t>
  </si>
  <si>
    <t>Set 5 T2</t>
  </si>
  <si>
    <t>Pts/Games T1</t>
  </si>
  <si>
    <t>Pts/Games T2</t>
  </si>
  <si>
    <t>Complete</t>
  </si>
  <si>
    <t>T1 Match Pts</t>
  </si>
  <si>
    <t>T2 Match Pts</t>
  </si>
  <si>
    <t>T1 Key</t>
  </si>
  <si>
    <t>T2 Key</t>
  </si>
  <si>
    <t>Winner Key</t>
  </si>
  <si>
    <t>Team</t>
  </si>
  <si>
    <t>Played</t>
  </si>
  <si>
    <t>Wins</t>
  </si>
  <si>
    <t>Losses</t>
  </si>
  <si>
    <t>Sets For</t>
  </si>
  <si>
    <t>Sets Against</t>
  </si>
  <si>
    <t>Set Diff</t>
  </si>
  <si>
    <t>Pts/Games For</t>
  </si>
  <si>
    <t>Pts/Games Against</t>
  </si>
  <si>
    <t>Pts/Game Diff</t>
  </si>
  <si>
    <t>Match Points</t>
  </si>
  <si>
    <t>Sort Key</t>
  </si>
  <si>
    <t>Rank</t>
  </si>
  <si>
    <t>Rank Key</t>
  </si>
  <si>
    <t>Pos</t>
  </si>
  <si>
    <t>P</t>
  </si>
  <si>
    <t>W</t>
  </si>
  <si>
    <t>L</t>
  </si>
  <si>
    <t>SF</t>
  </si>
  <si>
    <t>SA</t>
  </si>
  <si>
    <t>SD</t>
  </si>
  <si>
    <t>PF/GF</t>
  </si>
  <si>
    <t>PA/GA</t>
  </si>
  <si>
    <t>PD/GD</t>
  </si>
  <si>
    <t>Pts</t>
  </si>
  <si>
    <t>Match Index</t>
  </si>
  <si>
    <t>Key</t>
  </si>
  <si>
    <t>COMPETITION RESULTS SUMMARY</t>
  </si>
  <si>
    <t>Print in landscape. Pool standings, pool results and finals results are consolidated here.</t>
  </si>
  <si>
    <t>Competition</t>
  </si>
  <si>
    <t>CHAMPION</t>
  </si>
  <si>
    <t>Pool Matches</t>
  </si>
  <si>
    <t>RUNNER-UP</t>
  </si>
  <si>
    <t>Completed</t>
  </si>
  <si>
    <t>Third Place</t>
  </si>
  <si>
    <t>Pool Stage</t>
  </si>
  <si>
    <t>Finals Format</t>
  </si>
  <si>
    <t>Finals Status</t>
  </si>
  <si>
    <t>POOL STANDINGS</t>
  </si>
  <si>
    <t>POOL MATCH RESULTS</t>
  </si>
  <si>
    <t>FINALS RESULTS</t>
  </si>
  <si>
    <t>Set Score</t>
  </si>
  <si>
    <t>Individual Sets</t>
  </si>
  <si>
    <t>Automatic finals support 2, 4, 8 or 16 finalists.</t>
  </si>
  <si>
    <t>Printable bracket supports 2, 4, 8 or 16 finalists.</t>
  </si>
  <si>
    <t>FINALS CONTROL — SET SCORES</t>
  </si>
  <si>
    <t>Finals</t>
  </si>
  <si>
    <t>Match Format</t>
  </si>
  <si>
    <t>Enter set/game scores in the yellow cells. Winners advance automatically when the required number of sets/games is reached.</t>
  </si>
  <si>
    <t>FINALS ELIMINATION BRACKET</t>
  </si>
  <si>
    <t>Print/display view — enter knockout set scores only on the Finals sheet.</t>
  </si>
  <si>
    <t>ROUND OF 16</t>
  </si>
  <si>
    <t>QUARTER-FINALS</t>
  </si>
  <si>
    <t>SEMI-FINALS</t>
  </si>
  <si>
    <t>FINAL</t>
  </si>
  <si>
    <t>R16 1</t>
  </si>
  <si>
    <t>QF 1</t>
  </si>
  <si>
    <t>R16 2</t>
  </si>
  <si>
    <t>SF 1</t>
  </si>
  <si>
    <t>R16 3</t>
  </si>
  <si>
    <t>QF 2</t>
  </si>
  <si>
    <t>R16 4</t>
  </si>
  <si>
    <t>R16 5</t>
  </si>
  <si>
    <t>QF 3</t>
  </si>
  <si>
    <t>R16 6</t>
  </si>
  <si>
    <t>SF 2</t>
  </si>
  <si>
    <t>R16 7</t>
  </si>
  <si>
    <t>QF 4</t>
  </si>
  <si>
    <t>R16 8</t>
  </si>
  <si>
    <t>DISPLAY SHEET — match numbering and bracket flow now follow the same sequential structure.</t>
  </si>
  <si>
    <r>
      <rPr>
        <b/>
        <sz val="11"/>
        <rFont val="Carlito"/>
      </rPr>
      <t>Important</t>
    </r>
    <r>
      <rPr>
        <sz val="11"/>
        <rFont val="Carlito"/>
      </rPr>
      <t>: finalise Setup before entering results. If the structure changes after scores are entered, clear affected Match Entry cells and re-enter those matches.</t>
    </r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</si>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</sst>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i/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sz val="8"/>
      <color rgb="FFBFBFBF"/>
      <name val="Carlito"/>
    </font>
    <font>
      <b/>
      <sz val="9"/>
      <color rgb="FFFFFFFF"/>
      <name val="Carlito"/>
    </font>
    <font>
      <sz val="9"/>
      <name val="Carlito"/>
    </font>
    <font>
      <b/>
      <sz val="18"/>
      <color rgb="FFFFFFFF"/>
      <name val="Carlito"/>
    </font>
    <font>
      <b/>
      <sz val="14"/>
      <name val="Carlito"/>
    </font>
    <font>
      <b/>
      <sz val="12"/>
      <color rgb="FFFFFFFF"/>
      <name val="Carlito"/>
    </font>
    <font>
      <sz val="14"/>
      <name val="Carlito"/>
    </font>
    <font>
      <i/>
      <sz val="11"/>
      <color rgb="FF595959"/>
      <name val="Carlito"/>
    </font>
    <font>
      <b/>
      <sz val="10"/>
      <color rgb="FF000000"/>
      <name val="Carlito"/>
    </font>
    <font>
      <sz val="10"/>
      <color rgb="FF000000"/>
      <name val="Carlito"/>
    </font>
    <font>
      <b/>
      <i/>
      <sz val="10"/>
      <color rgb="FF404040"/>
      <name val="Carlito"/>
    </font>
    <font>
      <b/>
      <sz val="10"/>
      <color rgb="FFFFFFFF"/>
      <name val="Carlito"/>
    </font>
    <font>
      <sz val="10"/>
      <color rgb="FF000000"/>
      <name val="Carlito"/>
    </font>
    <font>
      <sz val="9"/>
      <color indexed="81"/>
      <name val="Tahoma"/>
      <family val="2"/>
    </font>
  </fonts>
  <fills count="31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5E7E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D9EAD3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4472C4"/>
      </patternFill>
    </fill>
    <fill>
      <patternFill patternType="solid">
        <fgColor rgb="FF7F8C8D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4472C4"/>
      </patternFill>
    </fill>
  </fills>
  <borders count="3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1" fontId="4" fillId="2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8" borderId="0" xfId="0" applyFill="1"/>
    <xf numFmtId="0" fontId="0" fillId="7" borderId="0" xfId="0" applyFill="1" applyAlignment="1">
      <alignment vertical="center"/>
    </xf>
    <xf numFmtId="0" fontId="0" fillId="8" borderId="0" xfId="0" applyFill="1" applyAlignment="1">
      <alignment vertical="center"/>
    </xf>
    <xf numFmtId="0" fontId="2" fillId="8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0" fillId="10" borderId="0" xfId="0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12" borderId="0" xfId="0" applyFill="1"/>
    <xf numFmtId="0" fontId="4" fillId="7" borderId="0" xfId="0" applyFont="1" applyFill="1" applyAlignment="1">
      <alignment horizontal="right" vertical="center"/>
    </xf>
    <xf numFmtId="0" fontId="4" fillId="7" borderId="0" xfId="0" applyFont="1" applyFill="1" applyAlignment="1">
      <alignment horizontal="left" vertical="center"/>
    </xf>
    <xf numFmtId="0" fontId="6" fillId="12" borderId="0" xfId="0" applyFont="1" applyFill="1"/>
    <xf numFmtId="0" fontId="5" fillId="7" borderId="0" xfId="0" applyFont="1" applyFill="1" applyAlignment="1">
      <alignment vertical="center"/>
    </xf>
    <xf numFmtId="0" fontId="4" fillId="13" borderId="0" xfId="0" applyFont="1" applyFill="1" applyAlignment="1">
      <alignment horizontal="center" vertical="center" wrapText="1"/>
    </xf>
    <xf numFmtId="0" fontId="7" fillId="14" borderId="0" xfId="0" applyFont="1" applyFill="1" applyAlignment="1">
      <alignment horizontal="center" vertical="center"/>
    </xf>
    <xf numFmtId="0" fontId="7" fillId="1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1" fontId="8" fillId="11" borderId="1" xfId="0" applyNumberFormat="1" applyFont="1" applyFill="1" applyBorder="1" applyAlignment="1">
      <alignment horizontal="center"/>
    </xf>
    <xf numFmtId="1" fontId="8" fillId="11" borderId="2" xfId="0" applyNumberFormat="1" applyFont="1" applyFill="1" applyBorder="1" applyAlignment="1">
      <alignment horizontal="center"/>
    </xf>
    <xf numFmtId="1" fontId="8" fillId="0" borderId="0" xfId="0" applyNumberFormat="1" applyFont="1"/>
    <xf numFmtId="1" fontId="8" fillId="11" borderId="3" xfId="0" applyNumberFormat="1" applyFont="1" applyFill="1" applyBorder="1" applyAlignment="1">
      <alignment horizontal="center"/>
    </xf>
    <xf numFmtId="1" fontId="8" fillId="11" borderId="4" xfId="0" applyNumberFormat="1" applyFont="1" applyFill="1" applyBorder="1" applyAlignment="1">
      <alignment horizontal="center"/>
    </xf>
    <xf numFmtId="1" fontId="8" fillId="11" borderId="5" xfId="0" applyNumberFormat="1" applyFont="1" applyFill="1" applyBorder="1" applyAlignment="1">
      <alignment horizontal="center"/>
    </xf>
    <xf numFmtId="1" fontId="8" fillId="11" borderId="6" xfId="0" applyNumberFormat="1" applyFont="1" applyFill="1" applyBorder="1" applyAlignment="1">
      <alignment horizontal="center"/>
    </xf>
    <xf numFmtId="0" fontId="2" fillId="8" borderId="0" xfId="0" applyFont="1" applyFill="1"/>
    <xf numFmtId="0" fontId="4" fillId="13" borderId="0" xfId="0" applyFont="1" applyFill="1" applyAlignment="1">
      <alignment vertical="center" wrapText="1"/>
    </xf>
    <xf numFmtId="9" fontId="0" fillId="0" borderId="0" xfId="0" applyNumberFormat="1" applyAlignment="1">
      <alignment vertical="center" wrapText="1"/>
    </xf>
    <xf numFmtId="0" fontId="0" fillId="13" borderId="0" xfId="0" applyFill="1" applyAlignment="1">
      <alignment vertical="center" wrapText="1"/>
    </xf>
    <xf numFmtId="0" fontId="9" fillId="15" borderId="0" xfId="0" applyFont="1" applyFill="1" applyAlignment="1">
      <alignment vertical="center"/>
    </xf>
    <xf numFmtId="0" fontId="0" fillId="16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2" fillId="16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11" fillId="18" borderId="0" xfId="0" applyFont="1" applyFill="1" applyAlignment="1">
      <alignment vertical="center"/>
    </xf>
    <xf numFmtId="0" fontId="0" fillId="15" borderId="0" xfId="0" applyFill="1" applyAlignment="1">
      <alignment vertical="center" wrapText="1"/>
    </xf>
    <xf numFmtId="0" fontId="0" fillId="16" borderId="0" xfId="0" applyFill="1" applyAlignment="1">
      <alignment vertical="center" wrapText="1"/>
    </xf>
    <xf numFmtId="0" fontId="2" fillId="16" borderId="0" xfId="0" applyFont="1" applyFill="1" applyAlignment="1">
      <alignment vertical="center" wrapText="1"/>
    </xf>
    <xf numFmtId="0" fontId="0" fillId="17" borderId="0" xfId="0" applyFill="1" applyAlignment="1">
      <alignment vertical="center" wrapText="1"/>
    </xf>
    <xf numFmtId="0" fontId="0" fillId="18" borderId="0" xfId="0" applyFill="1" applyAlignment="1">
      <alignment vertical="center" wrapText="1"/>
    </xf>
    <xf numFmtId="0" fontId="11" fillId="18" borderId="0" xfId="0" applyFont="1" applyFill="1" applyAlignment="1">
      <alignment vertical="center" wrapText="1"/>
    </xf>
    <xf numFmtId="0" fontId="0" fillId="19" borderId="0" xfId="0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10" borderId="0" xfId="0" applyFill="1" applyAlignment="1">
      <alignment horizontal="center" vertical="center" wrapText="1"/>
    </xf>
    <xf numFmtId="0" fontId="0" fillId="12" borderId="0" xfId="0" applyFill="1" applyAlignment="1">
      <alignment horizontal="left"/>
    </xf>
    <xf numFmtId="0" fontId="0" fillId="0" borderId="0" xfId="0" applyAlignment="1">
      <alignment horizontal="left"/>
    </xf>
    <xf numFmtId="0" fontId="0" fillId="12" borderId="0" xfId="0" applyFill="1" applyAlignment="1">
      <alignment horizontal="right"/>
    </xf>
    <xf numFmtId="0" fontId="0" fillId="0" borderId="0" xfId="0" applyAlignment="1">
      <alignment horizontal="right"/>
    </xf>
    <xf numFmtId="0" fontId="4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9" borderId="9" xfId="0" applyFill="1" applyBorder="1" applyAlignment="1">
      <alignment horizontal="center"/>
    </xf>
    <xf numFmtId="0" fontId="0" fillId="7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9" borderId="0" xfId="0" applyFill="1" applyAlignment="1">
      <alignment vertical="center"/>
    </xf>
    <xf numFmtId="0" fontId="0" fillId="20" borderId="0" xfId="0" applyFill="1" applyAlignment="1">
      <alignment vertical="center"/>
    </xf>
    <xf numFmtId="0" fontId="2" fillId="20" borderId="0" xfId="0" applyFont="1" applyFill="1" applyAlignment="1">
      <alignment vertical="center"/>
    </xf>
    <xf numFmtId="0" fontId="13" fillId="20" borderId="0" xfId="0" applyFont="1" applyFill="1" applyAlignment="1">
      <alignment vertical="center"/>
    </xf>
    <xf numFmtId="0" fontId="0" fillId="21" borderId="0" xfId="0" applyFill="1" applyAlignment="1">
      <alignment vertical="center"/>
    </xf>
    <xf numFmtId="0" fontId="9" fillId="21" borderId="0" xfId="0" applyFont="1" applyFill="1" applyAlignment="1">
      <alignment vertical="center"/>
    </xf>
    <xf numFmtId="0" fontId="0" fillId="22" borderId="0" xfId="0" applyFill="1" applyAlignment="1">
      <alignment vertical="center"/>
    </xf>
    <xf numFmtId="0" fontId="2" fillId="22" borderId="0" xfId="0" applyFont="1" applyFill="1" applyAlignment="1">
      <alignment vertical="center"/>
    </xf>
    <xf numFmtId="0" fontId="4" fillId="23" borderId="0" xfId="0" applyFont="1" applyFill="1" applyAlignment="1">
      <alignment horizontal="center" vertical="center"/>
    </xf>
    <xf numFmtId="0" fontId="2" fillId="22" borderId="17" xfId="0" applyFont="1" applyFill="1" applyBorder="1" applyAlignment="1">
      <alignment vertical="center"/>
    </xf>
    <xf numFmtId="0" fontId="0" fillId="22" borderId="18" xfId="0" applyFill="1" applyBorder="1" applyAlignment="1">
      <alignment vertical="center"/>
    </xf>
    <xf numFmtId="0" fontId="0" fillId="22" borderId="19" xfId="0" applyFill="1" applyBorder="1" applyAlignment="1">
      <alignment vertical="center"/>
    </xf>
    <xf numFmtId="0" fontId="0" fillId="20" borderId="17" xfId="0" applyFill="1" applyBorder="1" applyAlignment="1">
      <alignment vertical="center"/>
    </xf>
    <xf numFmtId="0" fontId="0" fillId="20" borderId="18" xfId="0" applyFill="1" applyBorder="1" applyAlignment="1">
      <alignment vertical="center"/>
    </xf>
    <xf numFmtId="0" fontId="0" fillId="20" borderId="19" xfId="0" applyFill="1" applyBorder="1" applyAlignment="1">
      <alignment horizontal="center" vertical="center"/>
    </xf>
    <xf numFmtId="0" fontId="0" fillId="24" borderId="0" xfId="0" applyFill="1" applyAlignment="1">
      <alignment vertical="center"/>
    </xf>
    <xf numFmtId="0" fontId="2" fillId="24" borderId="20" xfId="0" applyFont="1" applyFill="1" applyBorder="1" applyAlignment="1">
      <alignment vertical="center"/>
    </xf>
    <xf numFmtId="0" fontId="0" fillId="24" borderId="21" xfId="0" applyFill="1" applyBorder="1" applyAlignment="1">
      <alignment vertical="center"/>
    </xf>
    <xf numFmtId="0" fontId="0" fillId="24" borderId="22" xfId="0" applyFill="1" applyBorder="1" applyAlignment="1">
      <alignment vertical="center"/>
    </xf>
    <xf numFmtId="0" fontId="0" fillId="24" borderId="23" xfId="0" applyFill="1" applyBorder="1" applyAlignment="1">
      <alignment vertical="center"/>
    </xf>
    <xf numFmtId="0" fontId="0" fillId="24" borderId="24" xfId="0" applyFill="1" applyBorder="1" applyAlignment="1">
      <alignment vertical="center"/>
    </xf>
    <xf numFmtId="0" fontId="0" fillId="24" borderId="25" xfId="0" applyFill="1" applyBorder="1" applyAlignment="1">
      <alignment vertical="center"/>
    </xf>
    <xf numFmtId="0" fontId="0" fillId="24" borderId="26" xfId="0" applyFill="1" applyBorder="1" applyAlignment="1">
      <alignment vertical="center"/>
    </xf>
    <xf numFmtId="0" fontId="0" fillId="20" borderId="27" xfId="0" applyFill="1" applyBorder="1" applyAlignment="1">
      <alignment vertical="center"/>
    </xf>
    <xf numFmtId="0" fontId="0" fillId="20" borderId="28" xfId="0" applyFill="1" applyBorder="1" applyAlignment="1">
      <alignment vertical="center"/>
    </xf>
    <xf numFmtId="0" fontId="0" fillId="20" borderId="29" xfId="0" applyFill="1" applyBorder="1" applyAlignment="1">
      <alignment vertical="center"/>
    </xf>
    <xf numFmtId="0" fontId="0" fillId="20" borderId="30" xfId="0" applyFill="1" applyBorder="1" applyAlignment="1">
      <alignment vertical="center"/>
    </xf>
    <xf numFmtId="0" fontId="0" fillId="24" borderId="31" xfId="0" applyFill="1" applyBorder="1" applyAlignment="1">
      <alignment vertical="center"/>
    </xf>
    <xf numFmtId="0" fontId="0" fillId="25" borderId="0" xfId="0" applyFill="1" applyAlignment="1">
      <alignment vertical="center"/>
    </xf>
    <xf numFmtId="0" fontId="13" fillId="25" borderId="0" xfId="0" applyFont="1" applyFill="1" applyAlignment="1">
      <alignment vertical="center"/>
    </xf>
    <xf numFmtId="0" fontId="15" fillId="26" borderId="0" xfId="0" applyFont="1" applyFill="1" applyAlignment="1">
      <alignment vertical="center" wrapText="1"/>
    </xf>
    <xf numFmtId="0" fontId="15" fillId="27" borderId="0" xfId="0" applyFont="1" applyFill="1" applyAlignment="1">
      <alignment vertical="center" wrapText="1"/>
    </xf>
    <xf numFmtId="0" fontId="14" fillId="28" borderId="0" xfId="0" applyFont="1" applyFill="1" applyAlignment="1">
      <alignment vertical="center" wrapText="1"/>
    </xf>
    <xf numFmtId="0" fontId="15" fillId="29" borderId="0" xfId="0" applyFont="1" applyFill="1" applyAlignment="1">
      <alignment vertical="center" wrapText="1"/>
    </xf>
    <xf numFmtId="0" fontId="17" fillId="30" borderId="0" xfId="0" applyFont="1" applyFill="1" applyAlignment="1">
      <alignment horizontal="center" vertical="center" wrapText="1"/>
    </xf>
    <xf numFmtId="0" fontId="18" fillId="12" borderId="32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18" fillId="12" borderId="32" xfId="0" applyFont="1" applyFill="1" applyBorder="1" applyAlignment="1">
      <alignment horizontal="left" vertical="center" wrapText="1"/>
    </xf>
    <xf numFmtId="0" fontId="18" fillId="12" borderId="0" xfId="0" applyFont="1" applyFill="1" applyAlignment="1">
      <alignment horizontal="left" vertical="center" wrapText="1"/>
    </xf>
    <xf numFmtId="0" fontId="9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 wrapText="1"/>
    </xf>
    <xf numFmtId="0" fontId="0" fillId="8" borderId="0" xfId="0" applyFill="1" applyAlignment="1">
      <alignment vertical="center" wrapText="1"/>
    </xf>
    <xf numFmtId="0" fontId="5" fillId="7" borderId="0" xfId="0" applyFont="1" applyFill="1" applyAlignment="1">
      <alignment horizontal="center"/>
    </xf>
    <xf numFmtId="0" fontId="0" fillId="7" borderId="0" xfId="0" applyFill="1"/>
    <xf numFmtId="1" fontId="2" fillId="6" borderId="0" xfId="0" applyNumberFormat="1" applyFont="1" applyFill="1" applyAlignment="1">
      <alignment horizontal="center"/>
    </xf>
    <xf numFmtId="1" fontId="0" fillId="0" borderId="0" xfId="0" applyNumberFormat="1"/>
    <xf numFmtId="0" fontId="5" fillId="27" borderId="0" xfId="0" applyFont="1" applyFill="1" applyAlignment="1">
      <alignment horizontal="left" vertical="center" wrapText="1"/>
    </xf>
    <xf numFmtId="0" fontId="15" fillId="27" borderId="0" xfId="0" applyFont="1" applyFill="1" applyAlignment="1">
      <alignment vertical="center" wrapText="1"/>
    </xf>
    <xf numFmtId="0" fontId="16" fillId="29" borderId="0" xfId="0" applyFont="1" applyFill="1" applyAlignment="1">
      <alignment horizontal="center" vertical="center" wrapText="1"/>
    </xf>
    <xf numFmtId="0" fontId="15" fillId="29" borderId="0" xfId="0" applyFont="1" applyFill="1" applyAlignment="1">
      <alignment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1" fillId="30" borderId="0" xfId="0" applyFont="1" applyFill="1" applyAlignment="1">
      <alignment horizontal="left" vertical="center" wrapText="1"/>
    </xf>
    <xf numFmtId="0" fontId="18" fillId="9" borderId="10" xfId="0" applyFont="1" applyFill="1" applyBorder="1" applyAlignment="1">
      <alignment horizontal="center" vertical="center" wrapText="1"/>
    </xf>
    <xf numFmtId="0" fontId="18" fillId="9" borderId="11" xfId="0" applyFont="1" applyFill="1" applyBorder="1" applyAlignment="1">
      <alignment horizontal="center" vertical="center" wrapText="1"/>
    </xf>
    <xf numFmtId="0" fontId="18" fillId="9" borderId="12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18" fillId="9" borderId="14" xfId="0" applyFont="1" applyFill="1" applyBorder="1" applyAlignment="1">
      <alignment horizontal="center" vertical="center" wrapText="1"/>
    </xf>
    <xf numFmtId="0" fontId="18" fillId="9" borderId="15" xfId="0" applyFont="1" applyFill="1" applyBorder="1" applyAlignment="1">
      <alignment horizontal="center" vertical="center" wrapText="1"/>
    </xf>
    <xf numFmtId="0" fontId="18" fillId="9" borderId="33" xfId="0" applyFont="1" applyFill="1" applyBorder="1" applyAlignment="1">
      <alignment horizontal="center" vertical="center" wrapText="1"/>
    </xf>
    <xf numFmtId="0" fontId="18" fillId="9" borderId="34" xfId="0" applyFont="1" applyFill="1" applyBorder="1" applyAlignment="1">
      <alignment horizontal="center" vertical="center" wrapText="1"/>
    </xf>
    <xf numFmtId="0" fontId="10" fillId="17" borderId="0" xfId="0" applyFont="1" applyFill="1" applyAlignment="1">
      <alignment vertical="center"/>
    </xf>
  </cellXfs>
  <cellStyles count="1">
    <cellStyle name="Normal" xfId="0" builtinId="0"/>
  </cellStyles>
  <dxfs count="15">
    <dxf>
      <font>
        <color rgb="FF000000"/>
      </font>
      <fill>
        <patternFill>
          <bgColor rgb="FFFFF2CC"/>
        </patternFill>
      </fill>
    </dxf>
    <dxf>
      <font>
        <color rgb="FFA6A6A6"/>
      </font>
      <fill>
        <patternFill>
          <bgColor rgb="FFF2F2F2"/>
        </patternFill>
      </fill>
    </dxf>
    <dxf>
      <font>
        <color rgb="FFA6A6A6"/>
      </font>
      <fill>
        <patternFill patternType="solid">
          <bgColor rgb="FFF2F2F2"/>
        </patternFill>
      </fill>
    </dxf>
    <dxf>
      <font>
        <color rgb="FFA6A6A6"/>
      </font>
      <fill>
        <patternFill>
          <bgColor rgb="FFF2F2F2"/>
        </patternFill>
      </fill>
    </dxf>
    <dxf>
      <font>
        <color rgb="FFA6A6A6"/>
      </font>
      <fill>
        <patternFill patternType="solid">
          <bgColor rgb="FFF2F2F2"/>
        </patternFill>
      </fill>
    </dxf>
    <dxf>
      <font>
        <color rgb="FFA6A6A6"/>
      </font>
      <fill>
        <patternFill>
          <bgColor rgb="FFF2F2F2"/>
        </patternFill>
      </fill>
    </dxf>
    <dxf>
      <font>
        <color rgb="FFA6A6A6"/>
      </font>
      <fill>
        <patternFill patternType="solid">
          <bgColor rgb="FFF2F2F2"/>
        </patternFill>
      </fill>
    </dxf>
    <dxf>
      <font>
        <color rgb="FFA6A6A6"/>
      </font>
      <fill>
        <patternFill patternType="solid">
          <bgColor rgb="FFF2F2F2"/>
        </patternFill>
      </fill>
    </dxf>
    <dxf>
      <font>
        <color rgb="FFA6A6A6"/>
      </font>
      <fill>
        <patternFill>
          <bgColor rgb="FFF2F2F2"/>
        </patternFill>
      </fill>
    </dxf>
    <dxf>
      <font>
        <color rgb="FFBFBFBF"/>
      </font>
      <fill>
        <patternFill>
          <bgColor rgb="FFF2F2F2"/>
        </patternFill>
      </fill>
    </dxf>
    <dxf>
      <font>
        <color rgb="FFA6A6A6"/>
      </font>
      <fill>
        <patternFill patternType="solid">
          <bgColor rgb="FFF2F2F2"/>
        </patternFill>
      </fill>
    </dxf>
    <dxf>
      <font>
        <color rgb="FFA6A6A6"/>
      </font>
      <fill>
        <patternFill>
          <bgColor rgb="FFF2F2F2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000000"/>
      </font>
      <fill>
        <patternFill>
          <bgColor rgb="FFFFF2CC"/>
        </patternFill>
      </fill>
    </dxf>
    <dxf>
      <font>
        <color rgb="FFBFBFBF"/>
      </font>
      <fill>
        <patternFill>
          <bgColor rgb="FFF2F2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ian Minikin" id="{15AE8EE3-3CDB-4836-98D4-92995B633712}" userId="2e654ef7bbbcd4d0" providerId="Windows Live"/>
</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" dT="2026-08-28T08:02:52.18" personId="{15AE8EE3-3CDB-4836-98D4-92995B633712}" id="{C64FD27E-1535-4805-B2DC-32D520DB733F}">
    <text>Enter name of the competition</text>
  </threadedComment>
  <threadedComment ref="B4" dT="2026-08-28T08:03:09.87" personId="{15AE8EE3-3CDB-4836-98D4-92995B633712}" id="{802D4041-38F2-439E-B864-06B97DAA7D33}">
    <text>Choose your sport</text>
  </threadedComment>
  <threadedComment ref="B5" dT="2026-08-28T08:03:32.53" personId="{15AE8EE3-3CDB-4836-98D4-92995B633712}" id="{B01A71C3-15AA-49C6-A673-FE10167AB083}">
    <text>Enter number of pools up to 8</text>
  </threadedComment>
  <threadedComment ref="B6" dT="2026-08-28T08:03:53.23" personId="{15AE8EE3-3CDB-4836-98D4-92995B633712}" id="{3E395046-BB1D-4ACF-A294-BAC48BCB7AA3}">
    <text>Enter number of teams per pool up to 8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opLeftCell="A14" workbookViewId="0">
      <selection activeCell="B31" sqref="B31"/>
    </sheetView>
  </sheetViews>
  <sheetFormatPr defaultRowHeight="14.25"/>
  <cols>
    <col min="1" max="1" width="26" customWidth="1"/>
    <col min="2" max="2" width="3" customWidth="1"/>
    <col min="3" max="4" width="24" customWidth="1"/>
    <col min="5" max="5" width="18" customWidth="1"/>
    <col min="6" max="6" width="26" customWidth="1"/>
    <col min="7" max="7" width="12.625" customWidth="1"/>
  </cols>
  <sheetData>
    <row r="1" spans="1:8" ht="24" customHeight="1">
      <c r="A1" s="109" t="s">
        <v>0</v>
      </c>
      <c r="B1" s="110"/>
      <c r="C1" s="110"/>
      <c r="D1" s="110"/>
      <c r="E1" s="110"/>
      <c r="F1" s="110"/>
      <c r="G1" s="110"/>
      <c r="H1" s="111"/>
    </row>
    <row r="2" spans="1:8">
      <c r="A2" s="12"/>
      <c r="B2" s="12"/>
      <c r="C2" s="12"/>
      <c r="D2" s="12"/>
      <c r="E2" s="12"/>
      <c r="F2" s="12"/>
      <c r="G2" s="12"/>
    </row>
    <row r="3" spans="1:8" ht="75">
      <c r="A3" s="10" t="s">
        <v>1</v>
      </c>
      <c r="B3" s="15"/>
      <c r="C3" s="15"/>
      <c r="D3" s="15"/>
      <c r="E3" s="15"/>
      <c r="F3" s="15"/>
      <c r="G3" s="15"/>
    </row>
    <row r="4" spans="1:8" ht="15">
      <c r="A4" s="16"/>
      <c r="B4" s="12"/>
      <c r="C4" s="12"/>
      <c r="D4" s="12"/>
      <c r="E4" s="12"/>
      <c r="F4" s="12"/>
      <c r="G4" s="12"/>
    </row>
    <row r="5" spans="1:8" ht="30">
      <c r="A5" s="39" t="s">
        <v>2</v>
      </c>
      <c r="B5" s="39"/>
      <c r="C5" s="39" t="s">
        <v>3</v>
      </c>
      <c r="D5" s="39"/>
      <c r="E5" s="39" t="s">
        <v>4</v>
      </c>
      <c r="F5" s="39"/>
      <c r="G5" s="39" t="s">
        <v>5</v>
      </c>
    </row>
    <row r="6" spans="1:8" ht="15">
      <c r="A6" s="16" t="str">
        <f>Setup!B3</f>
        <v>Set Score Tournament</v>
      </c>
      <c r="B6" s="12"/>
      <c r="C6" s="12" t="str">
        <f>Setup!B5&amp;" Pools × "&amp;Setup!B6&amp;" Teams"</f>
        <v xml:space="preserve"> Pools ×  Teams</v>
      </c>
      <c r="D6" s="12"/>
      <c r="E6" s="6">
        <f>Setup!B5*Setup!B13</f>
        <v>0</v>
      </c>
      <c r="F6" s="12"/>
      <c r="G6" s="6">
        <f>COUNTIF(Scores!$X$2:$X$225,1)</f>
        <v>0</v>
      </c>
    </row>
    <row r="7" spans="1:8" ht="15">
      <c r="A7" s="16"/>
      <c r="B7" s="12"/>
      <c r="C7" s="12"/>
      <c r="D7" s="12"/>
      <c r="E7" s="12"/>
      <c r="F7" s="12"/>
      <c r="G7" s="12"/>
    </row>
    <row r="8" spans="1:8" ht="15">
      <c r="A8" s="10" t="s">
        <v>6</v>
      </c>
      <c r="B8" s="15"/>
      <c r="C8" s="15"/>
      <c r="D8" s="15"/>
      <c r="E8" s="15"/>
      <c r="F8" s="15"/>
      <c r="G8" s="15"/>
    </row>
    <row r="9" spans="1:8" ht="18">
      <c r="A9" s="16" t="s">
        <v>7</v>
      </c>
      <c r="B9" s="12"/>
      <c r="C9" s="40">
        <f>IF(E6=0,0,G6/E6)</f>
        <v>0</v>
      </c>
      <c r="D9" s="12"/>
      <c r="E9" s="55" t="str">
        <f>REPT("■",ROUND(C9*10,0))&amp;REPT("□",10-ROUND(C9*10,0))</f>
        <v>□□□□□□□□□□</v>
      </c>
      <c r="F9" s="12"/>
      <c r="G9" s="12"/>
    </row>
    <row r="10" spans="1:8" ht="15">
      <c r="A10" s="16"/>
      <c r="B10" s="12"/>
      <c r="C10" s="12"/>
      <c r="D10" s="12"/>
      <c r="E10" s="12"/>
      <c r="F10" s="12"/>
      <c r="G10" s="12"/>
    </row>
    <row r="11" spans="1:8" ht="15">
      <c r="A11" s="10" t="s">
        <v>8</v>
      </c>
      <c r="B11" s="15"/>
      <c r="C11" s="15"/>
      <c r="D11" s="15"/>
      <c r="E11" s="15"/>
      <c r="F11" s="15"/>
      <c r="G11" s="15"/>
    </row>
    <row r="12" spans="1:8">
      <c r="A12" s="112" t="s">
        <v>9</v>
      </c>
      <c r="B12" s="113"/>
      <c r="C12" s="113" t="str">
        <f>IF(G6&lt;E6,"Pool stage",IF(Setup!E3="No Finals","Competition complete",IF(Finals!R26="Complete","Competition complete","Finals")))</f>
        <v>Finals</v>
      </c>
      <c r="D12" s="113"/>
      <c r="E12" s="113"/>
      <c r="F12" s="113"/>
      <c r="G12" s="113"/>
      <c r="H12" s="111"/>
    </row>
    <row r="13" spans="1:8" ht="28.5">
      <c r="A13" s="12" t="s">
        <v>10</v>
      </c>
      <c r="B13" s="12"/>
      <c r="C13" s="12" t="str">
        <f>IF(G6&lt;E6,"Enter the next match result in Match Entry",IF(Setup!E3="No Finals","Print the Competition Summary","Review Finals and enter knockout results"))</f>
        <v>Review Finals and enter knockout results</v>
      </c>
      <c r="D13" s="12"/>
      <c r="E13" s="12"/>
      <c r="F13" s="12"/>
      <c r="G13" s="12"/>
    </row>
    <row r="14" spans="1:8">
      <c r="A14" s="12"/>
      <c r="B14" s="12"/>
      <c r="C14" s="12"/>
      <c r="D14" s="12"/>
      <c r="E14" s="12"/>
      <c r="F14" s="12"/>
      <c r="G14" s="12"/>
    </row>
    <row r="15" spans="1:8" ht="30">
      <c r="A15" s="39" t="s">
        <v>11</v>
      </c>
      <c r="B15" s="41"/>
      <c r="C15" s="41"/>
      <c r="D15" s="41"/>
      <c r="E15" s="41"/>
      <c r="F15" s="41"/>
      <c r="G15" s="41"/>
    </row>
    <row r="16" spans="1:8">
      <c r="A16" s="12" t="s">
        <v>12</v>
      </c>
      <c r="B16" s="12"/>
      <c r="C16" s="12"/>
      <c r="D16" s="12" t="s">
        <v>13</v>
      </c>
      <c r="E16" s="12"/>
      <c r="F16" s="12" t="s">
        <v>14</v>
      </c>
      <c r="G16" s="12"/>
    </row>
    <row r="17" spans="1:7">
      <c r="A17" s="12" t="s">
        <v>15</v>
      </c>
      <c r="B17" s="12"/>
      <c r="C17" s="12"/>
      <c r="D17" s="12" t="s">
        <v>16</v>
      </c>
      <c r="E17" s="12"/>
      <c r="F17" s="12" t="s">
        <v>17</v>
      </c>
      <c r="G17" s="12"/>
    </row>
    <row r="18" spans="1:7">
      <c r="A18" s="12" t="s">
        <v>18</v>
      </c>
      <c r="B18" s="12"/>
      <c r="C18" s="12"/>
      <c r="D18" s="12" t="s">
        <v>19</v>
      </c>
      <c r="E18" s="12"/>
      <c r="F18" s="12" t="s">
        <v>20</v>
      </c>
      <c r="G18" s="12"/>
    </row>
    <row r="19" spans="1:7">
      <c r="A19" s="12" t="s">
        <v>21</v>
      </c>
      <c r="B19" s="12"/>
      <c r="C19" s="12"/>
      <c r="D19" s="12" t="s">
        <v>22</v>
      </c>
      <c r="E19" s="12"/>
      <c r="F19" s="12" t="s">
        <v>23</v>
      </c>
      <c r="G19" s="12"/>
    </row>
    <row r="20" spans="1:7">
      <c r="A20" s="12" t="s">
        <v>24</v>
      </c>
      <c r="B20" s="12"/>
      <c r="C20" s="12"/>
      <c r="D20" s="12" t="s">
        <v>25</v>
      </c>
      <c r="E20" s="12"/>
      <c r="F20" s="12" t="s">
        <v>26</v>
      </c>
      <c r="G20" s="12"/>
    </row>
    <row r="21" spans="1:7">
      <c r="A21" s="12"/>
      <c r="B21" s="12"/>
      <c r="C21" s="12"/>
      <c r="D21" s="12"/>
      <c r="E21" s="12"/>
      <c r="F21" s="12"/>
      <c r="G21" s="12"/>
    </row>
    <row r="22" spans="1:7" ht="30">
      <c r="A22" s="10" t="s">
        <v>27</v>
      </c>
      <c r="B22" s="15"/>
      <c r="C22" s="15"/>
      <c r="D22" s="15"/>
      <c r="E22" s="15"/>
      <c r="F22" s="15"/>
      <c r="G22" s="15"/>
    </row>
    <row r="23" spans="1:7">
      <c r="A23" s="12" t="s">
        <v>28</v>
      </c>
      <c r="B23" s="12"/>
      <c r="C23" s="12"/>
      <c r="D23" s="12" t="s">
        <v>29</v>
      </c>
      <c r="E23" s="12"/>
      <c r="F23" s="12" t="s">
        <v>30</v>
      </c>
      <c r="G23" s="12"/>
    </row>
    <row r="24" spans="1:7">
      <c r="A24" s="12" t="s">
        <v>31</v>
      </c>
      <c r="B24" s="12"/>
      <c r="C24" s="12"/>
      <c r="D24" s="12" t="s">
        <v>32</v>
      </c>
      <c r="E24" s="12"/>
      <c r="F24" s="12" t="s">
        <v>33</v>
      </c>
      <c r="G24" s="12"/>
    </row>
    <row r="25" spans="1:7">
      <c r="A25" s="12"/>
      <c r="B25" s="12"/>
      <c r="C25" s="12"/>
      <c r="D25" s="12"/>
      <c r="E25" s="12"/>
      <c r="F25" s="12"/>
      <c r="G25" s="12"/>
    </row>
    <row r="26" spans="1:7" ht="15">
      <c r="A26" s="70" t="s">
        <v>259</v>
      </c>
      <c r="B26" s="17"/>
      <c r="C26" s="17"/>
      <c r="D26" s="17"/>
      <c r="E26" s="17"/>
      <c r="F26" s="17"/>
      <c r="G26" s="17"/>
    </row>
    <row r="27" spans="1:7">
      <c r="A27" s="17"/>
      <c r="B27" s="17"/>
      <c r="C27" s="17"/>
      <c r="D27" s="17"/>
      <c r="E27" s="17"/>
      <c r="F27" s="17"/>
      <c r="G27" s="17"/>
    </row>
  </sheetData>
  <mergeCells count="2">
    <mergeCell ref="A1:H1"/>
    <mergeCell ref="A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showGridLines="0" tabSelected="1" topLeftCell="A2" workbookViewId="0">
      <selection activeCell="B5" sqref="B5"/>
    </sheetView>
  </sheetViews>
  <sheetFormatPr defaultRowHeight="14.25"/>
  <cols>
    <col min="1" max="1" width="29" customWidth="1"/>
    <col min="2" max="2" width="31" customWidth="1"/>
    <col min="3" max="3" width="13.375" customWidth="1"/>
    <col min="4" max="4" width="28" customWidth="1"/>
    <col min="5" max="5" width="34" customWidth="1"/>
    <col min="6" max="6" width="8" customWidth="1"/>
  </cols>
  <sheetData>
    <row r="1" spans="1:6" ht="24" customHeight="1">
      <c r="A1" s="114" t="s">
        <v>34</v>
      </c>
      <c r="B1" s="110"/>
      <c r="C1" s="110"/>
      <c r="D1" s="115" t="s">
        <v>35</v>
      </c>
      <c r="E1" s="14"/>
      <c r="F1" s="14"/>
    </row>
    <row r="2" spans="1:6" ht="42.75">
      <c r="A2" s="15" t="s">
        <v>36</v>
      </c>
      <c r="B2" s="15"/>
      <c r="C2" s="15"/>
      <c r="D2" s="15" t="s">
        <v>37</v>
      </c>
      <c r="E2" s="15"/>
      <c r="F2" s="15"/>
    </row>
    <row r="3" spans="1:6" ht="26.25" customHeight="1">
      <c r="A3" s="16" t="s">
        <v>38</v>
      </c>
      <c r="B3" s="126" t="s">
        <v>39</v>
      </c>
      <c r="C3" s="18" t="s">
        <v>40</v>
      </c>
      <c r="D3" s="10" t="s">
        <v>41</v>
      </c>
      <c r="E3" s="17" t="s">
        <v>42</v>
      </c>
      <c r="F3" s="12"/>
    </row>
    <row r="4" spans="1:6" ht="26.25" customHeight="1">
      <c r="A4" s="16" t="s">
        <v>43</v>
      </c>
      <c r="B4" s="126" t="s">
        <v>44</v>
      </c>
      <c r="C4" s="18" t="s">
        <v>40</v>
      </c>
      <c r="D4" s="10" t="s">
        <v>45</v>
      </c>
      <c r="E4" s="56">
        <f>IF(E3="No Finals",0,$B$5*$B$12)</f>
        <v>0</v>
      </c>
      <c r="F4" s="12"/>
    </row>
    <row r="5" spans="1:6" ht="26.25" customHeight="1">
      <c r="A5" s="16" t="s">
        <v>46</v>
      </c>
      <c r="B5" s="127"/>
      <c r="C5" s="18" t="s">
        <v>47</v>
      </c>
      <c r="D5" s="10" t="s">
        <v>48</v>
      </c>
      <c r="E5" s="19" t="str">
        <f>IF(E3="No Finals","No Finals",IF(E4=2,"Final",IF(E4=4,"Semi-finals + Final",IF(E4=8,"Quarter-finals + Semi-finals + Final",IF(E4=16,"Round of 16 + Quarter-finals + Semi-finals + Final","Manual finals required")))))</f>
        <v>Manual finals required</v>
      </c>
      <c r="F5" s="12"/>
    </row>
    <row r="6" spans="1:6" ht="26.25" customHeight="1">
      <c r="A6" s="16" t="s">
        <v>49</v>
      </c>
      <c r="B6" s="127"/>
      <c r="C6" s="18" t="s">
        <v>47</v>
      </c>
      <c r="D6" s="10" t="s">
        <v>50</v>
      </c>
      <c r="E6" s="17" t="s">
        <v>260</v>
      </c>
      <c r="F6" s="12"/>
    </row>
    <row r="7" spans="1:6" ht="26.25" customHeight="1">
      <c r="A7" s="16" t="s">
        <v>51</v>
      </c>
      <c r="B7" s="127"/>
      <c r="C7" s="18" t="s">
        <v>47</v>
      </c>
      <c r="D7" s="10" t="s">
        <v>52</v>
      </c>
      <c r="E7" s="19" t="str">
        <f>IF($B$5=1,"Pool seeding",IF($B$12=1,"Adjacent pool winners","Adjacent pool crossover"))</f>
        <v>Adjacent pool crossover</v>
      </c>
      <c r="F7" s="12"/>
    </row>
    <row r="8" spans="1:6" ht="26.25" customHeight="1">
      <c r="A8" s="16" t="s">
        <v>53</v>
      </c>
      <c r="B8" s="127"/>
      <c r="C8" s="18" t="s">
        <v>47</v>
      </c>
      <c r="D8" s="12"/>
      <c r="E8" s="12"/>
      <c r="F8" s="12"/>
    </row>
    <row r="9" spans="1:6" ht="26.25" customHeight="1">
      <c r="A9" s="16" t="s">
        <v>54</v>
      </c>
      <c r="B9" s="127"/>
      <c r="C9" s="18" t="s">
        <v>47</v>
      </c>
      <c r="D9" s="13" t="s">
        <v>232</v>
      </c>
      <c r="E9" s="13"/>
      <c r="F9" s="13"/>
    </row>
    <row r="10" spans="1:6" ht="26.25" customHeight="1">
      <c r="A10" s="16" t="s">
        <v>55</v>
      </c>
      <c r="B10" s="127"/>
      <c r="C10" s="18" t="s">
        <v>47</v>
      </c>
      <c r="D10" s="13" t="s">
        <v>233</v>
      </c>
      <c r="E10" s="13"/>
      <c r="F10" s="13"/>
    </row>
    <row r="11" spans="1:6" ht="26.25" customHeight="1">
      <c r="A11" s="16" t="s">
        <v>56</v>
      </c>
      <c r="B11" s="126" t="s">
        <v>57</v>
      </c>
      <c r="C11" s="18" t="s">
        <v>40</v>
      </c>
      <c r="D11" s="12"/>
      <c r="E11" s="12"/>
      <c r="F11" s="12"/>
    </row>
    <row r="12" spans="1:6" ht="26.25" customHeight="1">
      <c r="A12" s="16" t="s">
        <v>58</v>
      </c>
      <c r="B12" s="127"/>
      <c r="C12" s="18" t="s">
        <v>47</v>
      </c>
      <c r="D12" s="12"/>
      <c r="E12" s="12"/>
      <c r="F12" s="12"/>
    </row>
    <row r="13" spans="1:6" ht="15">
      <c r="A13" s="20" t="s">
        <v>59</v>
      </c>
      <c r="B13" s="56">
        <f>B6*(B6-1)/2</f>
        <v>0</v>
      </c>
      <c r="C13" s="12" t="s">
        <v>42</v>
      </c>
      <c r="D13" s="12"/>
      <c r="E13" s="12"/>
      <c r="F13" s="12"/>
    </row>
    <row r="14" spans="1:6">
      <c r="A14" s="12"/>
      <c r="B14" s="12"/>
      <c r="C14" s="12"/>
      <c r="D14" s="12"/>
      <c r="E14" s="12"/>
      <c r="F14" s="12"/>
    </row>
    <row r="15" spans="1:6">
      <c r="A15" s="116" t="s">
        <v>60</v>
      </c>
      <c r="B15" s="117"/>
      <c r="C15" s="117"/>
      <c r="D15" s="117"/>
      <c r="E15" s="12"/>
      <c r="F15" s="12"/>
    </row>
    <row r="16" spans="1:6">
      <c r="A16" s="12" t="s">
        <v>61</v>
      </c>
      <c r="B16" s="12" t="s">
        <v>62</v>
      </c>
      <c r="C16" s="12" t="s">
        <v>63</v>
      </c>
      <c r="D16" s="12" t="s">
        <v>64</v>
      </c>
      <c r="E16" s="12"/>
      <c r="F16" s="12"/>
    </row>
    <row r="17" spans="1:6">
      <c r="A17" s="12" t="s">
        <v>65</v>
      </c>
      <c r="B17" s="12" t="s">
        <v>66</v>
      </c>
      <c r="C17" s="12" t="s">
        <v>67</v>
      </c>
      <c r="D17" s="12" t="s">
        <v>64</v>
      </c>
      <c r="E17" s="12"/>
      <c r="F17" s="12"/>
    </row>
    <row r="18" spans="1:6">
      <c r="A18" s="12" t="s">
        <v>68</v>
      </c>
      <c r="B18" s="12" t="s">
        <v>62</v>
      </c>
      <c r="C18" s="12" t="s">
        <v>63</v>
      </c>
      <c r="D18" s="12" t="s">
        <v>64</v>
      </c>
      <c r="E18" s="12"/>
      <c r="F18" s="12"/>
    </row>
    <row r="19" spans="1:6">
      <c r="A19" s="12" t="s">
        <v>69</v>
      </c>
      <c r="B19" s="12" t="s">
        <v>66</v>
      </c>
      <c r="C19" s="12" t="s">
        <v>67</v>
      </c>
      <c r="D19" s="12" t="s">
        <v>64</v>
      </c>
      <c r="E19" s="12"/>
      <c r="F19" s="12"/>
    </row>
    <row r="20" spans="1:6">
      <c r="A20" s="12"/>
      <c r="B20" s="12"/>
      <c r="C20" s="12"/>
      <c r="D20" s="12"/>
      <c r="E20" s="12"/>
      <c r="F20" s="12"/>
    </row>
  </sheetData>
  <mergeCells count="2">
    <mergeCell ref="A1:D1"/>
    <mergeCell ref="A15:D15"/>
  </mergeCells>
  <dataValidations count="9">
    <dataValidation type="list" sqref="B5" xr:uid="{00000000-0002-0000-0100-000000000000}">
      <formula1>"1,2,3,4,5,6,7,8"</formula1>
    </dataValidation>
    <dataValidation type="list" sqref="B6" xr:uid="{00000000-0002-0000-0100-000001000000}">
      <formula1>"2,3,4,5,6,7,8"</formula1>
    </dataValidation>
    <dataValidation type="list" sqref="B7" xr:uid="{00000000-0002-0000-0100-000002000000}">
      <formula1>"3,5"</formula1>
    </dataValidation>
    <dataValidation type="list" sqref="B8" xr:uid="{00000000-0002-0000-0100-000003000000}">
      <formula1>"2,3"</formula1>
    </dataValidation>
    <dataValidation type="list" sqref="B9" xr:uid="{00000000-0002-0000-0100-000004000000}">
      <formula1>"1,2,3,4,5"</formula1>
    </dataValidation>
    <dataValidation type="list" sqref="B10" xr:uid="{00000000-0002-0000-0100-000005000000}">
      <formula1>"0,1"</formula1>
    </dataValidation>
    <dataValidation type="list" sqref="B12" xr:uid="{00000000-0002-0000-0100-000006000000}">
      <formula1>"1,2,3,4"</formula1>
    </dataValidation>
    <dataValidation type="list" sqref="E3" xr:uid="{00000000-0002-0000-0100-000007000000}">
      <formula1>"Automatic,No Finals"</formula1>
    </dataValidation>
    <dataValidation type="list" sqref="E6" xr:uid="{00000000-0002-0000-0100-000008000000}">
      <formula1>"No,Yes"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"/>
  <sheetViews>
    <sheetView showGridLines="0" topLeftCell="C1" workbookViewId="0"/>
  </sheetViews>
  <sheetFormatPr defaultRowHeight="14.25"/>
  <cols>
    <col min="1" max="1" width="3.25" hidden="1" customWidth="1"/>
    <col min="2" max="2" width="3" hidden="1" customWidth="1"/>
    <col min="3" max="3" width="5.25" style="60" customWidth="1"/>
    <col min="4" max="4" width="4.75" style="58" customWidth="1"/>
    <col min="5" max="5" width="30" style="62" customWidth="1"/>
    <col min="6" max="6" width="9" customWidth="1"/>
  </cols>
  <sheetData>
    <row r="1" spans="1:6" ht="17.25" customHeight="1">
      <c r="A1" s="61" t="s">
        <v>70</v>
      </c>
      <c r="B1" s="22" t="s">
        <v>71</v>
      </c>
      <c r="C1" s="22" t="s">
        <v>72</v>
      </c>
      <c r="D1" s="23" t="s">
        <v>73</v>
      </c>
      <c r="E1" s="61" t="s">
        <v>74</v>
      </c>
      <c r="F1" s="61" t="s">
        <v>75</v>
      </c>
    </row>
    <row r="2" spans="1:6" ht="17.25" customHeight="1">
      <c r="A2" s="24">
        <v>101</v>
      </c>
      <c r="B2" s="24">
        <v>1</v>
      </c>
      <c r="C2" s="59" t="s">
        <v>76</v>
      </c>
      <c r="D2" s="57">
        <v>1</v>
      </c>
      <c r="E2" s="63" t="s">
        <v>77</v>
      </c>
      <c r="F2" s="21" t="b">
        <f>AND($B2&lt;=Setup!$B$5,$D2&lt;=Setup!$B$6)</f>
        <v>0</v>
      </c>
    </row>
    <row r="3" spans="1:6" ht="17.25" customHeight="1">
      <c r="A3" s="24">
        <v>102</v>
      </c>
      <c r="B3" s="24">
        <v>1</v>
      </c>
      <c r="C3" s="59" t="s">
        <v>76</v>
      </c>
      <c r="D3" s="57">
        <v>2</v>
      </c>
      <c r="E3" s="63" t="s">
        <v>78</v>
      </c>
      <c r="F3" s="21" t="b">
        <f>AND($B3&lt;=Setup!$B$5,$D3&lt;=Setup!$B$6)</f>
        <v>0</v>
      </c>
    </row>
    <row r="4" spans="1:6" ht="17.25" customHeight="1">
      <c r="A4" s="24">
        <v>103</v>
      </c>
      <c r="B4" s="24">
        <v>1</v>
      </c>
      <c r="C4" s="59" t="s">
        <v>76</v>
      </c>
      <c r="D4" s="57">
        <v>3</v>
      </c>
      <c r="E4" s="63" t="s">
        <v>79</v>
      </c>
      <c r="F4" s="21" t="b">
        <f>AND($B4&lt;=Setup!$B$5,$D4&lt;=Setup!$B$6)</f>
        <v>0</v>
      </c>
    </row>
    <row r="5" spans="1:6" ht="17.25" customHeight="1">
      <c r="A5" s="24">
        <v>104</v>
      </c>
      <c r="B5" s="24">
        <v>1</v>
      </c>
      <c r="C5" s="59" t="s">
        <v>76</v>
      </c>
      <c r="D5" s="57">
        <v>4</v>
      </c>
      <c r="E5" s="63" t="s">
        <v>80</v>
      </c>
      <c r="F5" s="21" t="b">
        <f>AND($B5&lt;=Setup!$B$5,$D5&lt;=Setup!$B$6)</f>
        <v>0</v>
      </c>
    </row>
    <row r="6" spans="1:6" ht="17.25" customHeight="1">
      <c r="A6" s="24">
        <v>105</v>
      </c>
      <c r="B6" s="24">
        <v>1</v>
      </c>
      <c r="C6" s="59" t="s">
        <v>76</v>
      </c>
      <c r="D6" s="57">
        <v>5</v>
      </c>
      <c r="E6" s="63" t="s">
        <v>81</v>
      </c>
      <c r="F6" s="21" t="b">
        <f>AND($B6&lt;=Setup!$B$5,$D6&lt;=Setup!$B$6)</f>
        <v>0</v>
      </c>
    </row>
    <row r="7" spans="1:6" ht="17.25" customHeight="1">
      <c r="A7" s="24">
        <v>106</v>
      </c>
      <c r="B7" s="24">
        <v>1</v>
      </c>
      <c r="C7" s="59" t="s">
        <v>76</v>
      </c>
      <c r="D7" s="57">
        <v>6</v>
      </c>
      <c r="E7" s="63" t="s">
        <v>82</v>
      </c>
      <c r="F7" s="21" t="b">
        <f>AND($B7&lt;=Setup!$B$5,$D7&lt;=Setup!$B$6)</f>
        <v>0</v>
      </c>
    </row>
    <row r="8" spans="1:6" ht="17.25" customHeight="1">
      <c r="A8" s="24">
        <v>107</v>
      </c>
      <c r="B8" s="24">
        <v>1</v>
      </c>
      <c r="C8" s="59" t="s">
        <v>76</v>
      </c>
      <c r="D8" s="57">
        <v>7</v>
      </c>
      <c r="E8" s="63" t="s">
        <v>83</v>
      </c>
      <c r="F8" s="21" t="b">
        <f>AND($B8&lt;=Setup!$B$5,$D8&lt;=Setup!$B$6)</f>
        <v>0</v>
      </c>
    </row>
    <row r="9" spans="1:6" ht="17.25" customHeight="1">
      <c r="A9" s="24">
        <v>108</v>
      </c>
      <c r="B9" s="24">
        <v>1</v>
      </c>
      <c r="C9" s="59" t="s">
        <v>76</v>
      </c>
      <c r="D9" s="57">
        <v>8</v>
      </c>
      <c r="E9" s="63" t="s">
        <v>84</v>
      </c>
      <c r="F9" s="21" t="b">
        <f>AND($B9&lt;=Setup!$B$5,$D9&lt;=Setup!$B$6)</f>
        <v>0</v>
      </c>
    </row>
    <row r="10" spans="1:6" ht="17.25" customHeight="1">
      <c r="A10" s="24">
        <v>201</v>
      </c>
      <c r="B10" s="24">
        <v>2</v>
      </c>
      <c r="C10" s="59" t="s">
        <v>85</v>
      </c>
      <c r="D10" s="57">
        <v>1</v>
      </c>
      <c r="E10" s="63" t="s">
        <v>86</v>
      </c>
      <c r="F10" s="21" t="b">
        <f>AND($B10&lt;=Setup!$B$5,$D10&lt;=Setup!$B$6)</f>
        <v>0</v>
      </c>
    </row>
    <row r="11" spans="1:6" ht="17.25" customHeight="1">
      <c r="A11" s="24">
        <v>202</v>
      </c>
      <c r="B11" s="24">
        <v>2</v>
      </c>
      <c r="C11" s="59" t="s">
        <v>85</v>
      </c>
      <c r="D11" s="57">
        <v>2</v>
      </c>
      <c r="E11" s="63" t="s">
        <v>87</v>
      </c>
      <c r="F11" s="21" t="b">
        <f>AND($B11&lt;=Setup!$B$5,$D11&lt;=Setup!$B$6)</f>
        <v>0</v>
      </c>
    </row>
    <row r="12" spans="1:6" ht="17.25" customHeight="1">
      <c r="A12" s="24">
        <v>203</v>
      </c>
      <c r="B12" s="24">
        <v>2</v>
      </c>
      <c r="C12" s="59" t="s">
        <v>85</v>
      </c>
      <c r="D12" s="57">
        <v>3</v>
      </c>
      <c r="E12" s="63" t="s">
        <v>88</v>
      </c>
      <c r="F12" s="21" t="b">
        <f>AND($B12&lt;=Setup!$B$5,$D12&lt;=Setup!$B$6)</f>
        <v>0</v>
      </c>
    </row>
    <row r="13" spans="1:6" ht="17.25" customHeight="1">
      <c r="A13" s="24">
        <v>204</v>
      </c>
      <c r="B13" s="24">
        <v>2</v>
      </c>
      <c r="C13" s="59" t="s">
        <v>85</v>
      </c>
      <c r="D13" s="57">
        <v>4</v>
      </c>
      <c r="E13" s="63" t="s">
        <v>89</v>
      </c>
      <c r="F13" s="21" t="b">
        <f>AND($B13&lt;=Setup!$B$5,$D13&lt;=Setup!$B$6)</f>
        <v>0</v>
      </c>
    </row>
    <row r="14" spans="1:6" ht="17.25" customHeight="1">
      <c r="A14" s="24">
        <v>205</v>
      </c>
      <c r="B14" s="24">
        <v>2</v>
      </c>
      <c r="C14" s="59" t="s">
        <v>85</v>
      </c>
      <c r="D14" s="57">
        <v>5</v>
      </c>
      <c r="E14" s="63" t="s">
        <v>90</v>
      </c>
      <c r="F14" s="21" t="b">
        <f>AND($B14&lt;=Setup!$B$5,$D14&lt;=Setup!$B$6)</f>
        <v>0</v>
      </c>
    </row>
    <row r="15" spans="1:6" ht="17.25" customHeight="1">
      <c r="A15" s="24">
        <v>206</v>
      </c>
      <c r="B15" s="24">
        <v>2</v>
      </c>
      <c r="C15" s="59" t="s">
        <v>85</v>
      </c>
      <c r="D15" s="57">
        <v>6</v>
      </c>
      <c r="E15" s="63" t="s">
        <v>91</v>
      </c>
      <c r="F15" s="21" t="b">
        <f>AND($B15&lt;=Setup!$B$5,$D15&lt;=Setup!$B$6)</f>
        <v>0</v>
      </c>
    </row>
    <row r="16" spans="1:6" ht="17.25" customHeight="1">
      <c r="A16" s="24">
        <v>207</v>
      </c>
      <c r="B16" s="24">
        <v>2</v>
      </c>
      <c r="C16" s="59" t="s">
        <v>85</v>
      </c>
      <c r="D16" s="57">
        <v>7</v>
      </c>
      <c r="E16" s="63" t="s">
        <v>92</v>
      </c>
      <c r="F16" s="21" t="b">
        <f>AND($B16&lt;=Setup!$B$5,$D16&lt;=Setup!$B$6)</f>
        <v>0</v>
      </c>
    </row>
    <row r="17" spans="1:6" ht="17.25" customHeight="1">
      <c r="A17" s="24">
        <v>208</v>
      </c>
      <c r="B17" s="24">
        <v>2</v>
      </c>
      <c r="C17" s="59" t="s">
        <v>85</v>
      </c>
      <c r="D17" s="57">
        <v>8</v>
      </c>
      <c r="E17" s="63" t="s">
        <v>93</v>
      </c>
      <c r="F17" s="21" t="b">
        <f>AND($B17&lt;=Setup!$B$5,$D17&lt;=Setup!$B$6)</f>
        <v>0</v>
      </c>
    </row>
    <row r="18" spans="1:6" ht="17.25" customHeight="1">
      <c r="A18" s="24">
        <v>301</v>
      </c>
      <c r="B18" s="24">
        <v>3</v>
      </c>
      <c r="C18" s="59" t="s">
        <v>94</v>
      </c>
      <c r="D18" s="57">
        <v>1</v>
      </c>
      <c r="E18" s="63" t="s">
        <v>95</v>
      </c>
      <c r="F18" s="21" t="b">
        <f>AND($B18&lt;=Setup!$B$5,$D18&lt;=Setup!$B$6)</f>
        <v>0</v>
      </c>
    </row>
    <row r="19" spans="1:6" ht="17.25" customHeight="1">
      <c r="A19" s="24">
        <v>302</v>
      </c>
      <c r="B19" s="24">
        <v>3</v>
      </c>
      <c r="C19" s="59" t="s">
        <v>94</v>
      </c>
      <c r="D19" s="57">
        <v>2</v>
      </c>
      <c r="E19" s="63" t="s">
        <v>96</v>
      </c>
      <c r="F19" s="21" t="b">
        <f>AND($B19&lt;=Setup!$B$5,$D19&lt;=Setup!$B$6)</f>
        <v>0</v>
      </c>
    </row>
    <row r="20" spans="1:6" ht="17.25" customHeight="1">
      <c r="A20" s="24">
        <v>303</v>
      </c>
      <c r="B20" s="24">
        <v>3</v>
      </c>
      <c r="C20" s="59" t="s">
        <v>94</v>
      </c>
      <c r="D20" s="57">
        <v>3</v>
      </c>
      <c r="E20" s="63" t="s">
        <v>97</v>
      </c>
      <c r="F20" s="21" t="b">
        <f>AND($B20&lt;=Setup!$B$5,$D20&lt;=Setup!$B$6)</f>
        <v>0</v>
      </c>
    </row>
    <row r="21" spans="1:6" ht="17.25" customHeight="1">
      <c r="A21" s="24">
        <v>304</v>
      </c>
      <c r="B21" s="24">
        <v>3</v>
      </c>
      <c r="C21" s="59" t="s">
        <v>94</v>
      </c>
      <c r="D21" s="57">
        <v>4</v>
      </c>
      <c r="E21" s="63" t="s">
        <v>98</v>
      </c>
      <c r="F21" s="21" t="b">
        <f>AND($B21&lt;=Setup!$B$5,$D21&lt;=Setup!$B$6)</f>
        <v>0</v>
      </c>
    </row>
    <row r="22" spans="1:6" ht="17.25" customHeight="1">
      <c r="A22" s="24">
        <v>305</v>
      </c>
      <c r="B22" s="24">
        <v>3</v>
      </c>
      <c r="C22" s="59" t="s">
        <v>94</v>
      </c>
      <c r="D22" s="57">
        <v>5</v>
      </c>
      <c r="E22" s="63" t="s">
        <v>99</v>
      </c>
      <c r="F22" s="21" t="b">
        <f>AND($B22&lt;=Setup!$B$5,$D22&lt;=Setup!$B$6)</f>
        <v>0</v>
      </c>
    </row>
    <row r="23" spans="1:6" ht="17.25" customHeight="1">
      <c r="A23" s="24">
        <v>306</v>
      </c>
      <c r="B23" s="24">
        <v>3</v>
      </c>
      <c r="C23" s="59" t="s">
        <v>94</v>
      </c>
      <c r="D23" s="57">
        <v>6</v>
      </c>
      <c r="E23" s="63" t="s">
        <v>100</v>
      </c>
      <c r="F23" s="21" t="b">
        <f>AND($B23&lt;=Setup!$B$5,$D23&lt;=Setup!$B$6)</f>
        <v>0</v>
      </c>
    </row>
    <row r="24" spans="1:6" ht="17.25" customHeight="1">
      <c r="A24" s="24">
        <v>307</v>
      </c>
      <c r="B24" s="24">
        <v>3</v>
      </c>
      <c r="C24" s="59" t="s">
        <v>94</v>
      </c>
      <c r="D24" s="57">
        <v>7</v>
      </c>
      <c r="E24" s="63" t="s">
        <v>101</v>
      </c>
      <c r="F24" s="21" t="b">
        <f>AND($B24&lt;=Setup!$B$5,$D24&lt;=Setup!$B$6)</f>
        <v>0</v>
      </c>
    </row>
    <row r="25" spans="1:6" ht="17.25" customHeight="1">
      <c r="A25" s="24">
        <v>308</v>
      </c>
      <c r="B25" s="24">
        <v>3</v>
      </c>
      <c r="C25" s="59" t="s">
        <v>94</v>
      </c>
      <c r="D25" s="57">
        <v>8</v>
      </c>
      <c r="E25" s="63" t="s">
        <v>102</v>
      </c>
      <c r="F25" s="21" t="b">
        <f>AND($B25&lt;=Setup!$B$5,$D25&lt;=Setup!$B$6)</f>
        <v>0</v>
      </c>
    </row>
    <row r="26" spans="1:6" ht="17.25" customHeight="1">
      <c r="A26" s="24">
        <v>401</v>
      </c>
      <c r="B26" s="24">
        <v>4</v>
      </c>
      <c r="C26" s="59" t="s">
        <v>103</v>
      </c>
      <c r="D26" s="57">
        <v>1</v>
      </c>
      <c r="E26" s="63" t="s">
        <v>104</v>
      </c>
      <c r="F26" s="21" t="b">
        <f>AND($B26&lt;=Setup!$B$5,$D26&lt;=Setup!$B$6)</f>
        <v>0</v>
      </c>
    </row>
    <row r="27" spans="1:6" ht="17.25" customHeight="1">
      <c r="A27" s="24">
        <v>402</v>
      </c>
      <c r="B27" s="24">
        <v>4</v>
      </c>
      <c r="C27" s="59" t="s">
        <v>103</v>
      </c>
      <c r="D27" s="57">
        <v>2</v>
      </c>
      <c r="E27" s="63" t="s">
        <v>105</v>
      </c>
      <c r="F27" s="21" t="b">
        <f>AND($B27&lt;=Setup!$B$5,$D27&lt;=Setup!$B$6)</f>
        <v>0</v>
      </c>
    </row>
    <row r="28" spans="1:6" ht="17.25" customHeight="1">
      <c r="A28" s="24">
        <v>403</v>
      </c>
      <c r="B28" s="24">
        <v>4</v>
      </c>
      <c r="C28" s="59" t="s">
        <v>103</v>
      </c>
      <c r="D28" s="57">
        <v>3</v>
      </c>
      <c r="E28" s="63" t="s">
        <v>106</v>
      </c>
      <c r="F28" s="21" t="b">
        <f>AND($B28&lt;=Setup!$B$5,$D28&lt;=Setup!$B$6)</f>
        <v>0</v>
      </c>
    </row>
    <row r="29" spans="1:6" ht="17.25" customHeight="1">
      <c r="A29" s="24">
        <v>404</v>
      </c>
      <c r="B29" s="24">
        <v>4</v>
      </c>
      <c r="C29" s="59" t="s">
        <v>103</v>
      </c>
      <c r="D29" s="57">
        <v>4</v>
      </c>
      <c r="E29" s="63" t="s">
        <v>107</v>
      </c>
      <c r="F29" s="21" t="b">
        <f>AND($B29&lt;=Setup!$B$5,$D29&lt;=Setup!$B$6)</f>
        <v>0</v>
      </c>
    </row>
    <row r="30" spans="1:6" ht="17.25" customHeight="1">
      <c r="A30" s="24">
        <v>405</v>
      </c>
      <c r="B30" s="24">
        <v>4</v>
      </c>
      <c r="C30" s="59" t="s">
        <v>103</v>
      </c>
      <c r="D30" s="57">
        <v>5</v>
      </c>
      <c r="E30" s="63" t="s">
        <v>108</v>
      </c>
      <c r="F30" s="21" t="b">
        <f>AND($B30&lt;=Setup!$B$5,$D30&lt;=Setup!$B$6)</f>
        <v>0</v>
      </c>
    </row>
    <row r="31" spans="1:6" ht="17.25" customHeight="1">
      <c r="A31" s="24">
        <v>406</v>
      </c>
      <c r="B31" s="24">
        <v>4</v>
      </c>
      <c r="C31" s="59" t="s">
        <v>103</v>
      </c>
      <c r="D31" s="57">
        <v>6</v>
      </c>
      <c r="E31" s="63" t="s">
        <v>109</v>
      </c>
      <c r="F31" s="21" t="b">
        <f>AND($B31&lt;=Setup!$B$5,$D31&lt;=Setup!$B$6)</f>
        <v>0</v>
      </c>
    </row>
    <row r="32" spans="1:6" ht="17.25" customHeight="1">
      <c r="A32" s="24">
        <v>407</v>
      </c>
      <c r="B32" s="24">
        <v>4</v>
      </c>
      <c r="C32" s="59" t="s">
        <v>103</v>
      </c>
      <c r="D32" s="57">
        <v>7</v>
      </c>
      <c r="E32" s="63" t="s">
        <v>110</v>
      </c>
      <c r="F32" s="21" t="b">
        <f>AND($B32&lt;=Setup!$B$5,$D32&lt;=Setup!$B$6)</f>
        <v>0</v>
      </c>
    </row>
    <row r="33" spans="1:6" ht="17.25" customHeight="1">
      <c r="A33" s="24">
        <v>408</v>
      </c>
      <c r="B33" s="24">
        <v>4</v>
      </c>
      <c r="C33" s="59" t="s">
        <v>103</v>
      </c>
      <c r="D33" s="57">
        <v>8</v>
      </c>
      <c r="E33" s="63" t="s">
        <v>111</v>
      </c>
      <c r="F33" s="21" t="b">
        <f>AND($B33&lt;=Setup!$B$5,$D33&lt;=Setup!$B$6)</f>
        <v>0</v>
      </c>
    </row>
    <row r="34" spans="1:6" ht="17.25" customHeight="1">
      <c r="A34" s="24">
        <v>501</v>
      </c>
      <c r="B34" s="24">
        <v>5</v>
      </c>
      <c r="C34" s="59" t="s">
        <v>112</v>
      </c>
      <c r="D34" s="57">
        <v>1</v>
      </c>
      <c r="E34" s="63" t="s">
        <v>113</v>
      </c>
      <c r="F34" s="21" t="b">
        <f>AND($B34&lt;=Setup!$B$5,$D34&lt;=Setup!$B$6)</f>
        <v>0</v>
      </c>
    </row>
    <row r="35" spans="1:6" ht="17.25" customHeight="1">
      <c r="A35" s="24">
        <v>502</v>
      </c>
      <c r="B35" s="24">
        <v>5</v>
      </c>
      <c r="C35" s="59" t="s">
        <v>112</v>
      </c>
      <c r="D35" s="57">
        <v>2</v>
      </c>
      <c r="E35" s="63" t="s">
        <v>114</v>
      </c>
      <c r="F35" s="21" t="b">
        <f>AND($B35&lt;=Setup!$B$5,$D35&lt;=Setup!$B$6)</f>
        <v>0</v>
      </c>
    </row>
    <row r="36" spans="1:6" ht="17.25" customHeight="1">
      <c r="A36" s="24">
        <v>503</v>
      </c>
      <c r="B36" s="24">
        <v>5</v>
      </c>
      <c r="C36" s="59" t="s">
        <v>112</v>
      </c>
      <c r="D36" s="57">
        <v>3</v>
      </c>
      <c r="E36" s="63" t="s">
        <v>115</v>
      </c>
      <c r="F36" s="21" t="b">
        <f>AND($B36&lt;=Setup!$B$5,$D36&lt;=Setup!$B$6)</f>
        <v>0</v>
      </c>
    </row>
    <row r="37" spans="1:6" ht="17.25" customHeight="1">
      <c r="A37" s="24">
        <v>504</v>
      </c>
      <c r="B37" s="24">
        <v>5</v>
      </c>
      <c r="C37" s="59" t="s">
        <v>112</v>
      </c>
      <c r="D37" s="57">
        <v>4</v>
      </c>
      <c r="E37" s="63" t="s">
        <v>116</v>
      </c>
      <c r="F37" s="21" t="b">
        <f>AND($B37&lt;=Setup!$B$5,$D37&lt;=Setup!$B$6)</f>
        <v>0</v>
      </c>
    </row>
    <row r="38" spans="1:6" ht="17.25" customHeight="1">
      <c r="A38" s="24">
        <v>505</v>
      </c>
      <c r="B38" s="24">
        <v>5</v>
      </c>
      <c r="C38" s="59" t="s">
        <v>112</v>
      </c>
      <c r="D38" s="57">
        <v>5</v>
      </c>
      <c r="E38" s="63" t="s">
        <v>117</v>
      </c>
      <c r="F38" s="21" t="b">
        <f>AND($B38&lt;=Setup!$B$5,$D38&lt;=Setup!$B$6)</f>
        <v>0</v>
      </c>
    </row>
    <row r="39" spans="1:6" ht="17.25" customHeight="1">
      <c r="A39" s="24">
        <v>506</v>
      </c>
      <c r="B39" s="24">
        <v>5</v>
      </c>
      <c r="C39" s="59" t="s">
        <v>112</v>
      </c>
      <c r="D39" s="57">
        <v>6</v>
      </c>
      <c r="E39" s="63" t="s">
        <v>118</v>
      </c>
      <c r="F39" s="21" t="b">
        <f>AND($B39&lt;=Setup!$B$5,$D39&lt;=Setup!$B$6)</f>
        <v>0</v>
      </c>
    </row>
    <row r="40" spans="1:6" ht="17.25" customHeight="1">
      <c r="A40" s="24">
        <v>507</v>
      </c>
      <c r="B40" s="24">
        <v>5</v>
      </c>
      <c r="C40" s="59" t="s">
        <v>112</v>
      </c>
      <c r="D40" s="57">
        <v>7</v>
      </c>
      <c r="E40" s="63" t="s">
        <v>119</v>
      </c>
      <c r="F40" s="21" t="b">
        <f>AND($B40&lt;=Setup!$B$5,$D40&lt;=Setup!$B$6)</f>
        <v>0</v>
      </c>
    </row>
    <row r="41" spans="1:6" ht="17.25" customHeight="1">
      <c r="A41" s="24">
        <v>508</v>
      </c>
      <c r="B41" s="24">
        <v>5</v>
      </c>
      <c r="C41" s="59" t="s">
        <v>112</v>
      </c>
      <c r="D41" s="57">
        <v>8</v>
      </c>
      <c r="E41" s="63" t="s">
        <v>120</v>
      </c>
      <c r="F41" s="21" t="b">
        <f>AND($B41&lt;=Setup!$B$5,$D41&lt;=Setup!$B$6)</f>
        <v>0</v>
      </c>
    </row>
    <row r="42" spans="1:6" ht="17.25" customHeight="1">
      <c r="A42" s="24">
        <v>601</v>
      </c>
      <c r="B42" s="24">
        <v>6</v>
      </c>
      <c r="C42" s="59" t="s">
        <v>121</v>
      </c>
      <c r="D42" s="57">
        <v>1</v>
      </c>
      <c r="E42" s="63" t="s">
        <v>122</v>
      </c>
      <c r="F42" s="21" t="b">
        <f>AND($B42&lt;=Setup!$B$5,$D42&lt;=Setup!$B$6)</f>
        <v>0</v>
      </c>
    </row>
    <row r="43" spans="1:6" ht="17.25" customHeight="1">
      <c r="A43" s="24">
        <v>602</v>
      </c>
      <c r="B43" s="24">
        <v>6</v>
      </c>
      <c r="C43" s="59" t="s">
        <v>121</v>
      </c>
      <c r="D43" s="57">
        <v>2</v>
      </c>
      <c r="E43" s="63" t="s">
        <v>123</v>
      </c>
      <c r="F43" s="21" t="b">
        <f>AND($B43&lt;=Setup!$B$5,$D43&lt;=Setup!$B$6)</f>
        <v>0</v>
      </c>
    </row>
    <row r="44" spans="1:6" ht="17.25" customHeight="1">
      <c r="A44" s="24">
        <v>603</v>
      </c>
      <c r="B44" s="24">
        <v>6</v>
      </c>
      <c r="C44" s="59" t="s">
        <v>121</v>
      </c>
      <c r="D44" s="57">
        <v>3</v>
      </c>
      <c r="E44" s="63" t="s">
        <v>124</v>
      </c>
      <c r="F44" s="21" t="b">
        <f>AND($B44&lt;=Setup!$B$5,$D44&lt;=Setup!$B$6)</f>
        <v>0</v>
      </c>
    </row>
    <row r="45" spans="1:6" ht="17.25" customHeight="1">
      <c r="A45" s="24">
        <v>604</v>
      </c>
      <c r="B45" s="24">
        <v>6</v>
      </c>
      <c r="C45" s="59" t="s">
        <v>121</v>
      </c>
      <c r="D45" s="57">
        <v>4</v>
      </c>
      <c r="E45" s="63" t="s">
        <v>125</v>
      </c>
      <c r="F45" s="21" t="b">
        <f>AND($B45&lt;=Setup!$B$5,$D45&lt;=Setup!$B$6)</f>
        <v>0</v>
      </c>
    </row>
    <row r="46" spans="1:6" ht="17.25" customHeight="1">
      <c r="A46" s="24">
        <v>605</v>
      </c>
      <c r="B46" s="24">
        <v>6</v>
      </c>
      <c r="C46" s="59" t="s">
        <v>121</v>
      </c>
      <c r="D46" s="57">
        <v>5</v>
      </c>
      <c r="E46" s="63" t="s">
        <v>126</v>
      </c>
      <c r="F46" s="21" t="b">
        <f>AND($B46&lt;=Setup!$B$5,$D46&lt;=Setup!$B$6)</f>
        <v>0</v>
      </c>
    </row>
    <row r="47" spans="1:6" ht="17.25" customHeight="1">
      <c r="A47" s="24">
        <v>606</v>
      </c>
      <c r="B47" s="24">
        <v>6</v>
      </c>
      <c r="C47" s="59" t="s">
        <v>121</v>
      </c>
      <c r="D47" s="57">
        <v>6</v>
      </c>
      <c r="E47" s="63" t="s">
        <v>127</v>
      </c>
      <c r="F47" s="21" t="b">
        <f>AND($B47&lt;=Setup!$B$5,$D47&lt;=Setup!$B$6)</f>
        <v>0</v>
      </c>
    </row>
    <row r="48" spans="1:6" ht="17.25" customHeight="1">
      <c r="A48" s="24">
        <v>607</v>
      </c>
      <c r="B48" s="24">
        <v>6</v>
      </c>
      <c r="C48" s="59" t="s">
        <v>121</v>
      </c>
      <c r="D48" s="57">
        <v>7</v>
      </c>
      <c r="E48" s="63" t="s">
        <v>128</v>
      </c>
      <c r="F48" s="21" t="b">
        <f>AND($B48&lt;=Setup!$B$5,$D48&lt;=Setup!$B$6)</f>
        <v>0</v>
      </c>
    </row>
    <row r="49" spans="1:6" ht="17.25" customHeight="1">
      <c r="A49" s="24">
        <v>608</v>
      </c>
      <c r="B49" s="24">
        <v>6</v>
      </c>
      <c r="C49" s="59" t="s">
        <v>121</v>
      </c>
      <c r="D49" s="57">
        <v>8</v>
      </c>
      <c r="E49" s="63" t="s">
        <v>129</v>
      </c>
      <c r="F49" s="21" t="b">
        <f>AND($B49&lt;=Setup!$B$5,$D49&lt;=Setup!$B$6)</f>
        <v>0</v>
      </c>
    </row>
    <row r="50" spans="1:6" ht="17.25" customHeight="1">
      <c r="A50" s="24">
        <v>701</v>
      </c>
      <c r="B50" s="24">
        <v>7</v>
      </c>
      <c r="C50" s="59" t="s">
        <v>130</v>
      </c>
      <c r="D50" s="57">
        <v>1</v>
      </c>
      <c r="E50" s="63" t="s">
        <v>131</v>
      </c>
      <c r="F50" s="21" t="b">
        <f>AND($B50&lt;=Setup!$B$5,$D50&lt;=Setup!$B$6)</f>
        <v>0</v>
      </c>
    </row>
    <row r="51" spans="1:6" ht="17.25" customHeight="1">
      <c r="A51" s="24">
        <v>702</v>
      </c>
      <c r="B51" s="24">
        <v>7</v>
      </c>
      <c r="C51" s="59" t="s">
        <v>130</v>
      </c>
      <c r="D51" s="57">
        <v>2</v>
      </c>
      <c r="E51" s="63" t="s">
        <v>132</v>
      </c>
      <c r="F51" s="21" t="b">
        <f>AND($B51&lt;=Setup!$B$5,$D51&lt;=Setup!$B$6)</f>
        <v>0</v>
      </c>
    </row>
    <row r="52" spans="1:6" ht="17.25" customHeight="1">
      <c r="A52" s="24">
        <v>703</v>
      </c>
      <c r="B52" s="24">
        <v>7</v>
      </c>
      <c r="C52" s="59" t="s">
        <v>130</v>
      </c>
      <c r="D52" s="57">
        <v>3</v>
      </c>
      <c r="E52" s="63" t="s">
        <v>133</v>
      </c>
      <c r="F52" s="21" t="b">
        <f>AND($B52&lt;=Setup!$B$5,$D52&lt;=Setup!$B$6)</f>
        <v>0</v>
      </c>
    </row>
    <row r="53" spans="1:6" ht="17.25" customHeight="1">
      <c r="A53" s="24">
        <v>704</v>
      </c>
      <c r="B53" s="24">
        <v>7</v>
      </c>
      <c r="C53" s="59" t="s">
        <v>130</v>
      </c>
      <c r="D53" s="57">
        <v>4</v>
      </c>
      <c r="E53" s="63" t="s">
        <v>134</v>
      </c>
      <c r="F53" s="21" t="b">
        <f>AND($B53&lt;=Setup!$B$5,$D53&lt;=Setup!$B$6)</f>
        <v>0</v>
      </c>
    </row>
    <row r="54" spans="1:6" ht="17.25" customHeight="1">
      <c r="A54" s="24">
        <v>705</v>
      </c>
      <c r="B54" s="24">
        <v>7</v>
      </c>
      <c r="C54" s="59" t="s">
        <v>130</v>
      </c>
      <c r="D54" s="57">
        <v>5</v>
      </c>
      <c r="E54" s="63" t="s">
        <v>135</v>
      </c>
      <c r="F54" s="21" t="b">
        <f>AND($B54&lt;=Setup!$B$5,$D54&lt;=Setup!$B$6)</f>
        <v>0</v>
      </c>
    </row>
    <row r="55" spans="1:6" ht="17.25" customHeight="1">
      <c r="A55" s="24">
        <v>706</v>
      </c>
      <c r="B55" s="24">
        <v>7</v>
      </c>
      <c r="C55" s="59" t="s">
        <v>130</v>
      </c>
      <c r="D55" s="57">
        <v>6</v>
      </c>
      <c r="E55" s="63" t="s">
        <v>136</v>
      </c>
      <c r="F55" s="21" t="b">
        <f>AND($B55&lt;=Setup!$B$5,$D55&lt;=Setup!$B$6)</f>
        <v>0</v>
      </c>
    </row>
    <row r="56" spans="1:6" ht="17.25" customHeight="1">
      <c r="A56" s="24">
        <v>707</v>
      </c>
      <c r="B56" s="24">
        <v>7</v>
      </c>
      <c r="C56" s="59" t="s">
        <v>130</v>
      </c>
      <c r="D56" s="57">
        <v>7</v>
      </c>
      <c r="E56" s="63" t="s">
        <v>137</v>
      </c>
      <c r="F56" s="21" t="b">
        <f>AND($B56&lt;=Setup!$B$5,$D56&lt;=Setup!$B$6)</f>
        <v>0</v>
      </c>
    </row>
    <row r="57" spans="1:6" ht="17.25" customHeight="1">
      <c r="A57" s="24">
        <v>708</v>
      </c>
      <c r="B57" s="24">
        <v>7</v>
      </c>
      <c r="C57" s="59" t="s">
        <v>130</v>
      </c>
      <c r="D57" s="57">
        <v>8</v>
      </c>
      <c r="E57" s="63" t="s">
        <v>138</v>
      </c>
      <c r="F57" s="21" t="b">
        <f>AND($B57&lt;=Setup!$B$5,$D57&lt;=Setup!$B$6)</f>
        <v>0</v>
      </c>
    </row>
    <row r="58" spans="1:6" ht="17.25" customHeight="1">
      <c r="A58" s="24">
        <v>801</v>
      </c>
      <c r="B58" s="24">
        <v>8</v>
      </c>
      <c r="C58" s="59" t="s">
        <v>139</v>
      </c>
      <c r="D58" s="57">
        <v>1</v>
      </c>
      <c r="E58" s="63" t="s">
        <v>140</v>
      </c>
      <c r="F58" s="21" t="b">
        <f>AND($B58&lt;=Setup!$B$5,$D58&lt;=Setup!$B$6)</f>
        <v>0</v>
      </c>
    </row>
    <row r="59" spans="1:6" ht="17.25" customHeight="1">
      <c r="A59" s="24">
        <v>802</v>
      </c>
      <c r="B59" s="24">
        <v>8</v>
      </c>
      <c r="C59" s="59" t="s">
        <v>139</v>
      </c>
      <c r="D59" s="57">
        <v>2</v>
      </c>
      <c r="E59" s="63" t="s">
        <v>141</v>
      </c>
      <c r="F59" s="21" t="b">
        <f>AND($B59&lt;=Setup!$B$5,$D59&lt;=Setup!$B$6)</f>
        <v>0</v>
      </c>
    </row>
    <row r="60" spans="1:6" ht="17.25" customHeight="1">
      <c r="A60" s="24">
        <v>803</v>
      </c>
      <c r="B60" s="24">
        <v>8</v>
      </c>
      <c r="C60" s="59" t="s">
        <v>139</v>
      </c>
      <c r="D60" s="57">
        <v>3</v>
      </c>
      <c r="E60" s="63" t="s">
        <v>142</v>
      </c>
      <c r="F60" s="21" t="b">
        <f>AND($B60&lt;=Setup!$B$5,$D60&lt;=Setup!$B$6)</f>
        <v>0</v>
      </c>
    </row>
    <row r="61" spans="1:6" ht="17.25" customHeight="1">
      <c r="A61" s="24">
        <v>804</v>
      </c>
      <c r="B61" s="24">
        <v>8</v>
      </c>
      <c r="C61" s="59" t="s">
        <v>139</v>
      </c>
      <c r="D61" s="57">
        <v>4</v>
      </c>
      <c r="E61" s="63" t="s">
        <v>143</v>
      </c>
      <c r="F61" s="21" t="b">
        <f>AND($B61&lt;=Setup!$B$5,$D61&lt;=Setup!$B$6)</f>
        <v>0</v>
      </c>
    </row>
    <row r="62" spans="1:6" ht="17.25" customHeight="1">
      <c r="A62" s="24">
        <v>805</v>
      </c>
      <c r="B62" s="24">
        <v>8</v>
      </c>
      <c r="C62" s="59" t="s">
        <v>139</v>
      </c>
      <c r="D62" s="57">
        <v>5</v>
      </c>
      <c r="E62" s="63" t="s">
        <v>144</v>
      </c>
      <c r="F62" s="21" t="b">
        <f>AND($B62&lt;=Setup!$B$5,$D62&lt;=Setup!$B$6)</f>
        <v>0</v>
      </c>
    </row>
    <row r="63" spans="1:6" ht="17.25" customHeight="1">
      <c r="A63" s="24">
        <v>806</v>
      </c>
      <c r="B63" s="24">
        <v>8</v>
      </c>
      <c r="C63" s="59" t="s">
        <v>139</v>
      </c>
      <c r="D63" s="57">
        <v>6</v>
      </c>
      <c r="E63" s="63" t="s">
        <v>145</v>
      </c>
      <c r="F63" s="21" t="b">
        <f>AND($B63&lt;=Setup!$B$5,$D63&lt;=Setup!$B$6)</f>
        <v>0</v>
      </c>
    </row>
    <row r="64" spans="1:6" ht="17.25" customHeight="1">
      <c r="A64" s="24">
        <v>807</v>
      </c>
      <c r="B64" s="24">
        <v>8</v>
      </c>
      <c r="C64" s="59" t="s">
        <v>139</v>
      </c>
      <c r="D64" s="57">
        <v>7</v>
      </c>
      <c r="E64" s="63" t="s">
        <v>146</v>
      </c>
      <c r="F64" s="21" t="b">
        <f>AND($B64&lt;=Setup!$B$5,$D64&lt;=Setup!$B$6)</f>
        <v>0</v>
      </c>
    </row>
    <row r="65" spans="1:6" ht="17.25" customHeight="1">
      <c r="A65" s="24">
        <v>808</v>
      </c>
      <c r="B65" s="24">
        <v>8</v>
      </c>
      <c r="C65" s="59" t="s">
        <v>139</v>
      </c>
      <c r="D65" s="57">
        <v>8</v>
      </c>
      <c r="E65" s="63" t="s">
        <v>147</v>
      </c>
      <c r="F65" s="21" t="b">
        <f>AND($B65&lt;=Setup!$B$5,$D65&lt;=Setup!$B$6)</f>
        <v>0</v>
      </c>
    </row>
  </sheetData>
  <conditionalFormatting sqref="C2:F65">
    <cfRule type="expression" dxfId="14" priority="1">
      <formula>$F2=FALSE</formula>
    </cfRule>
  </conditionalFormatting>
  <conditionalFormatting sqref="E2:E65">
    <cfRule type="expression" dxfId="13" priority="2">
      <formula>$F2=TRUE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30"/>
  <sheetViews>
    <sheetView workbookViewId="0">
      <selection activeCell="F5" sqref="F5:O228"/>
    </sheetView>
  </sheetViews>
  <sheetFormatPr defaultRowHeight="14.25"/>
  <cols>
    <col min="1" max="1" width="8" customWidth="1"/>
    <col min="2" max="2" width="7" customWidth="1"/>
    <col min="3" max="3" width="8" customWidth="1"/>
    <col min="4" max="5" width="25" customWidth="1"/>
    <col min="6" max="15" width="8" customWidth="1"/>
    <col min="16" max="17" width="9" style="4" customWidth="1"/>
    <col min="18" max="18" width="12" customWidth="1"/>
    <col min="19" max="19" width="25" customWidth="1"/>
  </cols>
  <sheetData>
    <row r="1" spans="1:19" ht="27.75" customHeight="1">
      <c r="A1" s="25" t="s">
        <v>148</v>
      </c>
      <c r="B1" s="8"/>
      <c r="C1" s="8"/>
      <c r="D1" s="8"/>
      <c r="E1" s="8"/>
      <c r="F1" s="14"/>
      <c r="G1" s="14"/>
      <c r="H1" s="14"/>
      <c r="I1" s="14"/>
      <c r="J1" s="14"/>
      <c r="K1" s="14"/>
      <c r="L1" s="14"/>
      <c r="M1" s="14"/>
      <c r="N1" s="14"/>
      <c r="O1" s="14"/>
      <c r="P1" s="64"/>
      <c r="Q1" s="64"/>
      <c r="R1" s="14"/>
      <c r="S1" s="14"/>
    </row>
    <row r="2" spans="1:19">
      <c r="A2" s="9" t="s">
        <v>149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65"/>
      <c r="Q2" s="65"/>
      <c r="R2" s="15"/>
      <c r="S2" s="15"/>
    </row>
    <row r="3" spans="1:19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6"/>
      <c r="Q3" s="6"/>
      <c r="R3" s="12"/>
      <c r="S3" s="12"/>
    </row>
    <row r="4" spans="1:19" ht="15">
      <c r="A4" s="26" t="s">
        <v>150</v>
      </c>
      <c r="B4" s="26" t="s">
        <v>72</v>
      </c>
      <c r="C4" s="26" t="s">
        <v>151</v>
      </c>
      <c r="D4" s="26" t="s">
        <v>152</v>
      </c>
      <c r="E4" s="26" t="s">
        <v>153</v>
      </c>
      <c r="F4" s="26" t="s">
        <v>154</v>
      </c>
      <c r="G4" s="26" t="s">
        <v>155</v>
      </c>
      <c r="H4" s="26" t="s">
        <v>156</v>
      </c>
      <c r="I4" s="26" t="s">
        <v>157</v>
      </c>
      <c r="J4" s="26" t="s">
        <v>158</v>
      </c>
      <c r="K4" s="26" t="s">
        <v>159</v>
      </c>
      <c r="L4" s="26" t="s">
        <v>160</v>
      </c>
      <c r="M4" s="26" t="s">
        <v>161</v>
      </c>
      <c r="N4" s="26" t="s">
        <v>162</v>
      </c>
      <c r="O4" s="26" t="s">
        <v>163</v>
      </c>
      <c r="P4" s="26" t="s">
        <v>164</v>
      </c>
      <c r="Q4" s="26" t="s">
        <v>165</v>
      </c>
      <c r="R4" s="26" t="s">
        <v>166</v>
      </c>
      <c r="S4" s="26" t="s">
        <v>167</v>
      </c>
    </row>
    <row r="5" spans="1:19">
      <c r="A5" s="12" t="e">
        <f>IF(INT((0)/Setup!$B$13)+1&lt;=Setup!$B$5,INDEX(Scores!$A$2:$A$225,2+(INT((0)/Setup!$B$13)+1-1)*28+(MOD(0,Setup!$B$13)+1-1)-1),"")</f>
        <v>#DIV/0!</v>
      </c>
      <c r="B5" s="12" t="e">
        <f>IF(INT((0)/Setup!$B$13)+1&lt;=Setup!$B$5,CHAR(64+INT((0)/Setup!$B$13)+1),"")</f>
        <v>#DIV/0!</v>
      </c>
      <c r="C5" s="12" t="e">
        <f>IF(INT((0)/Setup!$B$13)+1&lt;=Setup!$B$5,INDEX(Scores!$E$2:$E$225,2+(INT((0)/Setup!$B$13)+1-1)*28+(MOD(0,Setup!$B$13)+1-1)-1),"")</f>
        <v>#DIV/0!</v>
      </c>
      <c r="D5" s="12" t="e">
        <f>IF(INT((0)/Setup!$B$13)+1&lt;=Setup!$B$5,INDEX(Scores!$G$2:$G$225,2+(INT((0)/Setup!$B$13)+1-1)*28+(MOD(0,Setup!$B$13)+1-1)-1),"")</f>
        <v>#DIV/0!</v>
      </c>
      <c r="E5" s="12" t="e">
        <f>IF(INT((0)/Setup!$B$13)+1&lt;=Setup!$B$5,INDEX(Scores!$I$2:$I$225,2+(INT((0)/Setup!$B$13)+1-1)*28+(MOD(0,Setup!$B$13)+1-1)-1),"")</f>
        <v>#DIV/0!</v>
      </c>
      <c r="F5" s="66"/>
      <c r="G5" s="67"/>
      <c r="H5" s="66"/>
      <c r="I5" s="67"/>
      <c r="J5" s="66"/>
      <c r="K5" s="67"/>
      <c r="L5" s="66"/>
      <c r="M5" s="67"/>
      <c r="N5" s="66"/>
      <c r="O5" s="67"/>
      <c r="P5" s="6" t="e">
        <f>IF($A5="","",IFERROR(INDEX(Scores!$T$2:$T$225,MATCH($A5,Scores!$A$2:$A$225,0)),""))</f>
        <v>#DIV/0!</v>
      </c>
      <c r="Q5" s="6" t="e">
        <f>IF($A5="","",IFERROR(INDEX(Scores!$U$2:$U$225,MATCH($A5,Scores!$A$2:$A$225,0)),""))</f>
        <v>#DIV/0!</v>
      </c>
      <c r="R5" s="12" t="e">
        <f>IF($A5="","",IF(IFERROR(INDEX(Scores!$X$2:$X$225,MATCH($A5,Scores!$A$2:$A$225,0)),0)=1,"Complete","Waiting"))</f>
        <v>#DIV/0!</v>
      </c>
      <c r="S5" s="12" t="e">
        <f>IF($A5="","",IFERROR(INDEX(Scores!$Y$2:$Y$225,MATCH($A5,Scores!$A$2:$A$225,0)),""))</f>
        <v>#DIV/0!</v>
      </c>
    </row>
    <row r="6" spans="1:19">
      <c r="A6" s="12" t="e">
        <f>IF(INT((1)/Setup!$B$13)+1&lt;=Setup!$B$5,INDEX(Scores!$A$2:$A$225,2+(INT((1)/Setup!$B$13)+1-1)*28+(MOD(1,Setup!$B$13)+1-1)-1),"")</f>
        <v>#DIV/0!</v>
      </c>
      <c r="B6" s="12" t="e">
        <f>IF(INT((1)/Setup!$B$13)+1&lt;=Setup!$B$5,CHAR(64+INT((1)/Setup!$B$13)+1),"")</f>
        <v>#DIV/0!</v>
      </c>
      <c r="C6" s="12" t="e">
        <f>IF(INT((1)/Setup!$B$13)+1&lt;=Setup!$B$5,INDEX(Scores!$E$2:$E$225,2+(INT((1)/Setup!$B$13)+1-1)*28+(MOD(1,Setup!$B$13)+1-1)-1),"")</f>
        <v>#DIV/0!</v>
      </c>
      <c r="D6" s="12" t="e">
        <f>IF(INT((1)/Setup!$B$13)+1&lt;=Setup!$B$5,INDEX(Scores!$G$2:$G$225,2+(INT((1)/Setup!$B$13)+1-1)*28+(MOD(1,Setup!$B$13)+1-1)-1),"")</f>
        <v>#DIV/0!</v>
      </c>
      <c r="E6" s="12" t="e">
        <f>IF(INT((1)/Setup!$B$13)+1&lt;=Setup!$B$5,INDEX(Scores!$I$2:$I$225,2+(INT((1)/Setup!$B$13)+1-1)*28+(MOD(1,Setup!$B$13)+1-1)-1),"")</f>
        <v>#DIV/0!</v>
      </c>
      <c r="F6" s="66"/>
      <c r="G6" s="67"/>
      <c r="H6" s="66"/>
      <c r="I6" s="67"/>
      <c r="J6" s="66"/>
      <c r="K6" s="67"/>
      <c r="L6" s="66"/>
      <c r="M6" s="67"/>
      <c r="N6" s="66"/>
      <c r="O6" s="67"/>
      <c r="P6" s="6" t="e">
        <f>IF($A6="","",IFERROR(INDEX(Scores!$T$2:$T$225,MATCH($A6,Scores!$A$2:$A$225,0)),""))</f>
        <v>#DIV/0!</v>
      </c>
      <c r="Q6" s="6" t="e">
        <f>IF($A6="","",IFERROR(INDEX(Scores!$U$2:$U$225,MATCH($A6,Scores!$A$2:$A$225,0)),""))</f>
        <v>#DIV/0!</v>
      </c>
      <c r="R6" s="12" t="e">
        <f>IF($A6="","",IF(IFERROR(INDEX(Scores!$X$2:$X$225,MATCH($A6,Scores!$A$2:$A$225,0)),0)=1,"Complete","Waiting"))</f>
        <v>#DIV/0!</v>
      </c>
      <c r="S6" s="12" t="e">
        <f>IF($A6="","",IFERROR(INDEX(Scores!$Y$2:$Y$225,MATCH($A6,Scores!$A$2:$A$225,0)),""))</f>
        <v>#DIV/0!</v>
      </c>
    </row>
    <row r="7" spans="1:19">
      <c r="A7" s="12" t="e">
        <f>IF(INT((2)/Setup!$B$13)+1&lt;=Setup!$B$5,INDEX(Scores!$A$2:$A$225,2+(INT((2)/Setup!$B$13)+1-1)*28+(MOD(2,Setup!$B$13)+1-1)-1),"")</f>
        <v>#DIV/0!</v>
      </c>
      <c r="B7" s="12" t="e">
        <f>IF(INT((2)/Setup!$B$13)+1&lt;=Setup!$B$5,CHAR(64+INT((2)/Setup!$B$13)+1),"")</f>
        <v>#DIV/0!</v>
      </c>
      <c r="C7" s="12" t="e">
        <f>IF(INT((2)/Setup!$B$13)+1&lt;=Setup!$B$5,INDEX(Scores!$E$2:$E$225,2+(INT((2)/Setup!$B$13)+1-1)*28+(MOD(2,Setup!$B$13)+1-1)-1),"")</f>
        <v>#DIV/0!</v>
      </c>
      <c r="D7" s="12" t="e">
        <f>IF(INT((2)/Setup!$B$13)+1&lt;=Setup!$B$5,INDEX(Scores!$G$2:$G$225,2+(INT((2)/Setup!$B$13)+1-1)*28+(MOD(2,Setup!$B$13)+1-1)-1),"")</f>
        <v>#DIV/0!</v>
      </c>
      <c r="E7" s="12" t="e">
        <f>IF(INT((2)/Setup!$B$13)+1&lt;=Setup!$B$5,INDEX(Scores!$I$2:$I$225,2+(INT((2)/Setup!$B$13)+1-1)*28+(MOD(2,Setup!$B$13)+1-1)-1),"")</f>
        <v>#DIV/0!</v>
      </c>
      <c r="F7" s="66"/>
      <c r="G7" s="67"/>
      <c r="H7" s="66"/>
      <c r="I7" s="67"/>
      <c r="J7" s="66"/>
      <c r="K7" s="67"/>
      <c r="L7" s="66"/>
      <c r="M7" s="67"/>
      <c r="N7" s="66"/>
      <c r="O7" s="67"/>
      <c r="P7" s="6" t="e">
        <f>IF($A7="","",IFERROR(INDEX(Scores!$T$2:$T$225,MATCH($A7,Scores!$A$2:$A$225,0)),""))</f>
        <v>#DIV/0!</v>
      </c>
      <c r="Q7" s="6" t="e">
        <f>IF($A7="","",IFERROR(INDEX(Scores!$U$2:$U$225,MATCH($A7,Scores!$A$2:$A$225,0)),""))</f>
        <v>#DIV/0!</v>
      </c>
      <c r="R7" s="12" t="e">
        <f>IF($A7="","",IF(IFERROR(INDEX(Scores!$X$2:$X$225,MATCH($A7,Scores!$A$2:$A$225,0)),0)=1,"Complete","Waiting"))</f>
        <v>#DIV/0!</v>
      </c>
      <c r="S7" s="12" t="e">
        <f>IF($A7="","",IFERROR(INDEX(Scores!$Y$2:$Y$225,MATCH($A7,Scores!$A$2:$A$225,0)),""))</f>
        <v>#DIV/0!</v>
      </c>
    </row>
    <row r="8" spans="1:19">
      <c r="A8" s="12" t="e">
        <f>IF(INT((3)/Setup!$B$13)+1&lt;=Setup!$B$5,INDEX(Scores!$A$2:$A$225,2+(INT((3)/Setup!$B$13)+1-1)*28+(MOD(3,Setup!$B$13)+1-1)-1),"")</f>
        <v>#DIV/0!</v>
      </c>
      <c r="B8" s="12" t="e">
        <f>IF(INT((3)/Setup!$B$13)+1&lt;=Setup!$B$5,CHAR(64+INT((3)/Setup!$B$13)+1),"")</f>
        <v>#DIV/0!</v>
      </c>
      <c r="C8" s="12" t="e">
        <f>IF(INT((3)/Setup!$B$13)+1&lt;=Setup!$B$5,INDEX(Scores!$E$2:$E$225,2+(INT((3)/Setup!$B$13)+1-1)*28+(MOD(3,Setup!$B$13)+1-1)-1),"")</f>
        <v>#DIV/0!</v>
      </c>
      <c r="D8" s="12" t="e">
        <f>IF(INT((3)/Setup!$B$13)+1&lt;=Setup!$B$5,INDEX(Scores!$G$2:$G$225,2+(INT((3)/Setup!$B$13)+1-1)*28+(MOD(3,Setup!$B$13)+1-1)-1),"")</f>
        <v>#DIV/0!</v>
      </c>
      <c r="E8" s="12" t="e">
        <f>IF(INT((3)/Setup!$B$13)+1&lt;=Setup!$B$5,INDEX(Scores!$I$2:$I$225,2+(INT((3)/Setup!$B$13)+1-1)*28+(MOD(3,Setup!$B$13)+1-1)-1),"")</f>
        <v>#DIV/0!</v>
      </c>
      <c r="F8" s="66"/>
      <c r="G8" s="67"/>
      <c r="H8" s="66"/>
      <c r="I8" s="67"/>
      <c r="J8" s="66"/>
      <c r="K8" s="67"/>
      <c r="L8" s="66"/>
      <c r="M8" s="67"/>
      <c r="N8" s="66"/>
      <c r="O8" s="67"/>
      <c r="P8" s="6" t="e">
        <f>IF($A8="","",IFERROR(INDEX(Scores!$T$2:$T$225,MATCH($A8,Scores!$A$2:$A$225,0)),""))</f>
        <v>#DIV/0!</v>
      </c>
      <c r="Q8" s="6" t="e">
        <f>IF($A8="","",IFERROR(INDEX(Scores!$U$2:$U$225,MATCH($A8,Scores!$A$2:$A$225,0)),""))</f>
        <v>#DIV/0!</v>
      </c>
      <c r="R8" s="12" t="e">
        <f>IF($A8="","",IF(IFERROR(INDEX(Scores!$X$2:$X$225,MATCH($A8,Scores!$A$2:$A$225,0)),0)=1,"Complete","Waiting"))</f>
        <v>#DIV/0!</v>
      </c>
      <c r="S8" s="12" t="e">
        <f>IF($A8="","",IFERROR(INDEX(Scores!$Y$2:$Y$225,MATCH($A8,Scores!$A$2:$A$225,0)),""))</f>
        <v>#DIV/0!</v>
      </c>
    </row>
    <row r="9" spans="1:19">
      <c r="A9" s="12" t="e">
        <f>IF(INT((4)/Setup!$B$13)+1&lt;=Setup!$B$5,INDEX(Scores!$A$2:$A$225,2+(INT((4)/Setup!$B$13)+1-1)*28+(MOD(4,Setup!$B$13)+1-1)-1),"")</f>
        <v>#DIV/0!</v>
      </c>
      <c r="B9" s="12" t="e">
        <f>IF(INT((4)/Setup!$B$13)+1&lt;=Setup!$B$5,CHAR(64+INT((4)/Setup!$B$13)+1),"")</f>
        <v>#DIV/0!</v>
      </c>
      <c r="C9" s="12" t="e">
        <f>IF(INT((4)/Setup!$B$13)+1&lt;=Setup!$B$5,INDEX(Scores!$E$2:$E$225,2+(INT((4)/Setup!$B$13)+1-1)*28+(MOD(4,Setup!$B$13)+1-1)-1),"")</f>
        <v>#DIV/0!</v>
      </c>
      <c r="D9" s="12" t="e">
        <f>IF(INT((4)/Setup!$B$13)+1&lt;=Setup!$B$5,INDEX(Scores!$G$2:$G$225,2+(INT((4)/Setup!$B$13)+1-1)*28+(MOD(4,Setup!$B$13)+1-1)-1),"")</f>
        <v>#DIV/0!</v>
      </c>
      <c r="E9" s="12" t="e">
        <f>IF(INT((4)/Setup!$B$13)+1&lt;=Setup!$B$5,INDEX(Scores!$I$2:$I$225,2+(INT((4)/Setup!$B$13)+1-1)*28+(MOD(4,Setup!$B$13)+1-1)-1),"")</f>
        <v>#DIV/0!</v>
      </c>
      <c r="F9" s="66"/>
      <c r="G9" s="67"/>
      <c r="H9" s="66"/>
      <c r="I9" s="67"/>
      <c r="J9" s="66"/>
      <c r="K9" s="67"/>
      <c r="L9" s="66"/>
      <c r="M9" s="67"/>
      <c r="N9" s="66"/>
      <c r="O9" s="67"/>
      <c r="P9" s="6" t="e">
        <f>IF($A9="","",IFERROR(INDEX(Scores!$T$2:$T$225,MATCH($A9,Scores!$A$2:$A$225,0)),""))</f>
        <v>#DIV/0!</v>
      </c>
      <c r="Q9" s="6" t="e">
        <f>IF($A9="","",IFERROR(INDEX(Scores!$U$2:$U$225,MATCH($A9,Scores!$A$2:$A$225,0)),""))</f>
        <v>#DIV/0!</v>
      </c>
      <c r="R9" s="12" t="e">
        <f>IF($A9="","",IF(IFERROR(INDEX(Scores!$X$2:$X$225,MATCH($A9,Scores!$A$2:$A$225,0)),0)=1,"Complete","Waiting"))</f>
        <v>#DIV/0!</v>
      </c>
      <c r="S9" s="12" t="e">
        <f>IF($A9="","",IFERROR(INDEX(Scores!$Y$2:$Y$225,MATCH($A9,Scores!$A$2:$A$225,0)),""))</f>
        <v>#DIV/0!</v>
      </c>
    </row>
    <row r="10" spans="1:19">
      <c r="A10" s="12" t="e">
        <f>IF(INT((5)/Setup!$B$13)+1&lt;=Setup!$B$5,INDEX(Scores!$A$2:$A$225,2+(INT((5)/Setup!$B$13)+1-1)*28+(MOD(5,Setup!$B$13)+1-1)-1),"")</f>
        <v>#DIV/0!</v>
      </c>
      <c r="B10" s="12" t="e">
        <f>IF(INT((5)/Setup!$B$13)+1&lt;=Setup!$B$5,CHAR(64+INT((5)/Setup!$B$13)+1),"")</f>
        <v>#DIV/0!</v>
      </c>
      <c r="C10" s="12" t="e">
        <f>IF(INT((5)/Setup!$B$13)+1&lt;=Setup!$B$5,INDEX(Scores!$E$2:$E$225,2+(INT((5)/Setup!$B$13)+1-1)*28+(MOD(5,Setup!$B$13)+1-1)-1),"")</f>
        <v>#DIV/0!</v>
      </c>
      <c r="D10" s="12" t="e">
        <f>IF(INT((5)/Setup!$B$13)+1&lt;=Setup!$B$5,INDEX(Scores!$G$2:$G$225,2+(INT((5)/Setup!$B$13)+1-1)*28+(MOD(5,Setup!$B$13)+1-1)-1),"")</f>
        <v>#DIV/0!</v>
      </c>
      <c r="E10" s="12" t="e">
        <f>IF(INT((5)/Setup!$B$13)+1&lt;=Setup!$B$5,INDEX(Scores!$I$2:$I$225,2+(INT((5)/Setup!$B$13)+1-1)*28+(MOD(5,Setup!$B$13)+1-1)-1),"")</f>
        <v>#DIV/0!</v>
      </c>
      <c r="F10" s="66"/>
      <c r="G10" s="67"/>
      <c r="H10" s="66"/>
      <c r="I10" s="67"/>
      <c r="J10" s="66"/>
      <c r="K10" s="67"/>
      <c r="L10" s="66"/>
      <c r="M10" s="67"/>
      <c r="N10" s="66"/>
      <c r="O10" s="67"/>
      <c r="P10" s="6" t="e">
        <f>IF($A10="","",IFERROR(INDEX(Scores!$T$2:$T$225,MATCH($A10,Scores!$A$2:$A$225,0)),""))</f>
        <v>#DIV/0!</v>
      </c>
      <c r="Q10" s="6" t="e">
        <f>IF($A10="","",IFERROR(INDEX(Scores!$U$2:$U$225,MATCH($A10,Scores!$A$2:$A$225,0)),""))</f>
        <v>#DIV/0!</v>
      </c>
      <c r="R10" s="12" t="e">
        <f>IF($A10="","",IF(IFERROR(INDEX(Scores!$X$2:$X$225,MATCH($A10,Scores!$A$2:$A$225,0)),0)=1,"Complete","Waiting"))</f>
        <v>#DIV/0!</v>
      </c>
      <c r="S10" s="12" t="e">
        <f>IF($A10="","",IFERROR(INDEX(Scores!$Y$2:$Y$225,MATCH($A10,Scores!$A$2:$A$225,0)),""))</f>
        <v>#DIV/0!</v>
      </c>
    </row>
    <row r="11" spans="1:19">
      <c r="A11" s="12" t="e">
        <f>IF(INT((6)/Setup!$B$13)+1&lt;=Setup!$B$5,INDEX(Scores!$A$2:$A$225,2+(INT((6)/Setup!$B$13)+1-1)*28+(MOD(6,Setup!$B$13)+1-1)-1),"")</f>
        <v>#DIV/0!</v>
      </c>
      <c r="B11" s="12" t="e">
        <f>IF(INT((6)/Setup!$B$13)+1&lt;=Setup!$B$5,CHAR(64+INT((6)/Setup!$B$13)+1),"")</f>
        <v>#DIV/0!</v>
      </c>
      <c r="C11" s="12" t="e">
        <f>IF(INT((6)/Setup!$B$13)+1&lt;=Setup!$B$5,INDEX(Scores!$E$2:$E$225,2+(INT((6)/Setup!$B$13)+1-1)*28+(MOD(6,Setup!$B$13)+1-1)-1),"")</f>
        <v>#DIV/0!</v>
      </c>
      <c r="D11" s="12" t="e">
        <f>IF(INT((6)/Setup!$B$13)+1&lt;=Setup!$B$5,INDEX(Scores!$G$2:$G$225,2+(INT((6)/Setup!$B$13)+1-1)*28+(MOD(6,Setup!$B$13)+1-1)-1),"")</f>
        <v>#DIV/0!</v>
      </c>
      <c r="E11" s="12" t="e">
        <f>IF(INT((6)/Setup!$B$13)+1&lt;=Setup!$B$5,INDEX(Scores!$I$2:$I$225,2+(INT((6)/Setup!$B$13)+1-1)*28+(MOD(6,Setup!$B$13)+1-1)-1),"")</f>
        <v>#DIV/0!</v>
      </c>
      <c r="F11" s="66"/>
      <c r="G11" s="67"/>
      <c r="H11" s="66"/>
      <c r="I11" s="67"/>
      <c r="J11" s="66"/>
      <c r="K11" s="67"/>
      <c r="L11" s="66"/>
      <c r="M11" s="67"/>
      <c r="N11" s="66"/>
      <c r="O11" s="67"/>
      <c r="P11" s="6" t="e">
        <f>IF($A11="","",IFERROR(INDEX(Scores!$T$2:$T$225,MATCH($A11,Scores!$A$2:$A$225,0)),""))</f>
        <v>#DIV/0!</v>
      </c>
      <c r="Q11" s="6" t="e">
        <f>IF($A11="","",IFERROR(INDEX(Scores!$U$2:$U$225,MATCH($A11,Scores!$A$2:$A$225,0)),""))</f>
        <v>#DIV/0!</v>
      </c>
      <c r="R11" s="12" t="e">
        <f>IF($A11="","",IF(IFERROR(INDEX(Scores!$X$2:$X$225,MATCH($A11,Scores!$A$2:$A$225,0)),0)=1,"Complete","Waiting"))</f>
        <v>#DIV/0!</v>
      </c>
      <c r="S11" s="12" t="e">
        <f>IF($A11="","",IFERROR(INDEX(Scores!$Y$2:$Y$225,MATCH($A11,Scores!$A$2:$A$225,0)),""))</f>
        <v>#DIV/0!</v>
      </c>
    </row>
    <row r="12" spans="1:19">
      <c r="A12" s="12" t="e">
        <f>IF(INT((7)/Setup!$B$13)+1&lt;=Setup!$B$5,INDEX(Scores!$A$2:$A$225,2+(INT((7)/Setup!$B$13)+1-1)*28+(MOD(7,Setup!$B$13)+1-1)-1),"")</f>
        <v>#DIV/0!</v>
      </c>
      <c r="B12" s="12" t="e">
        <f>IF(INT((7)/Setup!$B$13)+1&lt;=Setup!$B$5,CHAR(64+INT((7)/Setup!$B$13)+1),"")</f>
        <v>#DIV/0!</v>
      </c>
      <c r="C12" s="12" t="e">
        <f>IF(INT((7)/Setup!$B$13)+1&lt;=Setup!$B$5,INDEX(Scores!$E$2:$E$225,2+(INT((7)/Setup!$B$13)+1-1)*28+(MOD(7,Setup!$B$13)+1-1)-1),"")</f>
        <v>#DIV/0!</v>
      </c>
      <c r="D12" s="12" t="e">
        <f>IF(INT((7)/Setup!$B$13)+1&lt;=Setup!$B$5,INDEX(Scores!$G$2:$G$225,2+(INT((7)/Setup!$B$13)+1-1)*28+(MOD(7,Setup!$B$13)+1-1)-1),"")</f>
        <v>#DIV/0!</v>
      </c>
      <c r="E12" s="12" t="e">
        <f>IF(INT((7)/Setup!$B$13)+1&lt;=Setup!$B$5,INDEX(Scores!$I$2:$I$225,2+(INT((7)/Setup!$B$13)+1-1)*28+(MOD(7,Setup!$B$13)+1-1)-1),"")</f>
        <v>#DIV/0!</v>
      </c>
      <c r="F12" s="66"/>
      <c r="G12" s="67"/>
      <c r="H12" s="66"/>
      <c r="I12" s="67"/>
      <c r="J12" s="66"/>
      <c r="K12" s="67"/>
      <c r="L12" s="66"/>
      <c r="M12" s="67"/>
      <c r="N12" s="66"/>
      <c r="O12" s="67"/>
      <c r="P12" s="6" t="e">
        <f>IF($A12="","",IFERROR(INDEX(Scores!$T$2:$T$225,MATCH($A12,Scores!$A$2:$A$225,0)),""))</f>
        <v>#DIV/0!</v>
      </c>
      <c r="Q12" s="6" t="e">
        <f>IF($A12="","",IFERROR(INDEX(Scores!$U$2:$U$225,MATCH($A12,Scores!$A$2:$A$225,0)),""))</f>
        <v>#DIV/0!</v>
      </c>
      <c r="R12" s="12" t="e">
        <f>IF($A12="","",IF(IFERROR(INDEX(Scores!$X$2:$X$225,MATCH($A12,Scores!$A$2:$A$225,0)),0)=1,"Complete","Waiting"))</f>
        <v>#DIV/0!</v>
      </c>
      <c r="S12" s="12" t="e">
        <f>IF($A12="","",IFERROR(INDEX(Scores!$Y$2:$Y$225,MATCH($A12,Scores!$A$2:$A$225,0)),""))</f>
        <v>#DIV/0!</v>
      </c>
    </row>
    <row r="13" spans="1:19">
      <c r="A13" s="12" t="e">
        <f>IF(INT((8)/Setup!$B$13)+1&lt;=Setup!$B$5,INDEX(Scores!$A$2:$A$225,2+(INT((8)/Setup!$B$13)+1-1)*28+(MOD(8,Setup!$B$13)+1-1)-1),"")</f>
        <v>#DIV/0!</v>
      </c>
      <c r="B13" s="12" t="e">
        <f>IF(INT((8)/Setup!$B$13)+1&lt;=Setup!$B$5,CHAR(64+INT((8)/Setup!$B$13)+1),"")</f>
        <v>#DIV/0!</v>
      </c>
      <c r="C13" s="12" t="e">
        <f>IF(INT((8)/Setup!$B$13)+1&lt;=Setup!$B$5,INDEX(Scores!$E$2:$E$225,2+(INT((8)/Setup!$B$13)+1-1)*28+(MOD(8,Setup!$B$13)+1-1)-1),"")</f>
        <v>#DIV/0!</v>
      </c>
      <c r="D13" s="12" t="e">
        <f>IF(INT((8)/Setup!$B$13)+1&lt;=Setup!$B$5,INDEX(Scores!$G$2:$G$225,2+(INT((8)/Setup!$B$13)+1-1)*28+(MOD(8,Setup!$B$13)+1-1)-1),"")</f>
        <v>#DIV/0!</v>
      </c>
      <c r="E13" s="12" t="e">
        <f>IF(INT((8)/Setup!$B$13)+1&lt;=Setup!$B$5,INDEX(Scores!$I$2:$I$225,2+(INT((8)/Setup!$B$13)+1-1)*28+(MOD(8,Setup!$B$13)+1-1)-1),"")</f>
        <v>#DIV/0!</v>
      </c>
      <c r="F13" s="66"/>
      <c r="G13" s="67"/>
      <c r="H13" s="66"/>
      <c r="I13" s="67"/>
      <c r="J13" s="66"/>
      <c r="K13" s="67"/>
      <c r="L13" s="66"/>
      <c r="M13" s="67"/>
      <c r="N13" s="66"/>
      <c r="O13" s="67"/>
      <c r="P13" s="6" t="e">
        <f>IF($A13="","",IFERROR(INDEX(Scores!$T$2:$T$225,MATCH($A13,Scores!$A$2:$A$225,0)),""))</f>
        <v>#DIV/0!</v>
      </c>
      <c r="Q13" s="6" t="e">
        <f>IF($A13="","",IFERROR(INDEX(Scores!$U$2:$U$225,MATCH($A13,Scores!$A$2:$A$225,0)),""))</f>
        <v>#DIV/0!</v>
      </c>
      <c r="R13" s="12" t="e">
        <f>IF($A13="","",IF(IFERROR(INDEX(Scores!$X$2:$X$225,MATCH($A13,Scores!$A$2:$A$225,0)),0)=1,"Complete","Waiting"))</f>
        <v>#DIV/0!</v>
      </c>
      <c r="S13" s="12" t="e">
        <f>IF($A13="","",IFERROR(INDEX(Scores!$Y$2:$Y$225,MATCH($A13,Scores!$A$2:$A$225,0)),""))</f>
        <v>#DIV/0!</v>
      </c>
    </row>
    <row r="14" spans="1:19">
      <c r="A14" s="12" t="e">
        <f>IF(INT((9)/Setup!$B$13)+1&lt;=Setup!$B$5,INDEX(Scores!$A$2:$A$225,2+(INT((9)/Setup!$B$13)+1-1)*28+(MOD(9,Setup!$B$13)+1-1)-1),"")</f>
        <v>#DIV/0!</v>
      </c>
      <c r="B14" s="12" t="e">
        <f>IF(INT((9)/Setup!$B$13)+1&lt;=Setup!$B$5,CHAR(64+INT((9)/Setup!$B$13)+1),"")</f>
        <v>#DIV/0!</v>
      </c>
      <c r="C14" s="12" t="e">
        <f>IF(INT((9)/Setup!$B$13)+1&lt;=Setup!$B$5,INDEX(Scores!$E$2:$E$225,2+(INT((9)/Setup!$B$13)+1-1)*28+(MOD(9,Setup!$B$13)+1-1)-1),"")</f>
        <v>#DIV/0!</v>
      </c>
      <c r="D14" s="12" t="e">
        <f>IF(INT((9)/Setup!$B$13)+1&lt;=Setup!$B$5,INDEX(Scores!$G$2:$G$225,2+(INT((9)/Setup!$B$13)+1-1)*28+(MOD(9,Setup!$B$13)+1-1)-1),"")</f>
        <v>#DIV/0!</v>
      </c>
      <c r="E14" s="12" t="e">
        <f>IF(INT((9)/Setup!$B$13)+1&lt;=Setup!$B$5,INDEX(Scores!$I$2:$I$225,2+(INT((9)/Setup!$B$13)+1-1)*28+(MOD(9,Setup!$B$13)+1-1)-1),"")</f>
        <v>#DIV/0!</v>
      </c>
      <c r="F14" s="66"/>
      <c r="G14" s="67"/>
      <c r="H14" s="66"/>
      <c r="I14" s="67"/>
      <c r="J14" s="66"/>
      <c r="K14" s="67"/>
      <c r="L14" s="66"/>
      <c r="M14" s="67"/>
      <c r="N14" s="66"/>
      <c r="O14" s="67"/>
      <c r="P14" s="6" t="e">
        <f>IF($A14="","",IFERROR(INDEX(Scores!$T$2:$T$225,MATCH($A14,Scores!$A$2:$A$225,0)),""))</f>
        <v>#DIV/0!</v>
      </c>
      <c r="Q14" s="6" t="e">
        <f>IF($A14="","",IFERROR(INDEX(Scores!$U$2:$U$225,MATCH($A14,Scores!$A$2:$A$225,0)),""))</f>
        <v>#DIV/0!</v>
      </c>
      <c r="R14" s="12" t="e">
        <f>IF($A14="","",IF(IFERROR(INDEX(Scores!$X$2:$X$225,MATCH($A14,Scores!$A$2:$A$225,0)),0)=1,"Complete","Waiting"))</f>
        <v>#DIV/0!</v>
      </c>
      <c r="S14" s="12" t="e">
        <f>IF($A14="","",IFERROR(INDEX(Scores!$Y$2:$Y$225,MATCH($A14,Scores!$A$2:$A$225,0)),""))</f>
        <v>#DIV/0!</v>
      </c>
    </row>
    <row r="15" spans="1:19">
      <c r="A15" s="12" t="e">
        <f>IF(INT((10)/Setup!$B$13)+1&lt;=Setup!$B$5,INDEX(Scores!$A$2:$A$225,2+(INT((10)/Setup!$B$13)+1-1)*28+(MOD(10,Setup!$B$13)+1-1)-1),"")</f>
        <v>#DIV/0!</v>
      </c>
      <c r="B15" s="12" t="e">
        <f>IF(INT((10)/Setup!$B$13)+1&lt;=Setup!$B$5,CHAR(64+INT((10)/Setup!$B$13)+1),"")</f>
        <v>#DIV/0!</v>
      </c>
      <c r="C15" s="12" t="e">
        <f>IF(INT((10)/Setup!$B$13)+1&lt;=Setup!$B$5,INDEX(Scores!$E$2:$E$225,2+(INT((10)/Setup!$B$13)+1-1)*28+(MOD(10,Setup!$B$13)+1-1)-1),"")</f>
        <v>#DIV/0!</v>
      </c>
      <c r="D15" s="12" t="e">
        <f>IF(INT((10)/Setup!$B$13)+1&lt;=Setup!$B$5,INDEX(Scores!$G$2:$G$225,2+(INT((10)/Setup!$B$13)+1-1)*28+(MOD(10,Setup!$B$13)+1-1)-1),"")</f>
        <v>#DIV/0!</v>
      </c>
      <c r="E15" s="12" t="e">
        <f>IF(INT((10)/Setup!$B$13)+1&lt;=Setup!$B$5,INDEX(Scores!$I$2:$I$225,2+(INT((10)/Setup!$B$13)+1-1)*28+(MOD(10,Setup!$B$13)+1-1)-1),"")</f>
        <v>#DIV/0!</v>
      </c>
      <c r="F15" s="66"/>
      <c r="G15" s="67"/>
      <c r="H15" s="66"/>
      <c r="I15" s="67"/>
      <c r="J15" s="66"/>
      <c r="K15" s="67"/>
      <c r="L15" s="66"/>
      <c r="M15" s="67"/>
      <c r="N15" s="66"/>
      <c r="O15" s="67"/>
      <c r="P15" s="6" t="e">
        <f>IF($A15="","",IFERROR(INDEX(Scores!$T$2:$T$225,MATCH($A15,Scores!$A$2:$A$225,0)),""))</f>
        <v>#DIV/0!</v>
      </c>
      <c r="Q15" s="6" t="e">
        <f>IF($A15="","",IFERROR(INDEX(Scores!$U$2:$U$225,MATCH($A15,Scores!$A$2:$A$225,0)),""))</f>
        <v>#DIV/0!</v>
      </c>
      <c r="R15" s="12" t="e">
        <f>IF($A15="","",IF(IFERROR(INDEX(Scores!$X$2:$X$225,MATCH($A15,Scores!$A$2:$A$225,0)),0)=1,"Complete","Waiting"))</f>
        <v>#DIV/0!</v>
      </c>
      <c r="S15" s="12" t="e">
        <f>IF($A15="","",IFERROR(INDEX(Scores!$Y$2:$Y$225,MATCH($A15,Scores!$A$2:$A$225,0)),""))</f>
        <v>#DIV/0!</v>
      </c>
    </row>
    <row r="16" spans="1:19">
      <c r="A16" s="12" t="e">
        <f>IF(INT((11)/Setup!$B$13)+1&lt;=Setup!$B$5,INDEX(Scores!$A$2:$A$225,2+(INT((11)/Setup!$B$13)+1-1)*28+(MOD(11,Setup!$B$13)+1-1)-1),"")</f>
        <v>#DIV/0!</v>
      </c>
      <c r="B16" s="12" t="e">
        <f>IF(INT((11)/Setup!$B$13)+1&lt;=Setup!$B$5,CHAR(64+INT((11)/Setup!$B$13)+1),"")</f>
        <v>#DIV/0!</v>
      </c>
      <c r="C16" s="12" t="e">
        <f>IF(INT((11)/Setup!$B$13)+1&lt;=Setup!$B$5,INDEX(Scores!$E$2:$E$225,2+(INT((11)/Setup!$B$13)+1-1)*28+(MOD(11,Setup!$B$13)+1-1)-1),"")</f>
        <v>#DIV/0!</v>
      </c>
      <c r="D16" s="12" t="e">
        <f>IF(INT((11)/Setup!$B$13)+1&lt;=Setup!$B$5,INDEX(Scores!$G$2:$G$225,2+(INT((11)/Setup!$B$13)+1-1)*28+(MOD(11,Setup!$B$13)+1-1)-1),"")</f>
        <v>#DIV/0!</v>
      </c>
      <c r="E16" s="12" t="e">
        <f>IF(INT((11)/Setup!$B$13)+1&lt;=Setup!$B$5,INDEX(Scores!$I$2:$I$225,2+(INT((11)/Setup!$B$13)+1-1)*28+(MOD(11,Setup!$B$13)+1-1)-1),"")</f>
        <v>#DIV/0!</v>
      </c>
      <c r="F16" s="66"/>
      <c r="G16" s="67"/>
      <c r="H16" s="66"/>
      <c r="I16" s="67"/>
      <c r="J16" s="66"/>
      <c r="K16" s="67"/>
      <c r="L16" s="66"/>
      <c r="M16" s="67"/>
      <c r="N16" s="66"/>
      <c r="O16" s="67"/>
      <c r="P16" s="6" t="e">
        <f>IF($A16="","",IFERROR(INDEX(Scores!$T$2:$T$225,MATCH($A16,Scores!$A$2:$A$225,0)),""))</f>
        <v>#DIV/0!</v>
      </c>
      <c r="Q16" s="6" t="e">
        <f>IF($A16="","",IFERROR(INDEX(Scores!$U$2:$U$225,MATCH($A16,Scores!$A$2:$A$225,0)),""))</f>
        <v>#DIV/0!</v>
      </c>
      <c r="R16" s="12" t="e">
        <f>IF($A16="","",IF(IFERROR(INDEX(Scores!$X$2:$X$225,MATCH($A16,Scores!$A$2:$A$225,0)),0)=1,"Complete","Waiting"))</f>
        <v>#DIV/0!</v>
      </c>
      <c r="S16" s="12" t="e">
        <f>IF($A16="","",IFERROR(INDEX(Scores!$Y$2:$Y$225,MATCH($A16,Scores!$A$2:$A$225,0)),""))</f>
        <v>#DIV/0!</v>
      </c>
    </row>
    <row r="17" spans="1:19">
      <c r="A17" s="12" t="e">
        <f>IF(INT((12)/Setup!$B$13)+1&lt;=Setup!$B$5,INDEX(Scores!$A$2:$A$225,2+(INT((12)/Setup!$B$13)+1-1)*28+(MOD(12,Setup!$B$13)+1-1)-1),"")</f>
        <v>#DIV/0!</v>
      </c>
      <c r="B17" s="12" t="e">
        <f>IF(INT((12)/Setup!$B$13)+1&lt;=Setup!$B$5,CHAR(64+INT((12)/Setup!$B$13)+1),"")</f>
        <v>#DIV/0!</v>
      </c>
      <c r="C17" s="12" t="e">
        <f>IF(INT((12)/Setup!$B$13)+1&lt;=Setup!$B$5,INDEX(Scores!$E$2:$E$225,2+(INT((12)/Setup!$B$13)+1-1)*28+(MOD(12,Setup!$B$13)+1-1)-1),"")</f>
        <v>#DIV/0!</v>
      </c>
      <c r="D17" s="12" t="e">
        <f>IF(INT((12)/Setup!$B$13)+1&lt;=Setup!$B$5,INDEX(Scores!$G$2:$G$225,2+(INT((12)/Setup!$B$13)+1-1)*28+(MOD(12,Setup!$B$13)+1-1)-1),"")</f>
        <v>#DIV/0!</v>
      </c>
      <c r="E17" s="12" t="e">
        <f>IF(INT((12)/Setup!$B$13)+1&lt;=Setup!$B$5,INDEX(Scores!$I$2:$I$225,2+(INT((12)/Setup!$B$13)+1-1)*28+(MOD(12,Setup!$B$13)+1-1)-1),"")</f>
        <v>#DIV/0!</v>
      </c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" t="e">
        <f>IF($A17="","",IFERROR(INDEX(Scores!$T$2:$T$225,MATCH($A17,Scores!$A$2:$A$225,0)),""))</f>
        <v>#DIV/0!</v>
      </c>
      <c r="Q17" s="6" t="e">
        <f>IF($A17="","",IFERROR(INDEX(Scores!$U$2:$U$225,MATCH($A17,Scores!$A$2:$A$225,0)),""))</f>
        <v>#DIV/0!</v>
      </c>
      <c r="R17" s="12" t="e">
        <f>IF($A17="","",IF(IFERROR(INDEX(Scores!$X$2:$X$225,MATCH($A17,Scores!$A$2:$A$225,0)),0)=1,"Complete","Waiting"))</f>
        <v>#DIV/0!</v>
      </c>
      <c r="S17" s="12" t="e">
        <f>IF($A17="","",IFERROR(INDEX(Scores!$Y$2:$Y$225,MATCH($A17,Scores!$A$2:$A$225,0)),""))</f>
        <v>#DIV/0!</v>
      </c>
    </row>
    <row r="18" spans="1:19">
      <c r="A18" s="12" t="e">
        <f>IF(INT((13)/Setup!$B$13)+1&lt;=Setup!$B$5,INDEX(Scores!$A$2:$A$225,2+(INT((13)/Setup!$B$13)+1-1)*28+(MOD(13,Setup!$B$13)+1-1)-1),"")</f>
        <v>#DIV/0!</v>
      </c>
      <c r="B18" s="12" t="e">
        <f>IF(INT((13)/Setup!$B$13)+1&lt;=Setup!$B$5,CHAR(64+INT((13)/Setup!$B$13)+1),"")</f>
        <v>#DIV/0!</v>
      </c>
      <c r="C18" s="12" t="e">
        <f>IF(INT((13)/Setup!$B$13)+1&lt;=Setup!$B$5,INDEX(Scores!$E$2:$E$225,2+(INT((13)/Setup!$B$13)+1-1)*28+(MOD(13,Setup!$B$13)+1-1)-1),"")</f>
        <v>#DIV/0!</v>
      </c>
      <c r="D18" s="12" t="e">
        <f>IF(INT((13)/Setup!$B$13)+1&lt;=Setup!$B$5,INDEX(Scores!$G$2:$G$225,2+(INT((13)/Setup!$B$13)+1-1)*28+(MOD(13,Setup!$B$13)+1-1)-1),"")</f>
        <v>#DIV/0!</v>
      </c>
      <c r="E18" s="12" t="e">
        <f>IF(INT((13)/Setup!$B$13)+1&lt;=Setup!$B$5,INDEX(Scores!$I$2:$I$225,2+(INT((13)/Setup!$B$13)+1-1)*28+(MOD(13,Setup!$B$13)+1-1)-1),"")</f>
        <v>#DIV/0!</v>
      </c>
      <c r="F18" s="66"/>
      <c r="G18" s="67"/>
      <c r="H18" s="66"/>
      <c r="I18" s="67"/>
      <c r="J18" s="66"/>
      <c r="K18" s="67"/>
      <c r="L18" s="66"/>
      <c r="M18" s="67"/>
      <c r="N18" s="66"/>
      <c r="O18" s="67"/>
      <c r="P18" s="6" t="e">
        <f>IF($A18="","",IFERROR(INDEX(Scores!$T$2:$T$225,MATCH($A18,Scores!$A$2:$A$225,0)),""))</f>
        <v>#DIV/0!</v>
      </c>
      <c r="Q18" s="6" t="e">
        <f>IF($A18="","",IFERROR(INDEX(Scores!$U$2:$U$225,MATCH($A18,Scores!$A$2:$A$225,0)),""))</f>
        <v>#DIV/0!</v>
      </c>
      <c r="R18" s="12" t="e">
        <f>IF($A18="","",IF(IFERROR(INDEX(Scores!$X$2:$X$225,MATCH($A18,Scores!$A$2:$A$225,0)),0)=1,"Complete","Waiting"))</f>
        <v>#DIV/0!</v>
      </c>
      <c r="S18" s="12" t="e">
        <f>IF($A18="","",IFERROR(INDEX(Scores!$Y$2:$Y$225,MATCH($A18,Scores!$A$2:$A$225,0)),""))</f>
        <v>#DIV/0!</v>
      </c>
    </row>
    <row r="19" spans="1:19">
      <c r="A19" s="12" t="e">
        <f>IF(INT((14)/Setup!$B$13)+1&lt;=Setup!$B$5,INDEX(Scores!$A$2:$A$225,2+(INT((14)/Setup!$B$13)+1-1)*28+(MOD(14,Setup!$B$13)+1-1)-1),"")</f>
        <v>#DIV/0!</v>
      </c>
      <c r="B19" s="12" t="e">
        <f>IF(INT((14)/Setup!$B$13)+1&lt;=Setup!$B$5,CHAR(64+INT((14)/Setup!$B$13)+1),"")</f>
        <v>#DIV/0!</v>
      </c>
      <c r="C19" s="12" t="e">
        <f>IF(INT((14)/Setup!$B$13)+1&lt;=Setup!$B$5,INDEX(Scores!$E$2:$E$225,2+(INT((14)/Setup!$B$13)+1-1)*28+(MOD(14,Setup!$B$13)+1-1)-1),"")</f>
        <v>#DIV/0!</v>
      </c>
      <c r="D19" s="12" t="e">
        <f>IF(INT((14)/Setup!$B$13)+1&lt;=Setup!$B$5,INDEX(Scores!$G$2:$G$225,2+(INT((14)/Setup!$B$13)+1-1)*28+(MOD(14,Setup!$B$13)+1-1)-1),"")</f>
        <v>#DIV/0!</v>
      </c>
      <c r="E19" s="12" t="e">
        <f>IF(INT((14)/Setup!$B$13)+1&lt;=Setup!$B$5,INDEX(Scores!$I$2:$I$225,2+(INT((14)/Setup!$B$13)+1-1)*28+(MOD(14,Setup!$B$13)+1-1)-1),"")</f>
        <v>#DIV/0!</v>
      </c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" t="e">
        <f>IF($A19="","",IFERROR(INDEX(Scores!$T$2:$T$225,MATCH($A19,Scores!$A$2:$A$225,0)),""))</f>
        <v>#DIV/0!</v>
      </c>
      <c r="Q19" s="6" t="e">
        <f>IF($A19="","",IFERROR(INDEX(Scores!$U$2:$U$225,MATCH($A19,Scores!$A$2:$A$225,0)),""))</f>
        <v>#DIV/0!</v>
      </c>
      <c r="R19" s="12" t="e">
        <f>IF($A19="","",IF(IFERROR(INDEX(Scores!$X$2:$X$225,MATCH($A19,Scores!$A$2:$A$225,0)),0)=1,"Complete","Waiting"))</f>
        <v>#DIV/0!</v>
      </c>
      <c r="S19" s="12" t="e">
        <f>IF($A19="","",IFERROR(INDEX(Scores!$Y$2:$Y$225,MATCH($A19,Scores!$A$2:$A$225,0)),""))</f>
        <v>#DIV/0!</v>
      </c>
    </row>
    <row r="20" spans="1:19">
      <c r="A20" s="12" t="e">
        <f>IF(INT((15)/Setup!$B$13)+1&lt;=Setup!$B$5,INDEX(Scores!$A$2:$A$225,2+(INT((15)/Setup!$B$13)+1-1)*28+(MOD(15,Setup!$B$13)+1-1)-1),"")</f>
        <v>#DIV/0!</v>
      </c>
      <c r="B20" s="12" t="e">
        <f>IF(INT((15)/Setup!$B$13)+1&lt;=Setup!$B$5,CHAR(64+INT((15)/Setup!$B$13)+1),"")</f>
        <v>#DIV/0!</v>
      </c>
      <c r="C20" s="12" t="e">
        <f>IF(INT((15)/Setup!$B$13)+1&lt;=Setup!$B$5,INDEX(Scores!$E$2:$E$225,2+(INT((15)/Setup!$B$13)+1-1)*28+(MOD(15,Setup!$B$13)+1-1)-1),"")</f>
        <v>#DIV/0!</v>
      </c>
      <c r="D20" s="12" t="e">
        <f>IF(INT((15)/Setup!$B$13)+1&lt;=Setup!$B$5,INDEX(Scores!$G$2:$G$225,2+(INT((15)/Setup!$B$13)+1-1)*28+(MOD(15,Setup!$B$13)+1-1)-1),"")</f>
        <v>#DIV/0!</v>
      </c>
      <c r="E20" s="12" t="e">
        <f>IF(INT((15)/Setup!$B$13)+1&lt;=Setup!$B$5,INDEX(Scores!$I$2:$I$225,2+(INT((15)/Setup!$B$13)+1-1)*28+(MOD(15,Setup!$B$13)+1-1)-1),"")</f>
        <v>#DIV/0!</v>
      </c>
      <c r="F20" s="66"/>
      <c r="G20" s="67"/>
      <c r="H20" s="66"/>
      <c r="I20" s="67"/>
      <c r="J20" s="66"/>
      <c r="K20" s="67"/>
      <c r="L20" s="66"/>
      <c r="M20" s="67"/>
      <c r="N20" s="66"/>
      <c r="O20" s="67"/>
      <c r="P20" s="6" t="e">
        <f>IF($A20="","",IFERROR(INDEX(Scores!$T$2:$T$225,MATCH($A20,Scores!$A$2:$A$225,0)),""))</f>
        <v>#DIV/0!</v>
      </c>
      <c r="Q20" s="6" t="e">
        <f>IF($A20="","",IFERROR(INDEX(Scores!$U$2:$U$225,MATCH($A20,Scores!$A$2:$A$225,0)),""))</f>
        <v>#DIV/0!</v>
      </c>
      <c r="R20" s="12" t="e">
        <f>IF($A20="","",IF(IFERROR(INDEX(Scores!$X$2:$X$225,MATCH($A20,Scores!$A$2:$A$225,0)),0)=1,"Complete","Waiting"))</f>
        <v>#DIV/0!</v>
      </c>
      <c r="S20" s="12" t="e">
        <f>IF($A20="","",IFERROR(INDEX(Scores!$Y$2:$Y$225,MATCH($A20,Scores!$A$2:$A$225,0)),""))</f>
        <v>#DIV/0!</v>
      </c>
    </row>
    <row r="21" spans="1:19">
      <c r="A21" s="12" t="e">
        <f>IF(INT((16)/Setup!$B$13)+1&lt;=Setup!$B$5,INDEX(Scores!$A$2:$A$225,2+(INT((16)/Setup!$B$13)+1-1)*28+(MOD(16,Setup!$B$13)+1-1)-1),"")</f>
        <v>#DIV/0!</v>
      </c>
      <c r="B21" s="12" t="e">
        <f>IF(INT((16)/Setup!$B$13)+1&lt;=Setup!$B$5,CHAR(64+INT((16)/Setup!$B$13)+1),"")</f>
        <v>#DIV/0!</v>
      </c>
      <c r="C21" s="12" t="e">
        <f>IF(INT((16)/Setup!$B$13)+1&lt;=Setup!$B$5,INDEX(Scores!$E$2:$E$225,2+(INT((16)/Setup!$B$13)+1-1)*28+(MOD(16,Setup!$B$13)+1-1)-1),"")</f>
        <v>#DIV/0!</v>
      </c>
      <c r="D21" s="12" t="e">
        <f>IF(INT((16)/Setup!$B$13)+1&lt;=Setup!$B$5,INDEX(Scores!$G$2:$G$225,2+(INT((16)/Setup!$B$13)+1-1)*28+(MOD(16,Setup!$B$13)+1-1)-1),"")</f>
        <v>#DIV/0!</v>
      </c>
      <c r="E21" s="12" t="e">
        <f>IF(INT((16)/Setup!$B$13)+1&lt;=Setup!$B$5,INDEX(Scores!$I$2:$I$225,2+(INT((16)/Setup!$B$13)+1-1)*28+(MOD(16,Setup!$B$13)+1-1)-1),"")</f>
        <v>#DIV/0!</v>
      </c>
      <c r="F21" s="66"/>
      <c r="G21" s="67"/>
      <c r="H21" s="66"/>
      <c r="I21" s="67"/>
      <c r="J21" s="66"/>
      <c r="K21" s="67"/>
      <c r="L21" s="66"/>
      <c r="M21" s="67"/>
      <c r="N21" s="66"/>
      <c r="O21" s="67"/>
      <c r="P21" s="6" t="e">
        <f>IF($A21="","",IFERROR(INDEX(Scores!$T$2:$T$225,MATCH($A21,Scores!$A$2:$A$225,0)),""))</f>
        <v>#DIV/0!</v>
      </c>
      <c r="Q21" s="6" t="e">
        <f>IF($A21="","",IFERROR(INDEX(Scores!$U$2:$U$225,MATCH($A21,Scores!$A$2:$A$225,0)),""))</f>
        <v>#DIV/0!</v>
      </c>
      <c r="R21" s="12" t="e">
        <f>IF($A21="","",IF(IFERROR(INDEX(Scores!$X$2:$X$225,MATCH($A21,Scores!$A$2:$A$225,0)),0)=1,"Complete","Waiting"))</f>
        <v>#DIV/0!</v>
      </c>
      <c r="S21" s="12" t="e">
        <f>IF($A21="","",IFERROR(INDEX(Scores!$Y$2:$Y$225,MATCH($A21,Scores!$A$2:$A$225,0)),""))</f>
        <v>#DIV/0!</v>
      </c>
    </row>
    <row r="22" spans="1:19">
      <c r="A22" s="12" t="e">
        <f>IF(INT((17)/Setup!$B$13)+1&lt;=Setup!$B$5,INDEX(Scores!$A$2:$A$225,2+(INT((17)/Setup!$B$13)+1-1)*28+(MOD(17,Setup!$B$13)+1-1)-1),"")</f>
        <v>#DIV/0!</v>
      </c>
      <c r="B22" s="12" t="e">
        <f>IF(INT((17)/Setup!$B$13)+1&lt;=Setup!$B$5,CHAR(64+INT((17)/Setup!$B$13)+1),"")</f>
        <v>#DIV/0!</v>
      </c>
      <c r="C22" s="12" t="e">
        <f>IF(INT((17)/Setup!$B$13)+1&lt;=Setup!$B$5,INDEX(Scores!$E$2:$E$225,2+(INT((17)/Setup!$B$13)+1-1)*28+(MOD(17,Setup!$B$13)+1-1)-1),"")</f>
        <v>#DIV/0!</v>
      </c>
      <c r="D22" s="12" t="e">
        <f>IF(INT((17)/Setup!$B$13)+1&lt;=Setup!$B$5,INDEX(Scores!$G$2:$G$225,2+(INT((17)/Setup!$B$13)+1-1)*28+(MOD(17,Setup!$B$13)+1-1)-1),"")</f>
        <v>#DIV/0!</v>
      </c>
      <c r="E22" s="12" t="e">
        <f>IF(INT((17)/Setup!$B$13)+1&lt;=Setup!$B$5,INDEX(Scores!$I$2:$I$225,2+(INT((17)/Setup!$B$13)+1-1)*28+(MOD(17,Setup!$B$13)+1-1)-1),"")</f>
        <v>#DIV/0!</v>
      </c>
      <c r="F22" s="66"/>
      <c r="G22" s="67"/>
      <c r="H22" s="66"/>
      <c r="I22" s="67"/>
      <c r="J22" s="66"/>
      <c r="K22" s="67"/>
      <c r="L22" s="66"/>
      <c r="M22" s="67"/>
      <c r="N22" s="66"/>
      <c r="O22" s="67"/>
      <c r="P22" s="6" t="e">
        <f>IF($A22="","",IFERROR(INDEX(Scores!$T$2:$T$225,MATCH($A22,Scores!$A$2:$A$225,0)),""))</f>
        <v>#DIV/0!</v>
      </c>
      <c r="Q22" s="6" t="e">
        <f>IF($A22="","",IFERROR(INDEX(Scores!$U$2:$U$225,MATCH($A22,Scores!$A$2:$A$225,0)),""))</f>
        <v>#DIV/0!</v>
      </c>
      <c r="R22" s="12" t="e">
        <f>IF($A22="","",IF(IFERROR(INDEX(Scores!$X$2:$X$225,MATCH($A22,Scores!$A$2:$A$225,0)),0)=1,"Complete","Waiting"))</f>
        <v>#DIV/0!</v>
      </c>
      <c r="S22" s="12" t="e">
        <f>IF($A22="","",IFERROR(INDEX(Scores!$Y$2:$Y$225,MATCH($A22,Scores!$A$2:$A$225,0)),""))</f>
        <v>#DIV/0!</v>
      </c>
    </row>
    <row r="23" spans="1:19">
      <c r="A23" s="12" t="e">
        <f>IF(INT((18)/Setup!$B$13)+1&lt;=Setup!$B$5,INDEX(Scores!$A$2:$A$225,2+(INT((18)/Setup!$B$13)+1-1)*28+(MOD(18,Setup!$B$13)+1-1)-1),"")</f>
        <v>#DIV/0!</v>
      </c>
      <c r="B23" s="12" t="e">
        <f>IF(INT((18)/Setup!$B$13)+1&lt;=Setup!$B$5,CHAR(64+INT((18)/Setup!$B$13)+1),"")</f>
        <v>#DIV/0!</v>
      </c>
      <c r="C23" s="12" t="e">
        <f>IF(INT((18)/Setup!$B$13)+1&lt;=Setup!$B$5,INDEX(Scores!$E$2:$E$225,2+(INT((18)/Setup!$B$13)+1-1)*28+(MOD(18,Setup!$B$13)+1-1)-1),"")</f>
        <v>#DIV/0!</v>
      </c>
      <c r="D23" s="12" t="e">
        <f>IF(INT((18)/Setup!$B$13)+1&lt;=Setup!$B$5,INDEX(Scores!$G$2:$G$225,2+(INT((18)/Setup!$B$13)+1-1)*28+(MOD(18,Setup!$B$13)+1-1)-1),"")</f>
        <v>#DIV/0!</v>
      </c>
      <c r="E23" s="12" t="e">
        <f>IF(INT((18)/Setup!$B$13)+1&lt;=Setup!$B$5,INDEX(Scores!$I$2:$I$225,2+(INT((18)/Setup!$B$13)+1-1)*28+(MOD(18,Setup!$B$13)+1-1)-1),"")</f>
        <v>#DIV/0!</v>
      </c>
      <c r="F23" s="66"/>
      <c r="G23" s="67"/>
      <c r="H23" s="66"/>
      <c r="I23" s="67"/>
      <c r="J23" s="66"/>
      <c r="K23" s="67"/>
      <c r="L23" s="66"/>
      <c r="M23" s="67"/>
      <c r="N23" s="66"/>
      <c r="O23" s="67"/>
      <c r="P23" s="6" t="e">
        <f>IF($A23="","",IFERROR(INDEX(Scores!$T$2:$T$225,MATCH($A23,Scores!$A$2:$A$225,0)),""))</f>
        <v>#DIV/0!</v>
      </c>
      <c r="Q23" s="6" t="e">
        <f>IF($A23="","",IFERROR(INDEX(Scores!$U$2:$U$225,MATCH($A23,Scores!$A$2:$A$225,0)),""))</f>
        <v>#DIV/0!</v>
      </c>
      <c r="R23" s="12" t="e">
        <f>IF($A23="","",IF(IFERROR(INDEX(Scores!$X$2:$X$225,MATCH($A23,Scores!$A$2:$A$225,0)),0)=1,"Complete","Waiting"))</f>
        <v>#DIV/0!</v>
      </c>
      <c r="S23" s="12" t="e">
        <f>IF($A23="","",IFERROR(INDEX(Scores!$Y$2:$Y$225,MATCH($A23,Scores!$A$2:$A$225,0)),""))</f>
        <v>#DIV/0!</v>
      </c>
    </row>
    <row r="24" spans="1:19">
      <c r="A24" s="12" t="e">
        <f>IF(INT((19)/Setup!$B$13)+1&lt;=Setup!$B$5,INDEX(Scores!$A$2:$A$225,2+(INT((19)/Setup!$B$13)+1-1)*28+(MOD(19,Setup!$B$13)+1-1)-1),"")</f>
        <v>#DIV/0!</v>
      </c>
      <c r="B24" s="12" t="e">
        <f>IF(INT((19)/Setup!$B$13)+1&lt;=Setup!$B$5,CHAR(64+INT((19)/Setup!$B$13)+1),"")</f>
        <v>#DIV/0!</v>
      </c>
      <c r="C24" s="12" t="e">
        <f>IF(INT((19)/Setup!$B$13)+1&lt;=Setup!$B$5,INDEX(Scores!$E$2:$E$225,2+(INT((19)/Setup!$B$13)+1-1)*28+(MOD(19,Setup!$B$13)+1-1)-1),"")</f>
        <v>#DIV/0!</v>
      </c>
      <c r="D24" s="12" t="e">
        <f>IF(INT((19)/Setup!$B$13)+1&lt;=Setup!$B$5,INDEX(Scores!$G$2:$G$225,2+(INT((19)/Setup!$B$13)+1-1)*28+(MOD(19,Setup!$B$13)+1-1)-1),"")</f>
        <v>#DIV/0!</v>
      </c>
      <c r="E24" s="12" t="e">
        <f>IF(INT((19)/Setup!$B$13)+1&lt;=Setup!$B$5,INDEX(Scores!$I$2:$I$225,2+(INT((19)/Setup!$B$13)+1-1)*28+(MOD(19,Setup!$B$13)+1-1)-1),"")</f>
        <v>#DIV/0!</v>
      </c>
      <c r="F24" s="66"/>
      <c r="G24" s="67"/>
      <c r="H24" s="66"/>
      <c r="I24" s="67"/>
      <c r="J24" s="66"/>
      <c r="K24" s="67"/>
      <c r="L24" s="66"/>
      <c r="M24" s="67"/>
      <c r="N24" s="66"/>
      <c r="O24" s="67"/>
      <c r="P24" s="6" t="e">
        <f>IF($A24="","",IFERROR(INDEX(Scores!$T$2:$T$225,MATCH($A24,Scores!$A$2:$A$225,0)),""))</f>
        <v>#DIV/0!</v>
      </c>
      <c r="Q24" s="6" t="e">
        <f>IF($A24="","",IFERROR(INDEX(Scores!$U$2:$U$225,MATCH($A24,Scores!$A$2:$A$225,0)),""))</f>
        <v>#DIV/0!</v>
      </c>
      <c r="R24" s="12" t="e">
        <f>IF($A24="","",IF(IFERROR(INDEX(Scores!$X$2:$X$225,MATCH($A24,Scores!$A$2:$A$225,0)),0)=1,"Complete","Waiting"))</f>
        <v>#DIV/0!</v>
      </c>
      <c r="S24" s="12" t="e">
        <f>IF($A24="","",IFERROR(INDEX(Scores!$Y$2:$Y$225,MATCH($A24,Scores!$A$2:$A$225,0)),""))</f>
        <v>#DIV/0!</v>
      </c>
    </row>
    <row r="25" spans="1:19">
      <c r="A25" s="12" t="e">
        <f>IF(INT((20)/Setup!$B$13)+1&lt;=Setup!$B$5,INDEX(Scores!$A$2:$A$225,2+(INT((20)/Setup!$B$13)+1-1)*28+(MOD(20,Setup!$B$13)+1-1)-1),"")</f>
        <v>#DIV/0!</v>
      </c>
      <c r="B25" s="12" t="e">
        <f>IF(INT((20)/Setup!$B$13)+1&lt;=Setup!$B$5,CHAR(64+INT((20)/Setup!$B$13)+1),"")</f>
        <v>#DIV/0!</v>
      </c>
      <c r="C25" s="12" t="e">
        <f>IF(INT((20)/Setup!$B$13)+1&lt;=Setup!$B$5,INDEX(Scores!$E$2:$E$225,2+(INT((20)/Setup!$B$13)+1-1)*28+(MOD(20,Setup!$B$13)+1-1)-1),"")</f>
        <v>#DIV/0!</v>
      </c>
      <c r="D25" s="12" t="e">
        <f>IF(INT((20)/Setup!$B$13)+1&lt;=Setup!$B$5,INDEX(Scores!$G$2:$G$225,2+(INT((20)/Setup!$B$13)+1-1)*28+(MOD(20,Setup!$B$13)+1-1)-1),"")</f>
        <v>#DIV/0!</v>
      </c>
      <c r="E25" s="12" t="e">
        <f>IF(INT((20)/Setup!$B$13)+1&lt;=Setup!$B$5,INDEX(Scores!$I$2:$I$225,2+(INT((20)/Setup!$B$13)+1-1)*28+(MOD(20,Setup!$B$13)+1-1)-1),"")</f>
        <v>#DIV/0!</v>
      </c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" t="e">
        <f>IF($A25="","",IFERROR(INDEX(Scores!$T$2:$T$225,MATCH($A25,Scores!$A$2:$A$225,0)),""))</f>
        <v>#DIV/0!</v>
      </c>
      <c r="Q25" s="6" t="e">
        <f>IF($A25="","",IFERROR(INDEX(Scores!$U$2:$U$225,MATCH($A25,Scores!$A$2:$A$225,0)),""))</f>
        <v>#DIV/0!</v>
      </c>
      <c r="R25" s="12" t="e">
        <f>IF($A25="","",IF(IFERROR(INDEX(Scores!$X$2:$X$225,MATCH($A25,Scores!$A$2:$A$225,0)),0)=1,"Complete","Waiting"))</f>
        <v>#DIV/0!</v>
      </c>
      <c r="S25" s="12" t="e">
        <f>IF($A25="","",IFERROR(INDEX(Scores!$Y$2:$Y$225,MATCH($A25,Scores!$A$2:$A$225,0)),""))</f>
        <v>#DIV/0!</v>
      </c>
    </row>
    <row r="26" spans="1:19">
      <c r="A26" s="12" t="e">
        <f>IF(INT((21)/Setup!$B$13)+1&lt;=Setup!$B$5,INDEX(Scores!$A$2:$A$225,2+(INT((21)/Setup!$B$13)+1-1)*28+(MOD(21,Setup!$B$13)+1-1)-1),"")</f>
        <v>#DIV/0!</v>
      </c>
      <c r="B26" s="12" t="e">
        <f>IF(INT((21)/Setup!$B$13)+1&lt;=Setup!$B$5,CHAR(64+INT((21)/Setup!$B$13)+1),"")</f>
        <v>#DIV/0!</v>
      </c>
      <c r="C26" s="12" t="e">
        <f>IF(INT((21)/Setup!$B$13)+1&lt;=Setup!$B$5,INDEX(Scores!$E$2:$E$225,2+(INT((21)/Setup!$B$13)+1-1)*28+(MOD(21,Setup!$B$13)+1-1)-1),"")</f>
        <v>#DIV/0!</v>
      </c>
      <c r="D26" s="12" t="e">
        <f>IF(INT((21)/Setup!$B$13)+1&lt;=Setup!$B$5,INDEX(Scores!$G$2:$G$225,2+(INT((21)/Setup!$B$13)+1-1)*28+(MOD(21,Setup!$B$13)+1-1)-1),"")</f>
        <v>#DIV/0!</v>
      </c>
      <c r="E26" s="12" t="e">
        <f>IF(INT((21)/Setup!$B$13)+1&lt;=Setup!$B$5,INDEX(Scores!$I$2:$I$225,2+(INT((21)/Setup!$B$13)+1-1)*28+(MOD(21,Setup!$B$13)+1-1)-1),"")</f>
        <v>#DIV/0!</v>
      </c>
      <c r="F26" s="66"/>
      <c r="G26" s="67"/>
      <c r="H26" s="66"/>
      <c r="I26" s="67"/>
      <c r="J26" s="66"/>
      <c r="K26" s="67"/>
      <c r="L26" s="66"/>
      <c r="M26" s="67"/>
      <c r="N26" s="66"/>
      <c r="O26" s="67"/>
      <c r="P26" s="6" t="e">
        <f>IF($A26="","",IFERROR(INDEX(Scores!$T$2:$T$225,MATCH($A26,Scores!$A$2:$A$225,0)),""))</f>
        <v>#DIV/0!</v>
      </c>
      <c r="Q26" s="6" t="e">
        <f>IF($A26="","",IFERROR(INDEX(Scores!$U$2:$U$225,MATCH($A26,Scores!$A$2:$A$225,0)),""))</f>
        <v>#DIV/0!</v>
      </c>
      <c r="R26" s="12" t="e">
        <f>IF($A26="","",IF(IFERROR(INDEX(Scores!$X$2:$X$225,MATCH($A26,Scores!$A$2:$A$225,0)),0)=1,"Complete","Waiting"))</f>
        <v>#DIV/0!</v>
      </c>
      <c r="S26" s="12" t="e">
        <f>IF($A26="","",IFERROR(INDEX(Scores!$Y$2:$Y$225,MATCH($A26,Scores!$A$2:$A$225,0)),""))</f>
        <v>#DIV/0!</v>
      </c>
    </row>
    <row r="27" spans="1:19">
      <c r="A27" s="12" t="e">
        <f>IF(INT((22)/Setup!$B$13)+1&lt;=Setup!$B$5,INDEX(Scores!$A$2:$A$225,2+(INT((22)/Setup!$B$13)+1-1)*28+(MOD(22,Setup!$B$13)+1-1)-1),"")</f>
        <v>#DIV/0!</v>
      </c>
      <c r="B27" s="12" t="e">
        <f>IF(INT((22)/Setup!$B$13)+1&lt;=Setup!$B$5,CHAR(64+INT((22)/Setup!$B$13)+1),"")</f>
        <v>#DIV/0!</v>
      </c>
      <c r="C27" s="12" t="e">
        <f>IF(INT((22)/Setup!$B$13)+1&lt;=Setup!$B$5,INDEX(Scores!$E$2:$E$225,2+(INT((22)/Setup!$B$13)+1-1)*28+(MOD(22,Setup!$B$13)+1-1)-1),"")</f>
        <v>#DIV/0!</v>
      </c>
      <c r="D27" s="12" t="e">
        <f>IF(INT((22)/Setup!$B$13)+1&lt;=Setup!$B$5,INDEX(Scores!$G$2:$G$225,2+(INT((22)/Setup!$B$13)+1-1)*28+(MOD(22,Setup!$B$13)+1-1)-1),"")</f>
        <v>#DIV/0!</v>
      </c>
      <c r="E27" s="12" t="e">
        <f>IF(INT((22)/Setup!$B$13)+1&lt;=Setup!$B$5,INDEX(Scores!$I$2:$I$225,2+(INT((22)/Setup!$B$13)+1-1)*28+(MOD(22,Setup!$B$13)+1-1)-1),"")</f>
        <v>#DIV/0!</v>
      </c>
      <c r="F27" s="66"/>
      <c r="G27" s="67"/>
      <c r="H27" s="66"/>
      <c r="I27" s="67"/>
      <c r="J27" s="66"/>
      <c r="K27" s="67"/>
      <c r="L27" s="66"/>
      <c r="M27" s="67"/>
      <c r="N27" s="66"/>
      <c r="O27" s="67"/>
      <c r="P27" s="6" t="e">
        <f>IF($A27="","",IFERROR(INDEX(Scores!$T$2:$T$225,MATCH($A27,Scores!$A$2:$A$225,0)),""))</f>
        <v>#DIV/0!</v>
      </c>
      <c r="Q27" s="6" t="e">
        <f>IF($A27="","",IFERROR(INDEX(Scores!$U$2:$U$225,MATCH($A27,Scores!$A$2:$A$225,0)),""))</f>
        <v>#DIV/0!</v>
      </c>
      <c r="R27" s="12" t="e">
        <f>IF($A27="","",IF(IFERROR(INDEX(Scores!$X$2:$X$225,MATCH($A27,Scores!$A$2:$A$225,0)),0)=1,"Complete","Waiting"))</f>
        <v>#DIV/0!</v>
      </c>
      <c r="S27" s="12" t="e">
        <f>IF($A27="","",IFERROR(INDEX(Scores!$Y$2:$Y$225,MATCH($A27,Scores!$A$2:$A$225,0)),""))</f>
        <v>#DIV/0!</v>
      </c>
    </row>
    <row r="28" spans="1:19">
      <c r="A28" s="12" t="e">
        <f>IF(INT((23)/Setup!$B$13)+1&lt;=Setup!$B$5,INDEX(Scores!$A$2:$A$225,2+(INT((23)/Setup!$B$13)+1-1)*28+(MOD(23,Setup!$B$13)+1-1)-1),"")</f>
        <v>#DIV/0!</v>
      </c>
      <c r="B28" s="12" t="e">
        <f>IF(INT((23)/Setup!$B$13)+1&lt;=Setup!$B$5,CHAR(64+INT((23)/Setup!$B$13)+1),"")</f>
        <v>#DIV/0!</v>
      </c>
      <c r="C28" s="12" t="e">
        <f>IF(INT((23)/Setup!$B$13)+1&lt;=Setup!$B$5,INDEX(Scores!$E$2:$E$225,2+(INT((23)/Setup!$B$13)+1-1)*28+(MOD(23,Setup!$B$13)+1-1)-1),"")</f>
        <v>#DIV/0!</v>
      </c>
      <c r="D28" s="12" t="e">
        <f>IF(INT((23)/Setup!$B$13)+1&lt;=Setup!$B$5,INDEX(Scores!$G$2:$G$225,2+(INT((23)/Setup!$B$13)+1-1)*28+(MOD(23,Setup!$B$13)+1-1)-1),"")</f>
        <v>#DIV/0!</v>
      </c>
      <c r="E28" s="12" t="e">
        <f>IF(INT((23)/Setup!$B$13)+1&lt;=Setup!$B$5,INDEX(Scores!$I$2:$I$225,2+(INT((23)/Setup!$B$13)+1-1)*28+(MOD(23,Setup!$B$13)+1-1)-1),"")</f>
        <v>#DIV/0!</v>
      </c>
      <c r="F28" s="66"/>
      <c r="G28" s="67"/>
      <c r="H28" s="66"/>
      <c r="I28" s="67"/>
      <c r="J28" s="66"/>
      <c r="K28" s="67"/>
      <c r="L28" s="66"/>
      <c r="M28" s="67"/>
      <c r="N28" s="66"/>
      <c r="O28" s="67"/>
      <c r="P28" s="6" t="e">
        <f>IF($A28="","",IFERROR(INDEX(Scores!$T$2:$T$225,MATCH($A28,Scores!$A$2:$A$225,0)),""))</f>
        <v>#DIV/0!</v>
      </c>
      <c r="Q28" s="6" t="e">
        <f>IF($A28="","",IFERROR(INDEX(Scores!$U$2:$U$225,MATCH($A28,Scores!$A$2:$A$225,0)),""))</f>
        <v>#DIV/0!</v>
      </c>
      <c r="R28" s="12" t="e">
        <f>IF($A28="","",IF(IFERROR(INDEX(Scores!$X$2:$X$225,MATCH($A28,Scores!$A$2:$A$225,0)),0)=1,"Complete","Waiting"))</f>
        <v>#DIV/0!</v>
      </c>
      <c r="S28" s="12" t="e">
        <f>IF($A28="","",IFERROR(INDEX(Scores!$Y$2:$Y$225,MATCH($A28,Scores!$A$2:$A$225,0)),""))</f>
        <v>#DIV/0!</v>
      </c>
    </row>
    <row r="29" spans="1:19">
      <c r="A29" s="12" t="e">
        <f>IF(INT((24)/Setup!$B$13)+1&lt;=Setup!$B$5,INDEX(Scores!$A$2:$A$225,2+(INT((24)/Setup!$B$13)+1-1)*28+(MOD(24,Setup!$B$13)+1-1)-1),"")</f>
        <v>#DIV/0!</v>
      </c>
      <c r="B29" s="12" t="e">
        <f>IF(INT((24)/Setup!$B$13)+1&lt;=Setup!$B$5,CHAR(64+INT((24)/Setup!$B$13)+1),"")</f>
        <v>#DIV/0!</v>
      </c>
      <c r="C29" s="12" t="e">
        <f>IF(INT((24)/Setup!$B$13)+1&lt;=Setup!$B$5,INDEX(Scores!$E$2:$E$225,2+(INT((24)/Setup!$B$13)+1-1)*28+(MOD(24,Setup!$B$13)+1-1)-1),"")</f>
        <v>#DIV/0!</v>
      </c>
      <c r="D29" s="12" t="e">
        <f>IF(INT((24)/Setup!$B$13)+1&lt;=Setup!$B$5,INDEX(Scores!$G$2:$G$225,2+(INT((24)/Setup!$B$13)+1-1)*28+(MOD(24,Setup!$B$13)+1-1)-1),"")</f>
        <v>#DIV/0!</v>
      </c>
      <c r="E29" s="12" t="e">
        <f>IF(INT((24)/Setup!$B$13)+1&lt;=Setup!$B$5,INDEX(Scores!$I$2:$I$225,2+(INT((24)/Setup!$B$13)+1-1)*28+(MOD(24,Setup!$B$13)+1-1)-1),"")</f>
        <v>#DIV/0!</v>
      </c>
      <c r="F29" s="66"/>
      <c r="G29" s="67"/>
      <c r="H29" s="66"/>
      <c r="I29" s="67"/>
      <c r="J29" s="66"/>
      <c r="K29" s="67"/>
      <c r="L29" s="66"/>
      <c r="M29" s="67"/>
      <c r="N29" s="66"/>
      <c r="O29" s="67"/>
      <c r="P29" s="6" t="e">
        <f>IF($A29="","",IFERROR(INDEX(Scores!$T$2:$T$225,MATCH($A29,Scores!$A$2:$A$225,0)),""))</f>
        <v>#DIV/0!</v>
      </c>
      <c r="Q29" s="6" t="e">
        <f>IF($A29="","",IFERROR(INDEX(Scores!$U$2:$U$225,MATCH($A29,Scores!$A$2:$A$225,0)),""))</f>
        <v>#DIV/0!</v>
      </c>
      <c r="R29" s="12" t="e">
        <f>IF($A29="","",IF(IFERROR(INDEX(Scores!$X$2:$X$225,MATCH($A29,Scores!$A$2:$A$225,0)),0)=1,"Complete","Waiting"))</f>
        <v>#DIV/0!</v>
      </c>
      <c r="S29" s="12" t="e">
        <f>IF($A29="","",IFERROR(INDEX(Scores!$Y$2:$Y$225,MATCH($A29,Scores!$A$2:$A$225,0)),""))</f>
        <v>#DIV/0!</v>
      </c>
    </row>
    <row r="30" spans="1:19">
      <c r="A30" s="12" t="e">
        <f>IF(INT((25)/Setup!$B$13)+1&lt;=Setup!$B$5,INDEX(Scores!$A$2:$A$225,2+(INT((25)/Setup!$B$13)+1-1)*28+(MOD(25,Setup!$B$13)+1-1)-1),"")</f>
        <v>#DIV/0!</v>
      </c>
      <c r="B30" s="12" t="e">
        <f>IF(INT((25)/Setup!$B$13)+1&lt;=Setup!$B$5,CHAR(64+INT((25)/Setup!$B$13)+1),"")</f>
        <v>#DIV/0!</v>
      </c>
      <c r="C30" s="12" t="e">
        <f>IF(INT((25)/Setup!$B$13)+1&lt;=Setup!$B$5,INDEX(Scores!$E$2:$E$225,2+(INT((25)/Setup!$B$13)+1-1)*28+(MOD(25,Setup!$B$13)+1-1)-1),"")</f>
        <v>#DIV/0!</v>
      </c>
      <c r="D30" s="12" t="e">
        <f>IF(INT((25)/Setup!$B$13)+1&lt;=Setup!$B$5,INDEX(Scores!$G$2:$G$225,2+(INT((25)/Setup!$B$13)+1-1)*28+(MOD(25,Setup!$B$13)+1-1)-1),"")</f>
        <v>#DIV/0!</v>
      </c>
      <c r="E30" s="12" t="e">
        <f>IF(INT((25)/Setup!$B$13)+1&lt;=Setup!$B$5,INDEX(Scores!$I$2:$I$225,2+(INT((25)/Setup!$B$13)+1-1)*28+(MOD(25,Setup!$B$13)+1-1)-1),"")</f>
        <v>#DIV/0!</v>
      </c>
      <c r="F30" s="66"/>
      <c r="G30" s="67"/>
      <c r="H30" s="66"/>
      <c r="I30" s="67"/>
      <c r="J30" s="66"/>
      <c r="K30" s="67"/>
      <c r="L30" s="66"/>
      <c r="M30" s="67"/>
      <c r="N30" s="66"/>
      <c r="O30" s="67"/>
      <c r="P30" s="6" t="e">
        <f>IF($A30="","",IFERROR(INDEX(Scores!$T$2:$T$225,MATCH($A30,Scores!$A$2:$A$225,0)),""))</f>
        <v>#DIV/0!</v>
      </c>
      <c r="Q30" s="6" t="e">
        <f>IF($A30="","",IFERROR(INDEX(Scores!$U$2:$U$225,MATCH($A30,Scores!$A$2:$A$225,0)),""))</f>
        <v>#DIV/0!</v>
      </c>
      <c r="R30" s="12" t="e">
        <f>IF($A30="","",IF(IFERROR(INDEX(Scores!$X$2:$X$225,MATCH($A30,Scores!$A$2:$A$225,0)),0)=1,"Complete","Waiting"))</f>
        <v>#DIV/0!</v>
      </c>
      <c r="S30" s="12" t="e">
        <f>IF($A30="","",IFERROR(INDEX(Scores!$Y$2:$Y$225,MATCH($A30,Scores!$A$2:$A$225,0)),""))</f>
        <v>#DIV/0!</v>
      </c>
    </row>
    <row r="31" spans="1:19">
      <c r="A31" s="12" t="e">
        <f>IF(INT((26)/Setup!$B$13)+1&lt;=Setup!$B$5,INDEX(Scores!$A$2:$A$225,2+(INT((26)/Setup!$B$13)+1-1)*28+(MOD(26,Setup!$B$13)+1-1)-1),"")</f>
        <v>#DIV/0!</v>
      </c>
      <c r="B31" s="12" t="e">
        <f>IF(INT((26)/Setup!$B$13)+1&lt;=Setup!$B$5,CHAR(64+INT((26)/Setup!$B$13)+1),"")</f>
        <v>#DIV/0!</v>
      </c>
      <c r="C31" s="12" t="e">
        <f>IF(INT((26)/Setup!$B$13)+1&lt;=Setup!$B$5,INDEX(Scores!$E$2:$E$225,2+(INT((26)/Setup!$B$13)+1-1)*28+(MOD(26,Setup!$B$13)+1-1)-1),"")</f>
        <v>#DIV/0!</v>
      </c>
      <c r="D31" s="12" t="e">
        <f>IF(INT((26)/Setup!$B$13)+1&lt;=Setup!$B$5,INDEX(Scores!$G$2:$G$225,2+(INT((26)/Setup!$B$13)+1-1)*28+(MOD(26,Setup!$B$13)+1-1)-1),"")</f>
        <v>#DIV/0!</v>
      </c>
      <c r="E31" s="12" t="e">
        <f>IF(INT((26)/Setup!$B$13)+1&lt;=Setup!$B$5,INDEX(Scores!$I$2:$I$225,2+(INT((26)/Setup!$B$13)+1-1)*28+(MOD(26,Setup!$B$13)+1-1)-1),"")</f>
        <v>#DIV/0!</v>
      </c>
      <c r="F31" s="66"/>
      <c r="G31" s="67"/>
      <c r="H31" s="66"/>
      <c r="I31" s="67"/>
      <c r="J31" s="66"/>
      <c r="K31" s="67"/>
      <c r="L31" s="66"/>
      <c r="M31" s="67"/>
      <c r="N31" s="66"/>
      <c r="O31" s="67"/>
      <c r="P31" s="6" t="e">
        <f>IF($A31="","",IFERROR(INDEX(Scores!$T$2:$T$225,MATCH($A31,Scores!$A$2:$A$225,0)),""))</f>
        <v>#DIV/0!</v>
      </c>
      <c r="Q31" s="6" t="e">
        <f>IF($A31="","",IFERROR(INDEX(Scores!$U$2:$U$225,MATCH($A31,Scores!$A$2:$A$225,0)),""))</f>
        <v>#DIV/0!</v>
      </c>
      <c r="R31" s="12" t="e">
        <f>IF($A31="","",IF(IFERROR(INDEX(Scores!$X$2:$X$225,MATCH($A31,Scores!$A$2:$A$225,0)),0)=1,"Complete","Waiting"))</f>
        <v>#DIV/0!</v>
      </c>
      <c r="S31" s="12" t="e">
        <f>IF($A31="","",IFERROR(INDEX(Scores!$Y$2:$Y$225,MATCH($A31,Scores!$A$2:$A$225,0)),""))</f>
        <v>#DIV/0!</v>
      </c>
    </row>
    <row r="32" spans="1:19">
      <c r="A32" s="12" t="e">
        <f>IF(INT((27)/Setup!$B$13)+1&lt;=Setup!$B$5,INDEX(Scores!$A$2:$A$225,2+(INT((27)/Setup!$B$13)+1-1)*28+(MOD(27,Setup!$B$13)+1-1)-1),"")</f>
        <v>#DIV/0!</v>
      </c>
      <c r="B32" s="12" t="e">
        <f>IF(INT((27)/Setup!$B$13)+1&lt;=Setup!$B$5,CHAR(64+INT((27)/Setup!$B$13)+1),"")</f>
        <v>#DIV/0!</v>
      </c>
      <c r="C32" s="12" t="e">
        <f>IF(INT((27)/Setup!$B$13)+1&lt;=Setup!$B$5,INDEX(Scores!$E$2:$E$225,2+(INT((27)/Setup!$B$13)+1-1)*28+(MOD(27,Setup!$B$13)+1-1)-1),"")</f>
        <v>#DIV/0!</v>
      </c>
      <c r="D32" s="12" t="e">
        <f>IF(INT((27)/Setup!$B$13)+1&lt;=Setup!$B$5,INDEX(Scores!$G$2:$G$225,2+(INT((27)/Setup!$B$13)+1-1)*28+(MOD(27,Setup!$B$13)+1-1)-1),"")</f>
        <v>#DIV/0!</v>
      </c>
      <c r="E32" s="12" t="e">
        <f>IF(INT((27)/Setup!$B$13)+1&lt;=Setup!$B$5,INDEX(Scores!$I$2:$I$225,2+(INT((27)/Setup!$B$13)+1-1)*28+(MOD(27,Setup!$B$13)+1-1)-1),"")</f>
        <v>#DIV/0!</v>
      </c>
      <c r="F32" s="66"/>
      <c r="G32" s="67"/>
      <c r="H32" s="66"/>
      <c r="I32" s="67"/>
      <c r="J32" s="66"/>
      <c r="K32" s="67"/>
      <c r="L32" s="66"/>
      <c r="M32" s="67"/>
      <c r="N32" s="66"/>
      <c r="O32" s="67"/>
      <c r="P32" s="6" t="e">
        <f>IF($A32="","",IFERROR(INDEX(Scores!$T$2:$T$225,MATCH($A32,Scores!$A$2:$A$225,0)),""))</f>
        <v>#DIV/0!</v>
      </c>
      <c r="Q32" s="6" t="e">
        <f>IF($A32="","",IFERROR(INDEX(Scores!$U$2:$U$225,MATCH($A32,Scores!$A$2:$A$225,0)),""))</f>
        <v>#DIV/0!</v>
      </c>
      <c r="R32" s="12" t="e">
        <f>IF($A32="","",IF(IFERROR(INDEX(Scores!$X$2:$X$225,MATCH($A32,Scores!$A$2:$A$225,0)),0)=1,"Complete","Waiting"))</f>
        <v>#DIV/0!</v>
      </c>
      <c r="S32" s="12" t="e">
        <f>IF($A32="","",IFERROR(INDEX(Scores!$Y$2:$Y$225,MATCH($A32,Scores!$A$2:$A$225,0)),""))</f>
        <v>#DIV/0!</v>
      </c>
    </row>
    <row r="33" spans="1:19">
      <c r="A33" s="12" t="e">
        <f>IF(INT((28)/Setup!$B$13)+1&lt;=Setup!$B$5,INDEX(Scores!$A$2:$A$225,2+(INT((28)/Setup!$B$13)+1-1)*28+(MOD(28,Setup!$B$13)+1-1)-1),"")</f>
        <v>#DIV/0!</v>
      </c>
      <c r="B33" s="12" t="e">
        <f>IF(INT((28)/Setup!$B$13)+1&lt;=Setup!$B$5,CHAR(64+INT((28)/Setup!$B$13)+1),"")</f>
        <v>#DIV/0!</v>
      </c>
      <c r="C33" s="12" t="e">
        <f>IF(INT((28)/Setup!$B$13)+1&lt;=Setup!$B$5,INDEX(Scores!$E$2:$E$225,2+(INT((28)/Setup!$B$13)+1-1)*28+(MOD(28,Setup!$B$13)+1-1)-1),"")</f>
        <v>#DIV/0!</v>
      </c>
      <c r="D33" s="12" t="e">
        <f>IF(INT((28)/Setup!$B$13)+1&lt;=Setup!$B$5,INDEX(Scores!$G$2:$G$225,2+(INT((28)/Setup!$B$13)+1-1)*28+(MOD(28,Setup!$B$13)+1-1)-1),"")</f>
        <v>#DIV/0!</v>
      </c>
      <c r="E33" s="12" t="e">
        <f>IF(INT((28)/Setup!$B$13)+1&lt;=Setup!$B$5,INDEX(Scores!$I$2:$I$225,2+(INT((28)/Setup!$B$13)+1-1)*28+(MOD(28,Setup!$B$13)+1-1)-1),"")</f>
        <v>#DIV/0!</v>
      </c>
      <c r="F33" s="66"/>
      <c r="G33" s="67"/>
      <c r="H33" s="66"/>
      <c r="I33" s="67"/>
      <c r="J33" s="66"/>
      <c r="K33" s="67"/>
      <c r="L33" s="66"/>
      <c r="M33" s="67"/>
      <c r="N33" s="66"/>
      <c r="O33" s="67"/>
      <c r="P33" s="6" t="e">
        <f>IF($A33="","",IFERROR(INDEX(Scores!$T$2:$T$225,MATCH($A33,Scores!$A$2:$A$225,0)),""))</f>
        <v>#DIV/0!</v>
      </c>
      <c r="Q33" s="6" t="e">
        <f>IF($A33="","",IFERROR(INDEX(Scores!$U$2:$U$225,MATCH($A33,Scores!$A$2:$A$225,0)),""))</f>
        <v>#DIV/0!</v>
      </c>
      <c r="R33" s="12" t="e">
        <f>IF($A33="","",IF(IFERROR(INDEX(Scores!$X$2:$X$225,MATCH($A33,Scores!$A$2:$A$225,0)),0)=1,"Complete","Waiting"))</f>
        <v>#DIV/0!</v>
      </c>
      <c r="S33" s="12" t="e">
        <f>IF($A33="","",IFERROR(INDEX(Scores!$Y$2:$Y$225,MATCH($A33,Scores!$A$2:$A$225,0)),""))</f>
        <v>#DIV/0!</v>
      </c>
    </row>
    <row r="34" spans="1:19">
      <c r="A34" s="12" t="e">
        <f>IF(INT((29)/Setup!$B$13)+1&lt;=Setup!$B$5,INDEX(Scores!$A$2:$A$225,2+(INT((29)/Setup!$B$13)+1-1)*28+(MOD(29,Setup!$B$13)+1-1)-1),"")</f>
        <v>#DIV/0!</v>
      </c>
      <c r="B34" s="12" t="e">
        <f>IF(INT((29)/Setup!$B$13)+1&lt;=Setup!$B$5,CHAR(64+INT((29)/Setup!$B$13)+1),"")</f>
        <v>#DIV/0!</v>
      </c>
      <c r="C34" s="12" t="e">
        <f>IF(INT((29)/Setup!$B$13)+1&lt;=Setup!$B$5,INDEX(Scores!$E$2:$E$225,2+(INT((29)/Setup!$B$13)+1-1)*28+(MOD(29,Setup!$B$13)+1-1)-1),"")</f>
        <v>#DIV/0!</v>
      </c>
      <c r="D34" s="12" t="e">
        <f>IF(INT((29)/Setup!$B$13)+1&lt;=Setup!$B$5,INDEX(Scores!$G$2:$G$225,2+(INT((29)/Setup!$B$13)+1-1)*28+(MOD(29,Setup!$B$13)+1-1)-1),"")</f>
        <v>#DIV/0!</v>
      </c>
      <c r="E34" s="12" t="e">
        <f>IF(INT((29)/Setup!$B$13)+1&lt;=Setup!$B$5,INDEX(Scores!$I$2:$I$225,2+(INT((29)/Setup!$B$13)+1-1)*28+(MOD(29,Setup!$B$13)+1-1)-1),"")</f>
        <v>#DIV/0!</v>
      </c>
      <c r="F34" s="66"/>
      <c r="G34" s="67"/>
      <c r="H34" s="66"/>
      <c r="I34" s="67"/>
      <c r="J34" s="66"/>
      <c r="K34" s="67"/>
      <c r="L34" s="66"/>
      <c r="M34" s="67"/>
      <c r="N34" s="66"/>
      <c r="O34" s="67"/>
      <c r="P34" s="6" t="e">
        <f>IF($A34="","",IFERROR(INDEX(Scores!$T$2:$T$225,MATCH($A34,Scores!$A$2:$A$225,0)),""))</f>
        <v>#DIV/0!</v>
      </c>
      <c r="Q34" s="6" t="e">
        <f>IF($A34="","",IFERROR(INDEX(Scores!$U$2:$U$225,MATCH($A34,Scores!$A$2:$A$225,0)),""))</f>
        <v>#DIV/0!</v>
      </c>
      <c r="R34" s="12" t="e">
        <f>IF($A34="","",IF(IFERROR(INDEX(Scores!$X$2:$X$225,MATCH($A34,Scores!$A$2:$A$225,0)),0)=1,"Complete","Waiting"))</f>
        <v>#DIV/0!</v>
      </c>
      <c r="S34" s="12" t="e">
        <f>IF($A34="","",IFERROR(INDEX(Scores!$Y$2:$Y$225,MATCH($A34,Scores!$A$2:$A$225,0)),""))</f>
        <v>#DIV/0!</v>
      </c>
    </row>
    <row r="35" spans="1:19">
      <c r="A35" s="12" t="e">
        <f>IF(INT((30)/Setup!$B$13)+1&lt;=Setup!$B$5,INDEX(Scores!$A$2:$A$225,2+(INT((30)/Setup!$B$13)+1-1)*28+(MOD(30,Setup!$B$13)+1-1)-1),"")</f>
        <v>#DIV/0!</v>
      </c>
      <c r="B35" s="12" t="e">
        <f>IF(INT((30)/Setup!$B$13)+1&lt;=Setup!$B$5,CHAR(64+INT((30)/Setup!$B$13)+1),"")</f>
        <v>#DIV/0!</v>
      </c>
      <c r="C35" s="12" t="e">
        <f>IF(INT((30)/Setup!$B$13)+1&lt;=Setup!$B$5,INDEX(Scores!$E$2:$E$225,2+(INT((30)/Setup!$B$13)+1-1)*28+(MOD(30,Setup!$B$13)+1-1)-1),"")</f>
        <v>#DIV/0!</v>
      </c>
      <c r="D35" s="12" t="e">
        <f>IF(INT((30)/Setup!$B$13)+1&lt;=Setup!$B$5,INDEX(Scores!$G$2:$G$225,2+(INT((30)/Setup!$B$13)+1-1)*28+(MOD(30,Setup!$B$13)+1-1)-1),"")</f>
        <v>#DIV/0!</v>
      </c>
      <c r="E35" s="12" t="e">
        <f>IF(INT((30)/Setup!$B$13)+1&lt;=Setup!$B$5,INDEX(Scores!$I$2:$I$225,2+(INT((30)/Setup!$B$13)+1-1)*28+(MOD(30,Setup!$B$13)+1-1)-1),"")</f>
        <v>#DIV/0!</v>
      </c>
      <c r="F35" s="66"/>
      <c r="G35" s="67"/>
      <c r="H35" s="66"/>
      <c r="I35" s="67"/>
      <c r="J35" s="66"/>
      <c r="K35" s="67"/>
      <c r="L35" s="66"/>
      <c r="M35" s="67"/>
      <c r="N35" s="66"/>
      <c r="O35" s="67"/>
      <c r="P35" s="6" t="e">
        <f>IF($A35="","",IFERROR(INDEX(Scores!$T$2:$T$225,MATCH($A35,Scores!$A$2:$A$225,0)),""))</f>
        <v>#DIV/0!</v>
      </c>
      <c r="Q35" s="6" t="e">
        <f>IF($A35="","",IFERROR(INDEX(Scores!$U$2:$U$225,MATCH($A35,Scores!$A$2:$A$225,0)),""))</f>
        <v>#DIV/0!</v>
      </c>
      <c r="R35" s="12" t="e">
        <f>IF($A35="","",IF(IFERROR(INDEX(Scores!$X$2:$X$225,MATCH($A35,Scores!$A$2:$A$225,0)),0)=1,"Complete","Waiting"))</f>
        <v>#DIV/0!</v>
      </c>
      <c r="S35" s="12" t="e">
        <f>IF($A35="","",IFERROR(INDEX(Scores!$Y$2:$Y$225,MATCH($A35,Scores!$A$2:$A$225,0)),""))</f>
        <v>#DIV/0!</v>
      </c>
    </row>
    <row r="36" spans="1:19">
      <c r="A36" s="12" t="e">
        <f>IF(INT((31)/Setup!$B$13)+1&lt;=Setup!$B$5,INDEX(Scores!$A$2:$A$225,2+(INT((31)/Setup!$B$13)+1-1)*28+(MOD(31,Setup!$B$13)+1-1)-1),"")</f>
        <v>#DIV/0!</v>
      </c>
      <c r="B36" s="12" t="e">
        <f>IF(INT((31)/Setup!$B$13)+1&lt;=Setup!$B$5,CHAR(64+INT((31)/Setup!$B$13)+1),"")</f>
        <v>#DIV/0!</v>
      </c>
      <c r="C36" s="12" t="e">
        <f>IF(INT((31)/Setup!$B$13)+1&lt;=Setup!$B$5,INDEX(Scores!$E$2:$E$225,2+(INT((31)/Setup!$B$13)+1-1)*28+(MOD(31,Setup!$B$13)+1-1)-1),"")</f>
        <v>#DIV/0!</v>
      </c>
      <c r="D36" s="12" t="e">
        <f>IF(INT((31)/Setup!$B$13)+1&lt;=Setup!$B$5,INDEX(Scores!$G$2:$G$225,2+(INT((31)/Setup!$B$13)+1-1)*28+(MOD(31,Setup!$B$13)+1-1)-1),"")</f>
        <v>#DIV/0!</v>
      </c>
      <c r="E36" s="12" t="e">
        <f>IF(INT((31)/Setup!$B$13)+1&lt;=Setup!$B$5,INDEX(Scores!$I$2:$I$225,2+(INT((31)/Setup!$B$13)+1-1)*28+(MOD(31,Setup!$B$13)+1-1)-1),"")</f>
        <v>#DIV/0!</v>
      </c>
      <c r="F36" s="66"/>
      <c r="G36" s="67"/>
      <c r="H36" s="66"/>
      <c r="I36" s="67"/>
      <c r="J36" s="66"/>
      <c r="K36" s="67"/>
      <c r="L36" s="66"/>
      <c r="M36" s="67"/>
      <c r="N36" s="66"/>
      <c r="O36" s="67"/>
      <c r="P36" s="6" t="e">
        <f>IF($A36="","",IFERROR(INDEX(Scores!$T$2:$T$225,MATCH($A36,Scores!$A$2:$A$225,0)),""))</f>
        <v>#DIV/0!</v>
      </c>
      <c r="Q36" s="6" t="e">
        <f>IF($A36="","",IFERROR(INDEX(Scores!$U$2:$U$225,MATCH($A36,Scores!$A$2:$A$225,0)),""))</f>
        <v>#DIV/0!</v>
      </c>
      <c r="R36" s="12" t="e">
        <f>IF($A36="","",IF(IFERROR(INDEX(Scores!$X$2:$X$225,MATCH($A36,Scores!$A$2:$A$225,0)),0)=1,"Complete","Waiting"))</f>
        <v>#DIV/0!</v>
      </c>
      <c r="S36" s="12" t="e">
        <f>IF($A36="","",IFERROR(INDEX(Scores!$Y$2:$Y$225,MATCH($A36,Scores!$A$2:$A$225,0)),""))</f>
        <v>#DIV/0!</v>
      </c>
    </row>
    <row r="37" spans="1:19">
      <c r="A37" s="12" t="e">
        <f>IF(INT((32)/Setup!$B$13)+1&lt;=Setup!$B$5,INDEX(Scores!$A$2:$A$225,2+(INT((32)/Setup!$B$13)+1-1)*28+(MOD(32,Setup!$B$13)+1-1)-1),"")</f>
        <v>#DIV/0!</v>
      </c>
      <c r="B37" s="12" t="e">
        <f>IF(INT((32)/Setup!$B$13)+1&lt;=Setup!$B$5,CHAR(64+INT((32)/Setup!$B$13)+1),"")</f>
        <v>#DIV/0!</v>
      </c>
      <c r="C37" s="12" t="e">
        <f>IF(INT((32)/Setup!$B$13)+1&lt;=Setup!$B$5,INDEX(Scores!$E$2:$E$225,2+(INT((32)/Setup!$B$13)+1-1)*28+(MOD(32,Setup!$B$13)+1-1)-1),"")</f>
        <v>#DIV/0!</v>
      </c>
      <c r="D37" s="12" t="e">
        <f>IF(INT((32)/Setup!$B$13)+1&lt;=Setup!$B$5,INDEX(Scores!$G$2:$G$225,2+(INT((32)/Setup!$B$13)+1-1)*28+(MOD(32,Setup!$B$13)+1-1)-1),"")</f>
        <v>#DIV/0!</v>
      </c>
      <c r="E37" s="12" t="e">
        <f>IF(INT((32)/Setup!$B$13)+1&lt;=Setup!$B$5,INDEX(Scores!$I$2:$I$225,2+(INT((32)/Setup!$B$13)+1-1)*28+(MOD(32,Setup!$B$13)+1-1)-1),"")</f>
        <v>#DIV/0!</v>
      </c>
      <c r="F37" s="66"/>
      <c r="G37" s="67"/>
      <c r="H37" s="66"/>
      <c r="I37" s="67"/>
      <c r="J37" s="66"/>
      <c r="K37" s="67"/>
      <c r="L37" s="66"/>
      <c r="M37" s="67"/>
      <c r="N37" s="66"/>
      <c r="O37" s="67"/>
      <c r="P37" s="6" t="e">
        <f>IF($A37="","",IFERROR(INDEX(Scores!$T$2:$T$225,MATCH($A37,Scores!$A$2:$A$225,0)),""))</f>
        <v>#DIV/0!</v>
      </c>
      <c r="Q37" s="6" t="e">
        <f>IF($A37="","",IFERROR(INDEX(Scores!$U$2:$U$225,MATCH($A37,Scores!$A$2:$A$225,0)),""))</f>
        <v>#DIV/0!</v>
      </c>
      <c r="R37" s="12" t="e">
        <f>IF($A37="","",IF(IFERROR(INDEX(Scores!$X$2:$X$225,MATCH($A37,Scores!$A$2:$A$225,0)),0)=1,"Complete","Waiting"))</f>
        <v>#DIV/0!</v>
      </c>
      <c r="S37" s="12" t="e">
        <f>IF($A37="","",IFERROR(INDEX(Scores!$Y$2:$Y$225,MATCH($A37,Scores!$A$2:$A$225,0)),""))</f>
        <v>#DIV/0!</v>
      </c>
    </row>
    <row r="38" spans="1:19">
      <c r="A38" s="12" t="e">
        <f>IF(INT((33)/Setup!$B$13)+1&lt;=Setup!$B$5,INDEX(Scores!$A$2:$A$225,2+(INT((33)/Setup!$B$13)+1-1)*28+(MOD(33,Setup!$B$13)+1-1)-1),"")</f>
        <v>#DIV/0!</v>
      </c>
      <c r="B38" s="12" t="e">
        <f>IF(INT((33)/Setup!$B$13)+1&lt;=Setup!$B$5,CHAR(64+INT((33)/Setup!$B$13)+1),"")</f>
        <v>#DIV/0!</v>
      </c>
      <c r="C38" s="12" t="e">
        <f>IF(INT((33)/Setup!$B$13)+1&lt;=Setup!$B$5,INDEX(Scores!$E$2:$E$225,2+(INT((33)/Setup!$B$13)+1-1)*28+(MOD(33,Setup!$B$13)+1-1)-1),"")</f>
        <v>#DIV/0!</v>
      </c>
      <c r="D38" s="12" t="e">
        <f>IF(INT((33)/Setup!$B$13)+1&lt;=Setup!$B$5,INDEX(Scores!$G$2:$G$225,2+(INT((33)/Setup!$B$13)+1-1)*28+(MOD(33,Setup!$B$13)+1-1)-1),"")</f>
        <v>#DIV/0!</v>
      </c>
      <c r="E38" s="12" t="e">
        <f>IF(INT((33)/Setup!$B$13)+1&lt;=Setup!$B$5,INDEX(Scores!$I$2:$I$225,2+(INT((33)/Setup!$B$13)+1-1)*28+(MOD(33,Setup!$B$13)+1-1)-1),"")</f>
        <v>#DIV/0!</v>
      </c>
      <c r="F38" s="66"/>
      <c r="G38" s="67"/>
      <c r="H38" s="66"/>
      <c r="I38" s="67"/>
      <c r="J38" s="66"/>
      <c r="K38" s="67"/>
      <c r="L38" s="66"/>
      <c r="M38" s="67"/>
      <c r="N38" s="66"/>
      <c r="O38" s="67"/>
      <c r="P38" s="6" t="e">
        <f>IF($A38="","",IFERROR(INDEX(Scores!$T$2:$T$225,MATCH($A38,Scores!$A$2:$A$225,0)),""))</f>
        <v>#DIV/0!</v>
      </c>
      <c r="Q38" s="6" t="e">
        <f>IF($A38="","",IFERROR(INDEX(Scores!$U$2:$U$225,MATCH($A38,Scores!$A$2:$A$225,0)),""))</f>
        <v>#DIV/0!</v>
      </c>
      <c r="R38" s="12" t="e">
        <f>IF($A38="","",IF(IFERROR(INDEX(Scores!$X$2:$X$225,MATCH($A38,Scores!$A$2:$A$225,0)),0)=1,"Complete","Waiting"))</f>
        <v>#DIV/0!</v>
      </c>
      <c r="S38" s="12" t="e">
        <f>IF($A38="","",IFERROR(INDEX(Scores!$Y$2:$Y$225,MATCH($A38,Scores!$A$2:$A$225,0)),""))</f>
        <v>#DIV/0!</v>
      </c>
    </row>
    <row r="39" spans="1:19">
      <c r="A39" s="12" t="e">
        <f>IF(INT((34)/Setup!$B$13)+1&lt;=Setup!$B$5,INDEX(Scores!$A$2:$A$225,2+(INT((34)/Setup!$B$13)+1-1)*28+(MOD(34,Setup!$B$13)+1-1)-1),"")</f>
        <v>#DIV/0!</v>
      </c>
      <c r="B39" s="12" t="e">
        <f>IF(INT((34)/Setup!$B$13)+1&lt;=Setup!$B$5,CHAR(64+INT((34)/Setup!$B$13)+1),"")</f>
        <v>#DIV/0!</v>
      </c>
      <c r="C39" s="12" t="e">
        <f>IF(INT((34)/Setup!$B$13)+1&lt;=Setup!$B$5,INDEX(Scores!$E$2:$E$225,2+(INT((34)/Setup!$B$13)+1-1)*28+(MOD(34,Setup!$B$13)+1-1)-1),"")</f>
        <v>#DIV/0!</v>
      </c>
      <c r="D39" s="12" t="e">
        <f>IF(INT((34)/Setup!$B$13)+1&lt;=Setup!$B$5,INDEX(Scores!$G$2:$G$225,2+(INT((34)/Setup!$B$13)+1-1)*28+(MOD(34,Setup!$B$13)+1-1)-1),"")</f>
        <v>#DIV/0!</v>
      </c>
      <c r="E39" s="12" t="e">
        <f>IF(INT((34)/Setup!$B$13)+1&lt;=Setup!$B$5,INDEX(Scores!$I$2:$I$225,2+(INT((34)/Setup!$B$13)+1-1)*28+(MOD(34,Setup!$B$13)+1-1)-1),"")</f>
        <v>#DIV/0!</v>
      </c>
      <c r="F39" s="66"/>
      <c r="G39" s="67"/>
      <c r="H39" s="66"/>
      <c r="I39" s="67"/>
      <c r="J39" s="66"/>
      <c r="K39" s="67"/>
      <c r="L39" s="66"/>
      <c r="M39" s="67"/>
      <c r="N39" s="66"/>
      <c r="O39" s="67"/>
      <c r="P39" s="6" t="e">
        <f>IF($A39="","",IFERROR(INDEX(Scores!$T$2:$T$225,MATCH($A39,Scores!$A$2:$A$225,0)),""))</f>
        <v>#DIV/0!</v>
      </c>
      <c r="Q39" s="6" t="e">
        <f>IF($A39="","",IFERROR(INDEX(Scores!$U$2:$U$225,MATCH($A39,Scores!$A$2:$A$225,0)),""))</f>
        <v>#DIV/0!</v>
      </c>
      <c r="R39" s="12" t="e">
        <f>IF($A39="","",IF(IFERROR(INDEX(Scores!$X$2:$X$225,MATCH($A39,Scores!$A$2:$A$225,0)),0)=1,"Complete","Waiting"))</f>
        <v>#DIV/0!</v>
      </c>
      <c r="S39" s="12" t="e">
        <f>IF($A39="","",IFERROR(INDEX(Scores!$Y$2:$Y$225,MATCH($A39,Scores!$A$2:$A$225,0)),""))</f>
        <v>#DIV/0!</v>
      </c>
    </row>
    <row r="40" spans="1:19">
      <c r="A40" s="12" t="e">
        <f>IF(INT((35)/Setup!$B$13)+1&lt;=Setup!$B$5,INDEX(Scores!$A$2:$A$225,2+(INT((35)/Setup!$B$13)+1-1)*28+(MOD(35,Setup!$B$13)+1-1)-1),"")</f>
        <v>#DIV/0!</v>
      </c>
      <c r="B40" s="12" t="e">
        <f>IF(INT((35)/Setup!$B$13)+1&lt;=Setup!$B$5,CHAR(64+INT((35)/Setup!$B$13)+1),"")</f>
        <v>#DIV/0!</v>
      </c>
      <c r="C40" s="12" t="e">
        <f>IF(INT((35)/Setup!$B$13)+1&lt;=Setup!$B$5,INDEX(Scores!$E$2:$E$225,2+(INT((35)/Setup!$B$13)+1-1)*28+(MOD(35,Setup!$B$13)+1-1)-1),"")</f>
        <v>#DIV/0!</v>
      </c>
      <c r="D40" s="12" t="e">
        <f>IF(INT((35)/Setup!$B$13)+1&lt;=Setup!$B$5,INDEX(Scores!$G$2:$G$225,2+(INT((35)/Setup!$B$13)+1-1)*28+(MOD(35,Setup!$B$13)+1-1)-1),"")</f>
        <v>#DIV/0!</v>
      </c>
      <c r="E40" s="12" t="e">
        <f>IF(INT((35)/Setup!$B$13)+1&lt;=Setup!$B$5,INDEX(Scores!$I$2:$I$225,2+(INT((35)/Setup!$B$13)+1-1)*28+(MOD(35,Setup!$B$13)+1-1)-1),"")</f>
        <v>#DIV/0!</v>
      </c>
      <c r="F40" s="66"/>
      <c r="G40" s="67"/>
      <c r="H40" s="66"/>
      <c r="I40" s="67"/>
      <c r="J40" s="66"/>
      <c r="K40" s="67"/>
      <c r="L40" s="66"/>
      <c r="M40" s="67"/>
      <c r="N40" s="66"/>
      <c r="O40" s="67"/>
      <c r="P40" s="6" t="e">
        <f>IF($A40="","",IFERROR(INDEX(Scores!$T$2:$T$225,MATCH($A40,Scores!$A$2:$A$225,0)),""))</f>
        <v>#DIV/0!</v>
      </c>
      <c r="Q40" s="6" t="e">
        <f>IF($A40="","",IFERROR(INDEX(Scores!$U$2:$U$225,MATCH($A40,Scores!$A$2:$A$225,0)),""))</f>
        <v>#DIV/0!</v>
      </c>
      <c r="R40" s="12" t="e">
        <f>IF($A40="","",IF(IFERROR(INDEX(Scores!$X$2:$X$225,MATCH($A40,Scores!$A$2:$A$225,0)),0)=1,"Complete","Waiting"))</f>
        <v>#DIV/0!</v>
      </c>
      <c r="S40" s="12" t="e">
        <f>IF($A40="","",IFERROR(INDEX(Scores!$Y$2:$Y$225,MATCH($A40,Scores!$A$2:$A$225,0)),""))</f>
        <v>#DIV/0!</v>
      </c>
    </row>
    <row r="41" spans="1:19">
      <c r="A41" s="12" t="e">
        <f>IF(INT((36)/Setup!$B$13)+1&lt;=Setup!$B$5,INDEX(Scores!$A$2:$A$225,2+(INT((36)/Setup!$B$13)+1-1)*28+(MOD(36,Setup!$B$13)+1-1)-1),"")</f>
        <v>#DIV/0!</v>
      </c>
      <c r="B41" s="12" t="e">
        <f>IF(INT((36)/Setup!$B$13)+1&lt;=Setup!$B$5,CHAR(64+INT((36)/Setup!$B$13)+1),"")</f>
        <v>#DIV/0!</v>
      </c>
      <c r="C41" s="12" t="e">
        <f>IF(INT((36)/Setup!$B$13)+1&lt;=Setup!$B$5,INDEX(Scores!$E$2:$E$225,2+(INT((36)/Setup!$B$13)+1-1)*28+(MOD(36,Setup!$B$13)+1-1)-1),"")</f>
        <v>#DIV/0!</v>
      </c>
      <c r="D41" s="12" t="e">
        <f>IF(INT((36)/Setup!$B$13)+1&lt;=Setup!$B$5,INDEX(Scores!$G$2:$G$225,2+(INT((36)/Setup!$B$13)+1-1)*28+(MOD(36,Setup!$B$13)+1-1)-1),"")</f>
        <v>#DIV/0!</v>
      </c>
      <c r="E41" s="12" t="e">
        <f>IF(INT((36)/Setup!$B$13)+1&lt;=Setup!$B$5,INDEX(Scores!$I$2:$I$225,2+(INT((36)/Setup!$B$13)+1-1)*28+(MOD(36,Setup!$B$13)+1-1)-1),"")</f>
        <v>#DIV/0!</v>
      </c>
      <c r="F41" s="66"/>
      <c r="G41" s="67"/>
      <c r="H41" s="66"/>
      <c r="I41" s="67"/>
      <c r="J41" s="66"/>
      <c r="K41" s="67"/>
      <c r="L41" s="66"/>
      <c r="M41" s="67"/>
      <c r="N41" s="66"/>
      <c r="O41" s="67"/>
      <c r="P41" s="6" t="e">
        <f>IF($A41="","",IFERROR(INDEX(Scores!$T$2:$T$225,MATCH($A41,Scores!$A$2:$A$225,0)),""))</f>
        <v>#DIV/0!</v>
      </c>
      <c r="Q41" s="6" t="e">
        <f>IF($A41="","",IFERROR(INDEX(Scores!$U$2:$U$225,MATCH($A41,Scores!$A$2:$A$225,0)),""))</f>
        <v>#DIV/0!</v>
      </c>
      <c r="R41" s="12" t="e">
        <f>IF($A41="","",IF(IFERROR(INDEX(Scores!$X$2:$X$225,MATCH($A41,Scores!$A$2:$A$225,0)),0)=1,"Complete","Waiting"))</f>
        <v>#DIV/0!</v>
      </c>
      <c r="S41" s="12" t="e">
        <f>IF($A41="","",IFERROR(INDEX(Scores!$Y$2:$Y$225,MATCH($A41,Scores!$A$2:$A$225,0)),""))</f>
        <v>#DIV/0!</v>
      </c>
    </row>
    <row r="42" spans="1:19">
      <c r="A42" s="12" t="e">
        <f>IF(INT((37)/Setup!$B$13)+1&lt;=Setup!$B$5,INDEX(Scores!$A$2:$A$225,2+(INT((37)/Setup!$B$13)+1-1)*28+(MOD(37,Setup!$B$13)+1-1)-1),"")</f>
        <v>#DIV/0!</v>
      </c>
      <c r="B42" s="12" t="e">
        <f>IF(INT((37)/Setup!$B$13)+1&lt;=Setup!$B$5,CHAR(64+INT((37)/Setup!$B$13)+1),"")</f>
        <v>#DIV/0!</v>
      </c>
      <c r="C42" s="12" t="e">
        <f>IF(INT((37)/Setup!$B$13)+1&lt;=Setup!$B$5,INDEX(Scores!$E$2:$E$225,2+(INT((37)/Setup!$B$13)+1-1)*28+(MOD(37,Setup!$B$13)+1-1)-1),"")</f>
        <v>#DIV/0!</v>
      </c>
      <c r="D42" s="12" t="e">
        <f>IF(INT((37)/Setup!$B$13)+1&lt;=Setup!$B$5,INDEX(Scores!$G$2:$G$225,2+(INT((37)/Setup!$B$13)+1-1)*28+(MOD(37,Setup!$B$13)+1-1)-1),"")</f>
        <v>#DIV/0!</v>
      </c>
      <c r="E42" s="12" t="e">
        <f>IF(INT((37)/Setup!$B$13)+1&lt;=Setup!$B$5,INDEX(Scores!$I$2:$I$225,2+(INT((37)/Setup!$B$13)+1-1)*28+(MOD(37,Setup!$B$13)+1-1)-1),"")</f>
        <v>#DIV/0!</v>
      </c>
      <c r="F42" s="66"/>
      <c r="G42" s="67"/>
      <c r="H42" s="66"/>
      <c r="I42" s="67"/>
      <c r="J42" s="66"/>
      <c r="K42" s="67"/>
      <c r="L42" s="66"/>
      <c r="M42" s="67"/>
      <c r="N42" s="66"/>
      <c r="O42" s="67"/>
      <c r="P42" s="6" t="e">
        <f>IF($A42="","",IFERROR(INDEX(Scores!$T$2:$T$225,MATCH($A42,Scores!$A$2:$A$225,0)),""))</f>
        <v>#DIV/0!</v>
      </c>
      <c r="Q42" s="6" t="e">
        <f>IF($A42="","",IFERROR(INDEX(Scores!$U$2:$U$225,MATCH($A42,Scores!$A$2:$A$225,0)),""))</f>
        <v>#DIV/0!</v>
      </c>
      <c r="R42" s="12" t="e">
        <f>IF($A42="","",IF(IFERROR(INDEX(Scores!$X$2:$X$225,MATCH($A42,Scores!$A$2:$A$225,0)),0)=1,"Complete","Waiting"))</f>
        <v>#DIV/0!</v>
      </c>
      <c r="S42" s="12" t="e">
        <f>IF($A42="","",IFERROR(INDEX(Scores!$Y$2:$Y$225,MATCH($A42,Scores!$A$2:$A$225,0)),""))</f>
        <v>#DIV/0!</v>
      </c>
    </row>
    <row r="43" spans="1:19">
      <c r="A43" s="12" t="e">
        <f>IF(INT((38)/Setup!$B$13)+1&lt;=Setup!$B$5,INDEX(Scores!$A$2:$A$225,2+(INT((38)/Setup!$B$13)+1-1)*28+(MOD(38,Setup!$B$13)+1-1)-1),"")</f>
        <v>#DIV/0!</v>
      </c>
      <c r="B43" s="12" t="e">
        <f>IF(INT((38)/Setup!$B$13)+1&lt;=Setup!$B$5,CHAR(64+INT((38)/Setup!$B$13)+1),"")</f>
        <v>#DIV/0!</v>
      </c>
      <c r="C43" s="12" t="e">
        <f>IF(INT((38)/Setup!$B$13)+1&lt;=Setup!$B$5,INDEX(Scores!$E$2:$E$225,2+(INT((38)/Setup!$B$13)+1-1)*28+(MOD(38,Setup!$B$13)+1-1)-1),"")</f>
        <v>#DIV/0!</v>
      </c>
      <c r="D43" s="12" t="e">
        <f>IF(INT((38)/Setup!$B$13)+1&lt;=Setup!$B$5,INDEX(Scores!$G$2:$G$225,2+(INT((38)/Setup!$B$13)+1-1)*28+(MOD(38,Setup!$B$13)+1-1)-1),"")</f>
        <v>#DIV/0!</v>
      </c>
      <c r="E43" s="12" t="e">
        <f>IF(INT((38)/Setup!$B$13)+1&lt;=Setup!$B$5,INDEX(Scores!$I$2:$I$225,2+(INT((38)/Setup!$B$13)+1-1)*28+(MOD(38,Setup!$B$13)+1-1)-1),"")</f>
        <v>#DIV/0!</v>
      </c>
      <c r="F43" s="66"/>
      <c r="G43" s="67"/>
      <c r="H43" s="66"/>
      <c r="I43" s="67"/>
      <c r="J43" s="66"/>
      <c r="K43" s="67"/>
      <c r="L43" s="66"/>
      <c r="M43" s="67"/>
      <c r="N43" s="66"/>
      <c r="O43" s="67"/>
      <c r="P43" s="6" t="e">
        <f>IF($A43="","",IFERROR(INDEX(Scores!$T$2:$T$225,MATCH($A43,Scores!$A$2:$A$225,0)),""))</f>
        <v>#DIV/0!</v>
      </c>
      <c r="Q43" s="6" t="e">
        <f>IF($A43="","",IFERROR(INDEX(Scores!$U$2:$U$225,MATCH($A43,Scores!$A$2:$A$225,0)),""))</f>
        <v>#DIV/0!</v>
      </c>
      <c r="R43" s="12" t="e">
        <f>IF($A43="","",IF(IFERROR(INDEX(Scores!$X$2:$X$225,MATCH($A43,Scores!$A$2:$A$225,0)),0)=1,"Complete","Waiting"))</f>
        <v>#DIV/0!</v>
      </c>
      <c r="S43" s="12" t="e">
        <f>IF($A43="","",IFERROR(INDEX(Scores!$Y$2:$Y$225,MATCH($A43,Scores!$A$2:$A$225,0)),""))</f>
        <v>#DIV/0!</v>
      </c>
    </row>
    <row r="44" spans="1:19">
      <c r="A44" s="12" t="e">
        <f>IF(INT((39)/Setup!$B$13)+1&lt;=Setup!$B$5,INDEX(Scores!$A$2:$A$225,2+(INT((39)/Setup!$B$13)+1-1)*28+(MOD(39,Setup!$B$13)+1-1)-1),"")</f>
        <v>#DIV/0!</v>
      </c>
      <c r="B44" s="12" t="e">
        <f>IF(INT((39)/Setup!$B$13)+1&lt;=Setup!$B$5,CHAR(64+INT((39)/Setup!$B$13)+1),"")</f>
        <v>#DIV/0!</v>
      </c>
      <c r="C44" s="12" t="e">
        <f>IF(INT((39)/Setup!$B$13)+1&lt;=Setup!$B$5,INDEX(Scores!$E$2:$E$225,2+(INT((39)/Setup!$B$13)+1-1)*28+(MOD(39,Setup!$B$13)+1-1)-1),"")</f>
        <v>#DIV/0!</v>
      </c>
      <c r="D44" s="12" t="e">
        <f>IF(INT((39)/Setup!$B$13)+1&lt;=Setup!$B$5,INDEX(Scores!$G$2:$G$225,2+(INT((39)/Setup!$B$13)+1-1)*28+(MOD(39,Setup!$B$13)+1-1)-1),"")</f>
        <v>#DIV/0!</v>
      </c>
      <c r="E44" s="12" t="e">
        <f>IF(INT((39)/Setup!$B$13)+1&lt;=Setup!$B$5,INDEX(Scores!$I$2:$I$225,2+(INT((39)/Setup!$B$13)+1-1)*28+(MOD(39,Setup!$B$13)+1-1)-1),"")</f>
        <v>#DIV/0!</v>
      </c>
      <c r="F44" s="66"/>
      <c r="G44" s="67"/>
      <c r="H44" s="66"/>
      <c r="I44" s="67"/>
      <c r="J44" s="66"/>
      <c r="K44" s="67"/>
      <c r="L44" s="66"/>
      <c r="M44" s="67"/>
      <c r="N44" s="66"/>
      <c r="O44" s="67"/>
      <c r="P44" s="6" t="e">
        <f>IF($A44="","",IFERROR(INDEX(Scores!$T$2:$T$225,MATCH($A44,Scores!$A$2:$A$225,0)),""))</f>
        <v>#DIV/0!</v>
      </c>
      <c r="Q44" s="6" t="e">
        <f>IF($A44="","",IFERROR(INDEX(Scores!$U$2:$U$225,MATCH($A44,Scores!$A$2:$A$225,0)),""))</f>
        <v>#DIV/0!</v>
      </c>
      <c r="R44" s="12" t="e">
        <f>IF($A44="","",IF(IFERROR(INDEX(Scores!$X$2:$X$225,MATCH($A44,Scores!$A$2:$A$225,0)),0)=1,"Complete","Waiting"))</f>
        <v>#DIV/0!</v>
      </c>
      <c r="S44" s="12" t="e">
        <f>IF($A44="","",IFERROR(INDEX(Scores!$Y$2:$Y$225,MATCH($A44,Scores!$A$2:$A$225,0)),""))</f>
        <v>#DIV/0!</v>
      </c>
    </row>
    <row r="45" spans="1:19">
      <c r="A45" s="12" t="e">
        <f>IF(INT((40)/Setup!$B$13)+1&lt;=Setup!$B$5,INDEX(Scores!$A$2:$A$225,2+(INT((40)/Setup!$B$13)+1-1)*28+(MOD(40,Setup!$B$13)+1-1)-1),"")</f>
        <v>#DIV/0!</v>
      </c>
      <c r="B45" s="12" t="e">
        <f>IF(INT((40)/Setup!$B$13)+1&lt;=Setup!$B$5,CHAR(64+INT((40)/Setup!$B$13)+1),"")</f>
        <v>#DIV/0!</v>
      </c>
      <c r="C45" s="12" t="e">
        <f>IF(INT((40)/Setup!$B$13)+1&lt;=Setup!$B$5,INDEX(Scores!$E$2:$E$225,2+(INT((40)/Setup!$B$13)+1-1)*28+(MOD(40,Setup!$B$13)+1-1)-1),"")</f>
        <v>#DIV/0!</v>
      </c>
      <c r="D45" s="12" t="e">
        <f>IF(INT((40)/Setup!$B$13)+1&lt;=Setup!$B$5,INDEX(Scores!$G$2:$G$225,2+(INT((40)/Setup!$B$13)+1-1)*28+(MOD(40,Setup!$B$13)+1-1)-1),"")</f>
        <v>#DIV/0!</v>
      </c>
      <c r="E45" s="12" t="e">
        <f>IF(INT((40)/Setup!$B$13)+1&lt;=Setup!$B$5,INDEX(Scores!$I$2:$I$225,2+(INT((40)/Setup!$B$13)+1-1)*28+(MOD(40,Setup!$B$13)+1-1)-1),"")</f>
        <v>#DIV/0!</v>
      </c>
      <c r="F45" s="66"/>
      <c r="G45" s="67"/>
      <c r="H45" s="66"/>
      <c r="I45" s="67"/>
      <c r="J45" s="66"/>
      <c r="K45" s="67"/>
      <c r="L45" s="66"/>
      <c r="M45" s="67"/>
      <c r="N45" s="66"/>
      <c r="O45" s="67"/>
      <c r="P45" s="6" t="e">
        <f>IF($A45="","",IFERROR(INDEX(Scores!$T$2:$T$225,MATCH($A45,Scores!$A$2:$A$225,0)),""))</f>
        <v>#DIV/0!</v>
      </c>
      <c r="Q45" s="6" t="e">
        <f>IF($A45="","",IFERROR(INDEX(Scores!$U$2:$U$225,MATCH($A45,Scores!$A$2:$A$225,0)),""))</f>
        <v>#DIV/0!</v>
      </c>
      <c r="R45" s="12" t="e">
        <f>IF($A45="","",IF(IFERROR(INDEX(Scores!$X$2:$X$225,MATCH($A45,Scores!$A$2:$A$225,0)),0)=1,"Complete","Waiting"))</f>
        <v>#DIV/0!</v>
      </c>
      <c r="S45" s="12" t="e">
        <f>IF($A45="","",IFERROR(INDEX(Scores!$Y$2:$Y$225,MATCH($A45,Scores!$A$2:$A$225,0)),""))</f>
        <v>#DIV/0!</v>
      </c>
    </row>
    <row r="46" spans="1:19">
      <c r="A46" s="12" t="e">
        <f>IF(INT((41)/Setup!$B$13)+1&lt;=Setup!$B$5,INDEX(Scores!$A$2:$A$225,2+(INT((41)/Setup!$B$13)+1-1)*28+(MOD(41,Setup!$B$13)+1-1)-1),"")</f>
        <v>#DIV/0!</v>
      </c>
      <c r="B46" s="12" t="e">
        <f>IF(INT((41)/Setup!$B$13)+1&lt;=Setup!$B$5,CHAR(64+INT((41)/Setup!$B$13)+1),"")</f>
        <v>#DIV/0!</v>
      </c>
      <c r="C46" s="12" t="e">
        <f>IF(INT((41)/Setup!$B$13)+1&lt;=Setup!$B$5,INDEX(Scores!$E$2:$E$225,2+(INT((41)/Setup!$B$13)+1-1)*28+(MOD(41,Setup!$B$13)+1-1)-1),"")</f>
        <v>#DIV/0!</v>
      </c>
      <c r="D46" s="12" t="e">
        <f>IF(INT((41)/Setup!$B$13)+1&lt;=Setup!$B$5,INDEX(Scores!$G$2:$G$225,2+(INT((41)/Setup!$B$13)+1-1)*28+(MOD(41,Setup!$B$13)+1-1)-1),"")</f>
        <v>#DIV/0!</v>
      </c>
      <c r="E46" s="12" t="e">
        <f>IF(INT((41)/Setup!$B$13)+1&lt;=Setup!$B$5,INDEX(Scores!$I$2:$I$225,2+(INT((41)/Setup!$B$13)+1-1)*28+(MOD(41,Setup!$B$13)+1-1)-1),"")</f>
        <v>#DIV/0!</v>
      </c>
      <c r="F46" s="66"/>
      <c r="G46" s="67"/>
      <c r="H46" s="66"/>
      <c r="I46" s="67"/>
      <c r="J46" s="66"/>
      <c r="K46" s="67"/>
      <c r="L46" s="66"/>
      <c r="M46" s="67"/>
      <c r="N46" s="66"/>
      <c r="O46" s="67"/>
      <c r="P46" s="6" t="e">
        <f>IF($A46="","",IFERROR(INDEX(Scores!$T$2:$T$225,MATCH($A46,Scores!$A$2:$A$225,0)),""))</f>
        <v>#DIV/0!</v>
      </c>
      <c r="Q46" s="6" t="e">
        <f>IF($A46="","",IFERROR(INDEX(Scores!$U$2:$U$225,MATCH($A46,Scores!$A$2:$A$225,0)),""))</f>
        <v>#DIV/0!</v>
      </c>
      <c r="R46" s="12" t="e">
        <f>IF($A46="","",IF(IFERROR(INDEX(Scores!$X$2:$X$225,MATCH($A46,Scores!$A$2:$A$225,0)),0)=1,"Complete","Waiting"))</f>
        <v>#DIV/0!</v>
      </c>
      <c r="S46" s="12" t="e">
        <f>IF($A46="","",IFERROR(INDEX(Scores!$Y$2:$Y$225,MATCH($A46,Scores!$A$2:$A$225,0)),""))</f>
        <v>#DIV/0!</v>
      </c>
    </row>
    <row r="47" spans="1:19">
      <c r="A47" s="12" t="e">
        <f>IF(INT((42)/Setup!$B$13)+1&lt;=Setup!$B$5,INDEX(Scores!$A$2:$A$225,2+(INT((42)/Setup!$B$13)+1-1)*28+(MOD(42,Setup!$B$13)+1-1)-1),"")</f>
        <v>#DIV/0!</v>
      </c>
      <c r="B47" s="12" t="e">
        <f>IF(INT((42)/Setup!$B$13)+1&lt;=Setup!$B$5,CHAR(64+INT((42)/Setup!$B$13)+1),"")</f>
        <v>#DIV/0!</v>
      </c>
      <c r="C47" s="12" t="e">
        <f>IF(INT((42)/Setup!$B$13)+1&lt;=Setup!$B$5,INDEX(Scores!$E$2:$E$225,2+(INT((42)/Setup!$B$13)+1-1)*28+(MOD(42,Setup!$B$13)+1-1)-1),"")</f>
        <v>#DIV/0!</v>
      </c>
      <c r="D47" s="12" t="e">
        <f>IF(INT((42)/Setup!$B$13)+1&lt;=Setup!$B$5,INDEX(Scores!$G$2:$G$225,2+(INT((42)/Setup!$B$13)+1-1)*28+(MOD(42,Setup!$B$13)+1-1)-1),"")</f>
        <v>#DIV/0!</v>
      </c>
      <c r="E47" s="12" t="e">
        <f>IF(INT((42)/Setup!$B$13)+1&lt;=Setup!$B$5,INDEX(Scores!$I$2:$I$225,2+(INT((42)/Setup!$B$13)+1-1)*28+(MOD(42,Setup!$B$13)+1-1)-1),"")</f>
        <v>#DIV/0!</v>
      </c>
      <c r="F47" s="66"/>
      <c r="G47" s="67"/>
      <c r="H47" s="66"/>
      <c r="I47" s="67"/>
      <c r="J47" s="66"/>
      <c r="K47" s="67"/>
      <c r="L47" s="66"/>
      <c r="M47" s="67"/>
      <c r="N47" s="66"/>
      <c r="O47" s="67"/>
      <c r="P47" s="6" t="e">
        <f>IF($A47="","",IFERROR(INDEX(Scores!$T$2:$T$225,MATCH($A47,Scores!$A$2:$A$225,0)),""))</f>
        <v>#DIV/0!</v>
      </c>
      <c r="Q47" s="6" t="e">
        <f>IF($A47="","",IFERROR(INDEX(Scores!$U$2:$U$225,MATCH($A47,Scores!$A$2:$A$225,0)),""))</f>
        <v>#DIV/0!</v>
      </c>
      <c r="R47" s="12" t="e">
        <f>IF($A47="","",IF(IFERROR(INDEX(Scores!$X$2:$X$225,MATCH($A47,Scores!$A$2:$A$225,0)),0)=1,"Complete","Waiting"))</f>
        <v>#DIV/0!</v>
      </c>
      <c r="S47" s="12" t="e">
        <f>IF($A47="","",IFERROR(INDEX(Scores!$Y$2:$Y$225,MATCH($A47,Scores!$A$2:$A$225,0)),""))</f>
        <v>#DIV/0!</v>
      </c>
    </row>
    <row r="48" spans="1:19">
      <c r="A48" s="12" t="e">
        <f>IF(INT((43)/Setup!$B$13)+1&lt;=Setup!$B$5,INDEX(Scores!$A$2:$A$225,2+(INT((43)/Setup!$B$13)+1-1)*28+(MOD(43,Setup!$B$13)+1-1)-1),"")</f>
        <v>#DIV/0!</v>
      </c>
      <c r="B48" s="12" t="e">
        <f>IF(INT((43)/Setup!$B$13)+1&lt;=Setup!$B$5,CHAR(64+INT((43)/Setup!$B$13)+1),"")</f>
        <v>#DIV/0!</v>
      </c>
      <c r="C48" s="12" t="e">
        <f>IF(INT((43)/Setup!$B$13)+1&lt;=Setup!$B$5,INDEX(Scores!$E$2:$E$225,2+(INT((43)/Setup!$B$13)+1-1)*28+(MOD(43,Setup!$B$13)+1-1)-1),"")</f>
        <v>#DIV/0!</v>
      </c>
      <c r="D48" s="12" t="e">
        <f>IF(INT((43)/Setup!$B$13)+1&lt;=Setup!$B$5,INDEX(Scores!$G$2:$G$225,2+(INT((43)/Setup!$B$13)+1-1)*28+(MOD(43,Setup!$B$13)+1-1)-1),"")</f>
        <v>#DIV/0!</v>
      </c>
      <c r="E48" s="12" t="e">
        <f>IF(INT((43)/Setup!$B$13)+1&lt;=Setup!$B$5,INDEX(Scores!$I$2:$I$225,2+(INT((43)/Setup!$B$13)+1-1)*28+(MOD(43,Setup!$B$13)+1-1)-1),"")</f>
        <v>#DIV/0!</v>
      </c>
      <c r="F48" s="66"/>
      <c r="G48" s="67"/>
      <c r="H48" s="66"/>
      <c r="I48" s="67"/>
      <c r="J48" s="66"/>
      <c r="K48" s="67"/>
      <c r="L48" s="66"/>
      <c r="M48" s="67"/>
      <c r="N48" s="66"/>
      <c r="O48" s="67"/>
      <c r="P48" s="6" t="e">
        <f>IF($A48="","",IFERROR(INDEX(Scores!$T$2:$T$225,MATCH($A48,Scores!$A$2:$A$225,0)),""))</f>
        <v>#DIV/0!</v>
      </c>
      <c r="Q48" s="6" t="e">
        <f>IF($A48="","",IFERROR(INDEX(Scores!$U$2:$U$225,MATCH($A48,Scores!$A$2:$A$225,0)),""))</f>
        <v>#DIV/0!</v>
      </c>
      <c r="R48" s="12" t="e">
        <f>IF($A48="","",IF(IFERROR(INDEX(Scores!$X$2:$X$225,MATCH($A48,Scores!$A$2:$A$225,0)),0)=1,"Complete","Waiting"))</f>
        <v>#DIV/0!</v>
      </c>
      <c r="S48" s="12" t="e">
        <f>IF($A48="","",IFERROR(INDEX(Scores!$Y$2:$Y$225,MATCH($A48,Scores!$A$2:$A$225,0)),""))</f>
        <v>#DIV/0!</v>
      </c>
    </row>
    <row r="49" spans="1:19">
      <c r="A49" s="12" t="e">
        <f>IF(INT((44)/Setup!$B$13)+1&lt;=Setup!$B$5,INDEX(Scores!$A$2:$A$225,2+(INT((44)/Setup!$B$13)+1-1)*28+(MOD(44,Setup!$B$13)+1-1)-1),"")</f>
        <v>#DIV/0!</v>
      </c>
      <c r="B49" s="12" t="e">
        <f>IF(INT((44)/Setup!$B$13)+1&lt;=Setup!$B$5,CHAR(64+INT((44)/Setup!$B$13)+1),"")</f>
        <v>#DIV/0!</v>
      </c>
      <c r="C49" s="12" t="e">
        <f>IF(INT((44)/Setup!$B$13)+1&lt;=Setup!$B$5,INDEX(Scores!$E$2:$E$225,2+(INT((44)/Setup!$B$13)+1-1)*28+(MOD(44,Setup!$B$13)+1-1)-1),"")</f>
        <v>#DIV/0!</v>
      </c>
      <c r="D49" s="12" t="e">
        <f>IF(INT((44)/Setup!$B$13)+1&lt;=Setup!$B$5,INDEX(Scores!$G$2:$G$225,2+(INT((44)/Setup!$B$13)+1-1)*28+(MOD(44,Setup!$B$13)+1-1)-1),"")</f>
        <v>#DIV/0!</v>
      </c>
      <c r="E49" s="12" t="e">
        <f>IF(INT((44)/Setup!$B$13)+1&lt;=Setup!$B$5,INDEX(Scores!$I$2:$I$225,2+(INT((44)/Setup!$B$13)+1-1)*28+(MOD(44,Setup!$B$13)+1-1)-1),"")</f>
        <v>#DIV/0!</v>
      </c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" t="e">
        <f>IF($A49="","",IFERROR(INDEX(Scores!$T$2:$T$225,MATCH($A49,Scores!$A$2:$A$225,0)),""))</f>
        <v>#DIV/0!</v>
      </c>
      <c r="Q49" s="6" t="e">
        <f>IF($A49="","",IFERROR(INDEX(Scores!$U$2:$U$225,MATCH($A49,Scores!$A$2:$A$225,0)),""))</f>
        <v>#DIV/0!</v>
      </c>
      <c r="R49" s="12" t="e">
        <f>IF($A49="","",IF(IFERROR(INDEX(Scores!$X$2:$X$225,MATCH($A49,Scores!$A$2:$A$225,0)),0)=1,"Complete","Waiting"))</f>
        <v>#DIV/0!</v>
      </c>
      <c r="S49" s="12" t="e">
        <f>IF($A49="","",IFERROR(INDEX(Scores!$Y$2:$Y$225,MATCH($A49,Scores!$A$2:$A$225,0)),""))</f>
        <v>#DIV/0!</v>
      </c>
    </row>
    <row r="50" spans="1:19">
      <c r="A50" s="12" t="e">
        <f>IF(INT((45)/Setup!$B$13)+1&lt;=Setup!$B$5,INDEX(Scores!$A$2:$A$225,2+(INT((45)/Setup!$B$13)+1-1)*28+(MOD(45,Setup!$B$13)+1-1)-1),"")</f>
        <v>#DIV/0!</v>
      </c>
      <c r="B50" s="12" t="e">
        <f>IF(INT((45)/Setup!$B$13)+1&lt;=Setup!$B$5,CHAR(64+INT((45)/Setup!$B$13)+1),"")</f>
        <v>#DIV/0!</v>
      </c>
      <c r="C50" s="12" t="e">
        <f>IF(INT((45)/Setup!$B$13)+1&lt;=Setup!$B$5,INDEX(Scores!$E$2:$E$225,2+(INT((45)/Setup!$B$13)+1-1)*28+(MOD(45,Setup!$B$13)+1-1)-1),"")</f>
        <v>#DIV/0!</v>
      </c>
      <c r="D50" s="12" t="e">
        <f>IF(INT((45)/Setup!$B$13)+1&lt;=Setup!$B$5,INDEX(Scores!$G$2:$G$225,2+(INT((45)/Setup!$B$13)+1-1)*28+(MOD(45,Setup!$B$13)+1-1)-1),"")</f>
        <v>#DIV/0!</v>
      </c>
      <c r="E50" s="12" t="e">
        <f>IF(INT((45)/Setup!$B$13)+1&lt;=Setup!$B$5,INDEX(Scores!$I$2:$I$225,2+(INT((45)/Setup!$B$13)+1-1)*28+(MOD(45,Setup!$B$13)+1-1)-1),"")</f>
        <v>#DIV/0!</v>
      </c>
      <c r="F50" s="66"/>
      <c r="G50" s="67"/>
      <c r="H50" s="66"/>
      <c r="I50" s="67"/>
      <c r="J50" s="66"/>
      <c r="K50" s="67"/>
      <c r="L50" s="66"/>
      <c r="M50" s="67"/>
      <c r="N50" s="66"/>
      <c r="O50" s="67"/>
      <c r="P50" s="6" t="e">
        <f>IF($A50="","",IFERROR(INDEX(Scores!$T$2:$T$225,MATCH($A50,Scores!$A$2:$A$225,0)),""))</f>
        <v>#DIV/0!</v>
      </c>
      <c r="Q50" s="6" t="e">
        <f>IF($A50="","",IFERROR(INDEX(Scores!$U$2:$U$225,MATCH($A50,Scores!$A$2:$A$225,0)),""))</f>
        <v>#DIV/0!</v>
      </c>
      <c r="R50" s="12" t="e">
        <f>IF($A50="","",IF(IFERROR(INDEX(Scores!$X$2:$X$225,MATCH($A50,Scores!$A$2:$A$225,0)),0)=1,"Complete","Waiting"))</f>
        <v>#DIV/0!</v>
      </c>
      <c r="S50" s="12" t="e">
        <f>IF($A50="","",IFERROR(INDEX(Scores!$Y$2:$Y$225,MATCH($A50,Scores!$A$2:$A$225,0)),""))</f>
        <v>#DIV/0!</v>
      </c>
    </row>
    <row r="51" spans="1:19">
      <c r="A51" s="12" t="e">
        <f>IF(INT((46)/Setup!$B$13)+1&lt;=Setup!$B$5,INDEX(Scores!$A$2:$A$225,2+(INT((46)/Setup!$B$13)+1-1)*28+(MOD(46,Setup!$B$13)+1-1)-1),"")</f>
        <v>#DIV/0!</v>
      </c>
      <c r="B51" s="12" t="e">
        <f>IF(INT((46)/Setup!$B$13)+1&lt;=Setup!$B$5,CHAR(64+INT((46)/Setup!$B$13)+1),"")</f>
        <v>#DIV/0!</v>
      </c>
      <c r="C51" s="12" t="e">
        <f>IF(INT((46)/Setup!$B$13)+1&lt;=Setup!$B$5,INDEX(Scores!$E$2:$E$225,2+(INT((46)/Setup!$B$13)+1-1)*28+(MOD(46,Setup!$B$13)+1-1)-1),"")</f>
        <v>#DIV/0!</v>
      </c>
      <c r="D51" s="12" t="e">
        <f>IF(INT((46)/Setup!$B$13)+1&lt;=Setup!$B$5,INDEX(Scores!$G$2:$G$225,2+(INT((46)/Setup!$B$13)+1-1)*28+(MOD(46,Setup!$B$13)+1-1)-1),"")</f>
        <v>#DIV/0!</v>
      </c>
      <c r="E51" s="12" t="e">
        <f>IF(INT((46)/Setup!$B$13)+1&lt;=Setup!$B$5,INDEX(Scores!$I$2:$I$225,2+(INT((46)/Setup!$B$13)+1-1)*28+(MOD(46,Setup!$B$13)+1-1)-1),"")</f>
        <v>#DIV/0!</v>
      </c>
      <c r="F51" s="66"/>
      <c r="G51" s="67"/>
      <c r="H51" s="66"/>
      <c r="I51" s="67"/>
      <c r="J51" s="66"/>
      <c r="K51" s="67"/>
      <c r="L51" s="66"/>
      <c r="M51" s="67"/>
      <c r="N51" s="66"/>
      <c r="O51" s="67"/>
      <c r="P51" s="6" t="e">
        <f>IF($A51="","",IFERROR(INDEX(Scores!$T$2:$T$225,MATCH($A51,Scores!$A$2:$A$225,0)),""))</f>
        <v>#DIV/0!</v>
      </c>
      <c r="Q51" s="6" t="e">
        <f>IF($A51="","",IFERROR(INDEX(Scores!$U$2:$U$225,MATCH($A51,Scores!$A$2:$A$225,0)),""))</f>
        <v>#DIV/0!</v>
      </c>
      <c r="R51" s="12" t="e">
        <f>IF($A51="","",IF(IFERROR(INDEX(Scores!$X$2:$X$225,MATCH($A51,Scores!$A$2:$A$225,0)),0)=1,"Complete","Waiting"))</f>
        <v>#DIV/0!</v>
      </c>
      <c r="S51" s="12" t="e">
        <f>IF($A51="","",IFERROR(INDEX(Scores!$Y$2:$Y$225,MATCH($A51,Scores!$A$2:$A$225,0)),""))</f>
        <v>#DIV/0!</v>
      </c>
    </row>
    <row r="52" spans="1:19">
      <c r="A52" s="12" t="e">
        <f>IF(INT((47)/Setup!$B$13)+1&lt;=Setup!$B$5,INDEX(Scores!$A$2:$A$225,2+(INT((47)/Setup!$B$13)+1-1)*28+(MOD(47,Setup!$B$13)+1-1)-1),"")</f>
        <v>#DIV/0!</v>
      </c>
      <c r="B52" s="12" t="e">
        <f>IF(INT((47)/Setup!$B$13)+1&lt;=Setup!$B$5,CHAR(64+INT((47)/Setup!$B$13)+1),"")</f>
        <v>#DIV/0!</v>
      </c>
      <c r="C52" s="12" t="e">
        <f>IF(INT((47)/Setup!$B$13)+1&lt;=Setup!$B$5,INDEX(Scores!$E$2:$E$225,2+(INT((47)/Setup!$B$13)+1-1)*28+(MOD(47,Setup!$B$13)+1-1)-1),"")</f>
        <v>#DIV/0!</v>
      </c>
      <c r="D52" s="12" t="e">
        <f>IF(INT((47)/Setup!$B$13)+1&lt;=Setup!$B$5,INDEX(Scores!$G$2:$G$225,2+(INT((47)/Setup!$B$13)+1-1)*28+(MOD(47,Setup!$B$13)+1-1)-1),"")</f>
        <v>#DIV/0!</v>
      </c>
      <c r="E52" s="12" t="e">
        <f>IF(INT((47)/Setup!$B$13)+1&lt;=Setup!$B$5,INDEX(Scores!$I$2:$I$225,2+(INT((47)/Setup!$B$13)+1-1)*28+(MOD(47,Setup!$B$13)+1-1)-1),"")</f>
        <v>#DIV/0!</v>
      </c>
      <c r="F52" s="66"/>
      <c r="G52" s="67"/>
      <c r="H52" s="66"/>
      <c r="I52" s="67"/>
      <c r="J52" s="66"/>
      <c r="K52" s="67"/>
      <c r="L52" s="66"/>
      <c r="M52" s="67"/>
      <c r="N52" s="66"/>
      <c r="O52" s="67"/>
      <c r="P52" s="6" t="e">
        <f>IF($A52="","",IFERROR(INDEX(Scores!$T$2:$T$225,MATCH($A52,Scores!$A$2:$A$225,0)),""))</f>
        <v>#DIV/0!</v>
      </c>
      <c r="Q52" s="6" t="e">
        <f>IF($A52="","",IFERROR(INDEX(Scores!$U$2:$U$225,MATCH($A52,Scores!$A$2:$A$225,0)),""))</f>
        <v>#DIV/0!</v>
      </c>
      <c r="R52" s="12" t="e">
        <f>IF($A52="","",IF(IFERROR(INDEX(Scores!$X$2:$X$225,MATCH($A52,Scores!$A$2:$A$225,0)),0)=1,"Complete","Waiting"))</f>
        <v>#DIV/0!</v>
      </c>
      <c r="S52" s="12" t="e">
        <f>IF($A52="","",IFERROR(INDEX(Scores!$Y$2:$Y$225,MATCH($A52,Scores!$A$2:$A$225,0)),""))</f>
        <v>#DIV/0!</v>
      </c>
    </row>
    <row r="53" spans="1:19">
      <c r="A53" s="12" t="e">
        <f>IF(INT((48)/Setup!$B$13)+1&lt;=Setup!$B$5,INDEX(Scores!$A$2:$A$225,2+(INT((48)/Setup!$B$13)+1-1)*28+(MOD(48,Setup!$B$13)+1-1)-1),"")</f>
        <v>#DIV/0!</v>
      </c>
      <c r="B53" s="12" t="e">
        <f>IF(INT((48)/Setup!$B$13)+1&lt;=Setup!$B$5,CHAR(64+INT((48)/Setup!$B$13)+1),"")</f>
        <v>#DIV/0!</v>
      </c>
      <c r="C53" s="12" t="e">
        <f>IF(INT((48)/Setup!$B$13)+1&lt;=Setup!$B$5,INDEX(Scores!$E$2:$E$225,2+(INT((48)/Setup!$B$13)+1-1)*28+(MOD(48,Setup!$B$13)+1-1)-1),"")</f>
        <v>#DIV/0!</v>
      </c>
      <c r="D53" s="12" t="e">
        <f>IF(INT((48)/Setup!$B$13)+1&lt;=Setup!$B$5,INDEX(Scores!$G$2:$G$225,2+(INT((48)/Setup!$B$13)+1-1)*28+(MOD(48,Setup!$B$13)+1-1)-1),"")</f>
        <v>#DIV/0!</v>
      </c>
      <c r="E53" s="12" t="e">
        <f>IF(INT((48)/Setup!$B$13)+1&lt;=Setup!$B$5,INDEX(Scores!$I$2:$I$225,2+(INT((48)/Setup!$B$13)+1-1)*28+(MOD(48,Setup!$B$13)+1-1)-1),"")</f>
        <v>#DIV/0!</v>
      </c>
      <c r="F53" s="66"/>
      <c r="G53" s="67"/>
      <c r="H53" s="66"/>
      <c r="I53" s="67"/>
      <c r="J53" s="66"/>
      <c r="K53" s="67"/>
      <c r="L53" s="66"/>
      <c r="M53" s="67"/>
      <c r="N53" s="66"/>
      <c r="O53" s="67"/>
      <c r="P53" s="6" t="e">
        <f>IF($A53="","",IFERROR(INDEX(Scores!$T$2:$T$225,MATCH($A53,Scores!$A$2:$A$225,0)),""))</f>
        <v>#DIV/0!</v>
      </c>
      <c r="Q53" s="6" t="e">
        <f>IF($A53="","",IFERROR(INDEX(Scores!$U$2:$U$225,MATCH($A53,Scores!$A$2:$A$225,0)),""))</f>
        <v>#DIV/0!</v>
      </c>
      <c r="R53" s="12" t="e">
        <f>IF($A53="","",IF(IFERROR(INDEX(Scores!$X$2:$X$225,MATCH($A53,Scores!$A$2:$A$225,0)),0)=1,"Complete","Waiting"))</f>
        <v>#DIV/0!</v>
      </c>
      <c r="S53" s="12" t="e">
        <f>IF($A53="","",IFERROR(INDEX(Scores!$Y$2:$Y$225,MATCH($A53,Scores!$A$2:$A$225,0)),""))</f>
        <v>#DIV/0!</v>
      </c>
    </row>
    <row r="54" spans="1:19">
      <c r="A54" s="12" t="e">
        <f>IF(INT((49)/Setup!$B$13)+1&lt;=Setup!$B$5,INDEX(Scores!$A$2:$A$225,2+(INT((49)/Setup!$B$13)+1-1)*28+(MOD(49,Setup!$B$13)+1-1)-1),"")</f>
        <v>#DIV/0!</v>
      </c>
      <c r="B54" s="12" t="e">
        <f>IF(INT((49)/Setup!$B$13)+1&lt;=Setup!$B$5,CHAR(64+INT((49)/Setup!$B$13)+1),"")</f>
        <v>#DIV/0!</v>
      </c>
      <c r="C54" s="12" t="e">
        <f>IF(INT((49)/Setup!$B$13)+1&lt;=Setup!$B$5,INDEX(Scores!$E$2:$E$225,2+(INT((49)/Setup!$B$13)+1-1)*28+(MOD(49,Setup!$B$13)+1-1)-1),"")</f>
        <v>#DIV/0!</v>
      </c>
      <c r="D54" s="12" t="e">
        <f>IF(INT((49)/Setup!$B$13)+1&lt;=Setup!$B$5,INDEX(Scores!$G$2:$G$225,2+(INT((49)/Setup!$B$13)+1-1)*28+(MOD(49,Setup!$B$13)+1-1)-1),"")</f>
        <v>#DIV/0!</v>
      </c>
      <c r="E54" s="12" t="e">
        <f>IF(INT((49)/Setup!$B$13)+1&lt;=Setup!$B$5,INDEX(Scores!$I$2:$I$225,2+(INT((49)/Setup!$B$13)+1-1)*28+(MOD(49,Setup!$B$13)+1-1)-1),"")</f>
        <v>#DIV/0!</v>
      </c>
      <c r="F54" s="66"/>
      <c r="G54" s="67"/>
      <c r="H54" s="66"/>
      <c r="I54" s="67"/>
      <c r="J54" s="66"/>
      <c r="K54" s="67"/>
      <c r="L54" s="66"/>
      <c r="M54" s="67"/>
      <c r="N54" s="66"/>
      <c r="O54" s="67"/>
      <c r="P54" s="6" t="e">
        <f>IF($A54="","",IFERROR(INDEX(Scores!$T$2:$T$225,MATCH($A54,Scores!$A$2:$A$225,0)),""))</f>
        <v>#DIV/0!</v>
      </c>
      <c r="Q54" s="6" t="e">
        <f>IF($A54="","",IFERROR(INDEX(Scores!$U$2:$U$225,MATCH($A54,Scores!$A$2:$A$225,0)),""))</f>
        <v>#DIV/0!</v>
      </c>
      <c r="R54" s="12" t="e">
        <f>IF($A54="","",IF(IFERROR(INDEX(Scores!$X$2:$X$225,MATCH($A54,Scores!$A$2:$A$225,0)),0)=1,"Complete","Waiting"))</f>
        <v>#DIV/0!</v>
      </c>
      <c r="S54" s="12" t="e">
        <f>IF($A54="","",IFERROR(INDEX(Scores!$Y$2:$Y$225,MATCH($A54,Scores!$A$2:$A$225,0)),""))</f>
        <v>#DIV/0!</v>
      </c>
    </row>
    <row r="55" spans="1:19">
      <c r="A55" s="12" t="e">
        <f>IF(INT((50)/Setup!$B$13)+1&lt;=Setup!$B$5,INDEX(Scores!$A$2:$A$225,2+(INT((50)/Setup!$B$13)+1-1)*28+(MOD(50,Setup!$B$13)+1-1)-1),"")</f>
        <v>#DIV/0!</v>
      </c>
      <c r="B55" s="12" t="e">
        <f>IF(INT((50)/Setup!$B$13)+1&lt;=Setup!$B$5,CHAR(64+INT((50)/Setup!$B$13)+1),"")</f>
        <v>#DIV/0!</v>
      </c>
      <c r="C55" s="12" t="e">
        <f>IF(INT((50)/Setup!$B$13)+1&lt;=Setup!$B$5,INDEX(Scores!$E$2:$E$225,2+(INT((50)/Setup!$B$13)+1-1)*28+(MOD(50,Setup!$B$13)+1-1)-1),"")</f>
        <v>#DIV/0!</v>
      </c>
      <c r="D55" s="12" t="e">
        <f>IF(INT((50)/Setup!$B$13)+1&lt;=Setup!$B$5,INDEX(Scores!$G$2:$G$225,2+(INT((50)/Setup!$B$13)+1-1)*28+(MOD(50,Setup!$B$13)+1-1)-1),"")</f>
        <v>#DIV/0!</v>
      </c>
      <c r="E55" s="12" t="e">
        <f>IF(INT((50)/Setup!$B$13)+1&lt;=Setup!$B$5,INDEX(Scores!$I$2:$I$225,2+(INT((50)/Setup!$B$13)+1-1)*28+(MOD(50,Setup!$B$13)+1-1)-1),"")</f>
        <v>#DIV/0!</v>
      </c>
      <c r="F55" s="66"/>
      <c r="G55" s="67"/>
      <c r="H55" s="66"/>
      <c r="I55" s="67"/>
      <c r="J55" s="66"/>
      <c r="K55" s="67"/>
      <c r="L55" s="66"/>
      <c r="M55" s="67"/>
      <c r="N55" s="66"/>
      <c r="O55" s="67"/>
      <c r="P55" s="6" t="e">
        <f>IF($A55="","",IFERROR(INDEX(Scores!$T$2:$T$225,MATCH($A55,Scores!$A$2:$A$225,0)),""))</f>
        <v>#DIV/0!</v>
      </c>
      <c r="Q55" s="6" t="e">
        <f>IF($A55="","",IFERROR(INDEX(Scores!$U$2:$U$225,MATCH($A55,Scores!$A$2:$A$225,0)),""))</f>
        <v>#DIV/0!</v>
      </c>
      <c r="R55" s="12" t="e">
        <f>IF($A55="","",IF(IFERROR(INDEX(Scores!$X$2:$X$225,MATCH($A55,Scores!$A$2:$A$225,0)),0)=1,"Complete","Waiting"))</f>
        <v>#DIV/0!</v>
      </c>
      <c r="S55" s="12" t="e">
        <f>IF($A55="","",IFERROR(INDEX(Scores!$Y$2:$Y$225,MATCH($A55,Scores!$A$2:$A$225,0)),""))</f>
        <v>#DIV/0!</v>
      </c>
    </row>
    <row r="56" spans="1:19">
      <c r="A56" s="12" t="e">
        <f>IF(INT((51)/Setup!$B$13)+1&lt;=Setup!$B$5,INDEX(Scores!$A$2:$A$225,2+(INT((51)/Setup!$B$13)+1-1)*28+(MOD(51,Setup!$B$13)+1-1)-1),"")</f>
        <v>#DIV/0!</v>
      </c>
      <c r="B56" s="12" t="e">
        <f>IF(INT((51)/Setup!$B$13)+1&lt;=Setup!$B$5,CHAR(64+INT((51)/Setup!$B$13)+1),"")</f>
        <v>#DIV/0!</v>
      </c>
      <c r="C56" s="12" t="e">
        <f>IF(INT((51)/Setup!$B$13)+1&lt;=Setup!$B$5,INDEX(Scores!$E$2:$E$225,2+(INT((51)/Setup!$B$13)+1-1)*28+(MOD(51,Setup!$B$13)+1-1)-1),"")</f>
        <v>#DIV/0!</v>
      </c>
      <c r="D56" s="12" t="e">
        <f>IF(INT((51)/Setup!$B$13)+1&lt;=Setup!$B$5,INDEX(Scores!$G$2:$G$225,2+(INT((51)/Setup!$B$13)+1-1)*28+(MOD(51,Setup!$B$13)+1-1)-1),"")</f>
        <v>#DIV/0!</v>
      </c>
      <c r="E56" s="12" t="e">
        <f>IF(INT((51)/Setup!$B$13)+1&lt;=Setup!$B$5,INDEX(Scores!$I$2:$I$225,2+(INT((51)/Setup!$B$13)+1-1)*28+(MOD(51,Setup!$B$13)+1-1)-1),"")</f>
        <v>#DIV/0!</v>
      </c>
      <c r="F56" s="66"/>
      <c r="G56" s="67"/>
      <c r="H56" s="66"/>
      <c r="I56" s="67"/>
      <c r="J56" s="66"/>
      <c r="K56" s="67"/>
      <c r="L56" s="66"/>
      <c r="M56" s="67"/>
      <c r="N56" s="66"/>
      <c r="O56" s="67"/>
      <c r="P56" s="6" t="e">
        <f>IF($A56="","",IFERROR(INDEX(Scores!$T$2:$T$225,MATCH($A56,Scores!$A$2:$A$225,0)),""))</f>
        <v>#DIV/0!</v>
      </c>
      <c r="Q56" s="6" t="e">
        <f>IF($A56="","",IFERROR(INDEX(Scores!$U$2:$U$225,MATCH($A56,Scores!$A$2:$A$225,0)),""))</f>
        <v>#DIV/0!</v>
      </c>
      <c r="R56" s="12" t="e">
        <f>IF($A56="","",IF(IFERROR(INDEX(Scores!$X$2:$X$225,MATCH($A56,Scores!$A$2:$A$225,0)),0)=1,"Complete","Waiting"))</f>
        <v>#DIV/0!</v>
      </c>
      <c r="S56" s="12" t="e">
        <f>IF($A56="","",IFERROR(INDEX(Scores!$Y$2:$Y$225,MATCH($A56,Scores!$A$2:$A$225,0)),""))</f>
        <v>#DIV/0!</v>
      </c>
    </row>
    <row r="57" spans="1:19">
      <c r="A57" s="12" t="e">
        <f>IF(INT((52)/Setup!$B$13)+1&lt;=Setup!$B$5,INDEX(Scores!$A$2:$A$225,2+(INT((52)/Setup!$B$13)+1-1)*28+(MOD(52,Setup!$B$13)+1-1)-1),"")</f>
        <v>#DIV/0!</v>
      </c>
      <c r="B57" s="12" t="e">
        <f>IF(INT((52)/Setup!$B$13)+1&lt;=Setup!$B$5,CHAR(64+INT((52)/Setup!$B$13)+1),"")</f>
        <v>#DIV/0!</v>
      </c>
      <c r="C57" s="12" t="e">
        <f>IF(INT((52)/Setup!$B$13)+1&lt;=Setup!$B$5,INDEX(Scores!$E$2:$E$225,2+(INT((52)/Setup!$B$13)+1-1)*28+(MOD(52,Setup!$B$13)+1-1)-1),"")</f>
        <v>#DIV/0!</v>
      </c>
      <c r="D57" s="12" t="e">
        <f>IF(INT((52)/Setup!$B$13)+1&lt;=Setup!$B$5,INDEX(Scores!$G$2:$G$225,2+(INT((52)/Setup!$B$13)+1-1)*28+(MOD(52,Setup!$B$13)+1-1)-1),"")</f>
        <v>#DIV/0!</v>
      </c>
      <c r="E57" s="12" t="e">
        <f>IF(INT((52)/Setup!$B$13)+1&lt;=Setup!$B$5,INDEX(Scores!$I$2:$I$225,2+(INT((52)/Setup!$B$13)+1-1)*28+(MOD(52,Setup!$B$13)+1-1)-1),"")</f>
        <v>#DIV/0!</v>
      </c>
      <c r="F57" s="66"/>
      <c r="G57" s="67"/>
      <c r="H57" s="66"/>
      <c r="I57" s="67"/>
      <c r="J57" s="66"/>
      <c r="K57" s="67"/>
      <c r="L57" s="66"/>
      <c r="M57" s="67"/>
      <c r="N57" s="66"/>
      <c r="O57" s="67"/>
      <c r="P57" s="6" t="e">
        <f>IF($A57="","",IFERROR(INDEX(Scores!$T$2:$T$225,MATCH($A57,Scores!$A$2:$A$225,0)),""))</f>
        <v>#DIV/0!</v>
      </c>
      <c r="Q57" s="6" t="e">
        <f>IF($A57="","",IFERROR(INDEX(Scores!$U$2:$U$225,MATCH($A57,Scores!$A$2:$A$225,0)),""))</f>
        <v>#DIV/0!</v>
      </c>
      <c r="R57" s="12" t="e">
        <f>IF($A57="","",IF(IFERROR(INDEX(Scores!$X$2:$X$225,MATCH($A57,Scores!$A$2:$A$225,0)),0)=1,"Complete","Waiting"))</f>
        <v>#DIV/0!</v>
      </c>
      <c r="S57" s="12" t="e">
        <f>IF($A57="","",IFERROR(INDEX(Scores!$Y$2:$Y$225,MATCH($A57,Scores!$A$2:$A$225,0)),""))</f>
        <v>#DIV/0!</v>
      </c>
    </row>
    <row r="58" spans="1:19">
      <c r="A58" s="12" t="e">
        <f>IF(INT((53)/Setup!$B$13)+1&lt;=Setup!$B$5,INDEX(Scores!$A$2:$A$225,2+(INT((53)/Setup!$B$13)+1-1)*28+(MOD(53,Setup!$B$13)+1-1)-1),"")</f>
        <v>#DIV/0!</v>
      </c>
      <c r="B58" s="12" t="e">
        <f>IF(INT((53)/Setup!$B$13)+1&lt;=Setup!$B$5,CHAR(64+INT((53)/Setup!$B$13)+1),"")</f>
        <v>#DIV/0!</v>
      </c>
      <c r="C58" s="12" t="e">
        <f>IF(INT((53)/Setup!$B$13)+1&lt;=Setup!$B$5,INDEX(Scores!$E$2:$E$225,2+(INT((53)/Setup!$B$13)+1-1)*28+(MOD(53,Setup!$B$13)+1-1)-1),"")</f>
        <v>#DIV/0!</v>
      </c>
      <c r="D58" s="12" t="e">
        <f>IF(INT((53)/Setup!$B$13)+1&lt;=Setup!$B$5,INDEX(Scores!$G$2:$G$225,2+(INT((53)/Setup!$B$13)+1-1)*28+(MOD(53,Setup!$B$13)+1-1)-1),"")</f>
        <v>#DIV/0!</v>
      </c>
      <c r="E58" s="12" t="e">
        <f>IF(INT((53)/Setup!$B$13)+1&lt;=Setup!$B$5,INDEX(Scores!$I$2:$I$225,2+(INT((53)/Setup!$B$13)+1-1)*28+(MOD(53,Setup!$B$13)+1-1)-1),"")</f>
        <v>#DIV/0!</v>
      </c>
      <c r="F58" s="66"/>
      <c r="G58" s="67"/>
      <c r="H58" s="66"/>
      <c r="I58" s="67"/>
      <c r="J58" s="66"/>
      <c r="K58" s="67"/>
      <c r="L58" s="66"/>
      <c r="M58" s="67"/>
      <c r="N58" s="66"/>
      <c r="O58" s="67"/>
      <c r="P58" s="6" t="e">
        <f>IF($A58="","",IFERROR(INDEX(Scores!$T$2:$T$225,MATCH($A58,Scores!$A$2:$A$225,0)),""))</f>
        <v>#DIV/0!</v>
      </c>
      <c r="Q58" s="6" t="e">
        <f>IF($A58="","",IFERROR(INDEX(Scores!$U$2:$U$225,MATCH($A58,Scores!$A$2:$A$225,0)),""))</f>
        <v>#DIV/0!</v>
      </c>
      <c r="R58" s="12" t="e">
        <f>IF($A58="","",IF(IFERROR(INDEX(Scores!$X$2:$X$225,MATCH($A58,Scores!$A$2:$A$225,0)),0)=1,"Complete","Waiting"))</f>
        <v>#DIV/0!</v>
      </c>
      <c r="S58" s="12" t="e">
        <f>IF($A58="","",IFERROR(INDEX(Scores!$Y$2:$Y$225,MATCH($A58,Scores!$A$2:$A$225,0)),""))</f>
        <v>#DIV/0!</v>
      </c>
    </row>
    <row r="59" spans="1:19">
      <c r="A59" s="12" t="e">
        <f>IF(INT((54)/Setup!$B$13)+1&lt;=Setup!$B$5,INDEX(Scores!$A$2:$A$225,2+(INT((54)/Setup!$B$13)+1-1)*28+(MOD(54,Setup!$B$13)+1-1)-1),"")</f>
        <v>#DIV/0!</v>
      </c>
      <c r="B59" s="12" t="e">
        <f>IF(INT((54)/Setup!$B$13)+1&lt;=Setup!$B$5,CHAR(64+INT((54)/Setup!$B$13)+1),"")</f>
        <v>#DIV/0!</v>
      </c>
      <c r="C59" s="12" t="e">
        <f>IF(INT((54)/Setup!$B$13)+1&lt;=Setup!$B$5,INDEX(Scores!$E$2:$E$225,2+(INT((54)/Setup!$B$13)+1-1)*28+(MOD(54,Setup!$B$13)+1-1)-1),"")</f>
        <v>#DIV/0!</v>
      </c>
      <c r="D59" s="12" t="e">
        <f>IF(INT((54)/Setup!$B$13)+1&lt;=Setup!$B$5,INDEX(Scores!$G$2:$G$225,2+(INT((54)/Setup!$B$13)+1-1)*28+(MOD(54,Setup!$B$13)+1-1)-1),"")</f>
        <v>#DIV/0!</v>
      </c>
      <c r="E59" s="12" t="e">
        <f>IF(INT((54)/Setup!$B$13)+1&lt;=Setup!$B$5,INDEX(Scores!$I$2:$I$225,2+(INT((54)/Setup!$B$13)+1-1)*28+(MOD(54,Setup!$B$13)+1-1)-1),"")</f>
        <v>#DIV/0!</v>
      </c>
      <c r="F59" s="66"/>
      <c r="G59" s="67"/>
      <c r="H59" s="66"/>
      <c r="I59" s="67"/>
      <c r="J59" s="66"/>
      <c r="K59" s="67"/>
      <c r="L59" s="66"/>
      <c r="M59" s="67"/>
      <c r="N59" s="66"/>
      <c r="O59" s="67"/>
      <c r="P59" s="6" t="e">
        <f>IF($A59="","",IFERROR(INDEX(Scores!$T$2:$T$225,MATCH($A59,Scores!$A$2:$A$225,0)),""))</f>
        <v>#DIV/0!</v>
      </c>
      <c r="Q59" s="6" t="e">
        <f>IF($A59="","",IFERROR(INDEX(Scores!$U$2:$U$225,MATCH($A59,Scores!$A$2:$A$225,0)),""))</f>
        <v>#DIV/0!</v>
      </c>
      <c r="R59" s="12" t="e">
        <f>IF($A59="","",IF(IFERROR(INDEX(Scores!$X$2:$X$225,MATCH($A59,Scores!$A$2:$A$225,0)),0)=1,"Complete","Waiting"))</f>
        <v>#DIV/0!</v>
      </c>
      <c r="S59" s="12" t="e">
        <f>IF($A59="","",IFERROR(INDEX(Scores!$Y$2:$Y$225,MATCH($A59,Scores!$A$2:$A$225,0)),""))</f>
        <v>#DIV/0!</v>
      </c>
    </row>
    <row r="60" spans="1:19">
      <c r="A60" s="12" t="e">
        <f>IF(INT((55)/Setup!$B$13)+1&lt;=Setup!$B$5,INDEX(Scores!$A$2:$A$225,2+(INT((55)/Setup!$B$13)+1-1)*28+(MOD(55,Setup!$B$13)+1-1)-1),"")</f>
        <v>#DIV/0!</v>
      </c>
      <c r="B60" s="12" t="e">
        <f>IF(INT((55)/Setup!$B$13)+1&lt;=Setup!$B$5,CHAR(64+INT((55)/Setup!$B$13)+1),"")</f>
        <v>#DIV/0!</v>
      </c>
      <c r="C60" s="12" t="e">
        <f>IF(INT((55)/Setup!$B$13)+1&lt;=Setup!$B$5,INDEX(Scores!$E$2:$E$225,2+(INT((55)/Setup!$B$13)+1-1)*28+(MOD(55,Setup!$B$13)+1-1)-1),"")</f>
        <v>#DIV/0!</v>
      </c>
      <c r="D60" s="12" t="e">
        <f>IF(INT((55)/Setup!$B$13)+1&lt;=Setup!$B$5,INDEX(Scores!$G$2:$G$225,2+(INT((55)/Setup!$B$13)+1-1)*28+(MOD(55,Setup!$B$13)+1-1)-1),"")</f>
        <v>#DIV/0!</v>
      </c>
      <c r="E60" s="12" t="e">
        <f>IF(INT((55)/Setup!$B$13)+1&lt;=Setup!$B$5,INDEX(Scores!$I$2:$I$225,2+(INT((55)/Setup!$B$13)+1-1)*28+(MOD(55,Setup!$B$13)+1-1)-1),"")</f>
        <v>#DIV/0!</v>
      </c>
      <c r="F60" s="66"/>
      <c r="G60" s="67"/>
      <c r="H60" s="66"/>
      <c r="I60" s="67"/>
      <c r="J60" s="66"/>
      <c r="K60" s="67"/>
      <c r="L60" s="66"/>
      <c r="M60" s="67"/>
      <c r="N60" s="66"/>
      <c r="O60" s="67"/>
      <c r="P60" s="6" t="e">
        <f>IF($A60="","",IFERROR(INDEX(Scores!$T$2:$T$225,MATCH($A60,Scores!$A$2:$A$225,0)),""))</f>
        <v>#DIV/0!</v>
      </c>
      <c r="Q60" s="6" t="e">
        <f>IF($A60="","",IFERROR(INDEX(Scores!$U$2:$U$225,MATCH($A60,Scores!$A$2:$A$225,0)),""))</f>
        <v>#DIV/0!</v>
      </c>
      <c r="R60" s="12" t="e">
        <f>IF($A60="","",IF(IFERROR(INDEX(Scores!$X$2:$X$225,MATCH($A60,Scores!$A$2:$A$225,0)),0)=1,"Complete","Waiting"))</f>
        <v>#DIV/0!</v>
      </c>
      <c r="S60" s="12" t="e">
        <f>IF($A60="","",IFERROR(INDEX(Scores!$Y$2:$Y$225,MATCH($A60,Scores!$A$2:$A$225,0)),""))</f>
        <v>#DIV/0!</v>
      </c>
    </row>
    <row r="61" spans="1:19">
      <c r="A61" s="12" t="e">
        <f>IF(INT((56)/Setup!$B$13)+1&lt;=Setup!$B$5,INDEX(Scores!$A$2:$A$225,2+(INT((56)/Setup!$B$13)+1-1)*28+(MOD(56,Setup!$B$13)+1-1)-1),"")</f>
        <v>#DIV/0!</v>
      </c>
      <c r="B61" s="12" t="e">
        <f>IF(INT((56)/Setup!$B$13)+1&lt;=Setup!$B$5,CHAR(64+INT((56)/Setup!$B$13)+1),"")</f>
        <v>#DIV/0!</v>
      </c>
      <c r="C61" s="12" t="e">
        <f>IF(INT((56)/Setup!$B$13)+1&lt;=Setup!$B$5,INDEX(Scores!$E$2:$E$225,2+(INT((56)/Setup!$B$13)+1-1)*28+(MOD(56,Setup!$B$13)+1-1)-1),"")</f>
        <v>#DIV/0!</v>
      </c>
      <c r="D61" s="12" t="e">
        <f>IF(INT((56)/Setup!$B$13)+1&lt;=Setup!$B$5,INDEX(Scores!$G$2:$G$225,2+(INT((56)/Setup!$B$13)+1-1)*28+(MOD(56,Setup!$B$13)+1-1)-1),"")</f>
        <v>#DIV/0!</v>
      </c>
      <c r="E61" s="12" t="e">
        <f>IF(INT((56)/Setup!$B$13)+1&lt;=Setup!$B$5,INDEX(Scores!$I$2:$I$225,2+(INT((56)/Setup!$B$13)+1-1)*28+(MOD(56,Setup!$B$13)+1-1)-1),"")</f>
        <v>#DIV/0!</v>
      </c>
      <c r="F61" s="66"/>
      <c r="G61" s="67"/>
      <c r="H61" s="66"/>
      <c r="I61" s="67"/>
      <c r="J61" s="66"/>
      <c r="K61" s="67"/>
      <c r="L61" s="66"/>
      <c r="M61" s="67"/>
      <c r="N61" s="66"/>
      <c r="O61" s="67"/>
      <c r="P61" s="6" t="e">
        <f>IF($A61="","",IFERROR(INDEX(Scores!$T$2:$T$225,MATCH($A61,Scores!$A$2:$A$225,0)),""))</f>
        <v>#DIV/0!</v>
      </c>
      <c r="Q61" s="6" t="e">
        <f>IF($A61="","",IFERROR(INDEX(Scores!$U$2:$U$225,MATCH($A61,Scores!$A$2:$A$225,0)),""))</f>
        <v>#DIV/0!</v>
      </c>
      <c r="R61" s="12" t="e">
        <f>IF($A61="","",IF(IFERROR(INDEX(Scores!$X$2:$X$225,MATCH($A61,Scores!$A$2:$A$225,0)),0)=1,"Complete","Waiting"))</f>
        <v>#DIV/0!</v>
      </c>
      <c r="S61" s="12" t="e">
        <f>IF($A61="","",IFERROR(INDEX(Scores!$Y$2:$Y$225,MATCH($A61,Scores!$A$2:$A$225,0)),""))</f>
        <v>#DIV/0!</v>
      </c>
    </row>
    <row r="62" spans="1:19">
      <c r="A62" s="12" t="e">
        <f>IF(INT((57)/Setup!$B$13)+1&lt;=Setup!$B$5,INDEX(Scores!$A$2:$A$225,2+(INT((57)/Setup!$B$13)+1-1)*28+(MOD(57,Setup!$B$13)+1-1)-1),"")</f>
        <v>#DIV/0!</v>
      </c>
      <c r="B62" s="12" t="e">
        <f>IF(INT((57)/Setup!$B$13)+1&lt;=Setup!$B$5,CHAR(64+INT((57)/Setup!$B$13)+1),"")</f>
        <v>#DIV/0!</v>
      </c>
      <c r="C62" s="12" t="e">
        <f>IF(INT((57)/Setup!$B$13)+1&lt;=Setup!$B$5,INDEX(Scores!$E$2:$E$225,2+(INT((57)/Setup!$B$13)+1-1)*28+(MOD(57,Setup!$B$13)+1-1)-1),"")</f>
        <v>#DIV/0!</v>
      </c>
      <c r="D62" s="12" t="e">
        <f>IF(INT((57)/Setup!$B$13)+1&lt;=Setup!$B$5,INDEX(Scores!$G$2:$G$225,2+(INT((57)/Setup!$B$13)+1-1)*28+(MOD(57,Setup!$B$13)+1-1)-1),"")</f>
        <v>#DIV/0!</v>
      </c>
      <c r="E62" s="12" t="e">
        <f>IF(INT((57)/Setup!$B$13)+1&lt;=Setup!$B$5,INDEX(Scores!$I$2:$I$225,2+(INT((57)/Setup!$B$13)+1-1)*28+(MOD(57,Setup!$B$13)+1-1)-1),"")</f>
        <v>#DIV/0!</v>
      </c>
      <c r="F62" s="66"/>
      <c r="G62" s="67"/>
      <c r="H62" s="66"/>
      <c r="I62" s="67"/>
      <c r="J62" s="66"/>
      <c r="K62" s="67"/>
      <c r="L62" s="66"/>
      <c r="M62" s="67"/>
      <c r="N62" s="66"/>
      <c r="O62" s="67"/>
      <c r="P62" s="6" t="e">
        <f>IF($A62="","",IFERROR(INDEX(Scores!$T$2:$T$225,MATCH($A62,Scores!$A$2:$A$225,0)),""))</f>
        <v>#DIV/0!</v>
      </c>
      <c r="Q62" s="6" t="e">
        <f>IF($A62="","",IFERROR(INDEX(Scores!$U$2:$U$225,MATCH($A62,Scores!$A$2:$A$225,0)),""))</f>
        <v>#DIV/0!</v>
      </c>
      <c r="R62" s="12" t="e">
        <f>IF($A62="","",IF(IFERROR(INDEX(Scores!$X$2:$X$225,MATCH($A62,Scores!$A$2:$A$225,0)),0)=1,"Complete","Waiting"))</f>
        <v>#DIV/0!</v>
      </c>
      <c r="S62" s="12" t="e">
        <f>IF($A62="","",IFERROR(INDEX(Scores!$Y$2:$Y$225,MATCH($A62,Scores!$A$2:$A$225,0)),""))</f>
        <v>#DIV/0!</v>
      </c>
    </row>
    <row r="63" spans="1:19">
      <c r="A63" s="12" t="e">
        <f>IF(INT((58)/Setup!$B$13)+1&lt;=Setup!$B$5,INDEX(Scores!$A$2:$A$225,2+(INT((58)/Setup!$B$13)+1-1)*28+(MOD(58,Setup!$B$13)+1-1)-1),"")</f>
        <v>#DIV/0!</v>
      </c>
      <c r="B63" s="12" t="e">
        <f>IF(INT((58)/Setup!$B$13)+1&lt;=Setup!$B$5,CHAR(64+INT((58)/Setup!$B$13)+1),"")</f>
        <v>#DIV/0!</v>
      </c>
      <c r="C63" s="12" t="e">
        <f>IF(INT((58)/Setup!$B$13)+1&lt;=Setup!$B$5,INDEX(Scores!$E$2:$E$225,2+(INT((58)/Setup!$B$13)+1-1)*28+(MOD(58,Setup!$B$13)+1-1)-1),"")</f>
        <v>#DIV/0!</v>
      </c>
      <c r="D63" s="12" t="e">
        <f>IF(INT((58)/Setup!$B$13)+1&lt;=Setup!$B$5,INDEX(Scores!$G$2:$G$225,2+(INT((58)/Setup!$B$13)+1-1)*28+(MOD(58,Setup!$B$13)+1-1)-1),"")</f>
        <v>#DIV/0!</v>
      </c>
      <c r="E63" s="12" t="e">
        <f>IF(INT((58)/Setup!$B$13)+1&lt;=Setup!$B$5,INDEX(Scores!$I$2:$I$225,2+(INT((58)/Setup!$B$13)+1-1)*28+(MOD(58,Setup!$B$13)+1-1)-1),"")</f>
        <v>#DIV/0!</v>
      </c>
      <c r="F63" s="66"/>
      <c r="G63" s="67"/>
      <c r="H63" s="66"/>
      <c r="I63" s="67"/>
      <c r="J63" s="66"/>
      <c r="K63" s="67"/>
      <c r="L63" s="66"/>
      <c r="M63" s="67"/>
      <c r="N63" s="66"/>
      <c r="O63" s="67"/>
      <c r="P63" s="6" t="e">
        <f>IF($A63="","",IFERROR(INDEX(Scores!$T$2:$T$225,MATCH($A63,Scores!$A$2:$A$225,0)),""))</f>
        <v>#DIV/0!</v>
      </c>
      <c r="Q63" s="6" t="e">
        <f>IF($A63="","",IFERROR(INDEX(Scores!$U$2:$U$225,MATCH($A63,Scores!$A$2:$A$225,0)),""))</f>
        <v>#DIV/0!</v>
      </c>
      <c r="R63" s="12" t="e">
        <f>IF($A63="","",IF(IFERROR(INDEX(Scores!$X$2:$X$225,MATCH($A63,Scores!$A$2:$A$225,0)),0)=1,"Complete","Waiting"))</f>
        <v>#DIV/0!</v>
      </c>
      <c r="S63" s="12" t="e">
        <f>IF($A63="","",IFERROR(INDEX(Scores!$Y$2:$Y$225,MATCH($A63,Scores!$A$2:$A$225,0)),""))</f>
        <v>#DIV/0!</v>
      </c>
    </row>
    <row r="64" spans="1:19">
      <c r="A64" s="12" t="e">
        <f>IF(INT((59)/Setup!$B$13)+1&lt;=Setup!$B$5,INDEX(Scores!$A$2:$A$225,2+(INT((59)/Setup!$B$13)+1-1)*28+(MOD(59,Setup!$B$13)+1-1)-1),"")</f>
        <v>#DIV/0!</v>
      </c>
      <c r="B64" s="12" t="e">
        <f>IF(INT((59)/Setup!$B$13)+1&lt;=Setup!$B$5,CHAR(64+INT((59)/Setup!$B$13)+1),"")</f>
        <v>#DIV/0!</v>
      </c>
      <c r="C64" s="12" t="e">
        <f>IF(INT((59)/Setup!$B$13)+1&lt;=Setup!$B$5,INDEX(Scores!$E$2:$E$225,2+(INT((59)/Setup!$B$13)+1-1)*28+(MOD(59,Setup!$B$13)+1-1)-1),"")</f>
        <v>#DIV/0!</v>
      </c>
      <c r="D64" s="12" t="e">
        <f>IF(INT((59)/Setup!$B$13)+1&lt;=Setup!$B$5,INDEX(Scores!$G$2:$G$225,2+(INT((59)/Setup!$B$13)+1-1)*28+(MOD(59,Setup!$B$13)+1-1)-1),"")</f>
        <v>#DIV/0!</v>
      </c>
      <c r="E64" s="12" t="e">
        <f>IF(INT((59)/Setup!$B$13)+1&lt;=Setup!$B$5,INDEX(Scores!$I$2:$I$225,2+(INT((59)/Setup!$B$13)+1-1)*28+(MOD(59,Setup!$B$13)+1-1)-1),"")</f>
        <v>#DIV/0!</v>
      </c>
      <c r="F64" s="66"/>
      <c r="G64" s="67"/>
      <c r="H64" s="66"/>
      <c r="I64" s="67"/>
      <c r="J64" s="66"/>
      <c r="K64" s="67"/>
      <c r="L64" s="66"/>
      <c r="M64" s="67"/>
      <c r="N64" s="66"/>
      <c r="O64" s="67"/>
      <c r="P64" s="6" t="e">
        <f>IF($A64="","",IFERROR(INDEX(Scores!$T$2:$T$225,MATCH($A64,Scores!$A$2:$A$225,0)),""))</f>
        <v>#DIV/0!</v>
      </c>
      <c r="Q64" s="6" t="e">
        <f>IF($A64="","",IFERROR(INDEX(Scores!$U$2:$U$225,MATCH($A64,Scores!$A$2:$A$225,0)),""))</f>
        <v>#DIV/0!</v>
      </c>
      <c r="R64" s="12" t="e">
        <f>IF($A64="","",IF(IFERROR(INDEX(Scores!$X$2:$X$225,MATCH($A64,Scores!$A$2:$A$225,0)),0)=1,"Complete","Waiting"))</f>
        <v>#DIV/0!</v>
      </c>
      <c r="S64" s="12" t="e">
        <f>IF($A64="","",IFERROR(INDEX(Scores!$Y$2:$Y$225,MATCH($A64,Scores!$A$2:$A$225,0)),""))</f>
        <v>#DIV/0!</v>
      </c>
    </row>
    <row r="65" spans="1:19">
      <c r="A65" s="12" t="e">
        <f>IF(INT((60)/Setup!$B$13)+1&lt;=Setup!$B$5,INDEX(Scores!$A$2:$A$225,2+(INT((60)/Setup!$B$13)+1-1)*28+(MOD(60,Setup!$B$13)+1-1)-1),"")</f>
        <v>#DIV/0!</v>
      </c>
      <c r="B65" s="12" t="e">
        <f>IF(INT((60)/Setup!$B$13)+1&lt;=Setup!$B$5,CHAR(64+INT((60)/Setup!$B$13)+1),"")</f>
        <v>#DIV/0!</v>
      </c>
      <c r="C65" s="12" t="e">
        <f>IF(INT((60)/Setup!$B$13)+1&lt;=Setup!$B$5,INDEX(Scores!$E$2:$E$225,2+(INT((60)/Setup!$B$13)+1-1)*28+(MOD(60,Setup!$B$13)+1-1)-1),"")</f>
        <v>#DIV/0!</v>
      </c>
      <c r="D65" s="12" t="e">
        <f>IF(INT((60)/Setup!$B$13)+1&lt;=Setup!$B$5,INDEX(Scores!$G$2:$G$225,2+(INT((60)/Setup!$B$13)+1-1)*28+(MOD(60,Setup!$B$13)+1-1)-1),"")</f>
        <v>#DIV/0!</v>
      </c>
      <c r="E65" s="12" t="e">
        <f>IF(INT((60)/Setup!$B$13)+1&lt;=Setup!$B$5,INDEX(Scores!$I$2:$I$225,2+(INT((60)/Setup!$B$13)+1-1)*28+(MOD(60,Setup!$B$13)+1-1)-1),"")</f>
        <v>#DIV/0!</v>
      </c>
      <c r="F65" s="66"/>
      <c r="G65" s="67"/>
      <c r="H65" s="66"/>
      <c r="I65" s="67"/>
      <c r="J65" s="66"/>
      <c r="K65" s="67"/>
      <c r="L65" s="66"/>
      <c r="M65" s="67"/>
      <c r="N65" s="66"/>
      <c r="O65" s="67"/>
      <c r="P65" s="6" t="e">
        <f>IF($A65="","",IFERROR(INDEX(Scores!$T$2:$T$225,MATCH($A65,Scores!$A$2:$A$225,0)),""))</f>
        <v>#DIV/0!</v>
      </c>
      <c r="Q65" s="6" t="e">
        <f>IF($A65="","",IFERROR(INDEX(Scores!$U$2:$U$225,MATCH($A65,Scores!$A$2:$A$225,0)),""))</f>
        <v>#DIV/0!</v>
      </c>
      <c r="R65" s="12" t="e">
        <f>IF($A65="","",IF(IFERROR(INDEX(Scores!$X$2:$X$225,MATCH($A65,Scores!$A$2:$A$225,0)),0)=1,"Complete","Waiting"))</f>
        <v>#DIV/0!</v>
      </c>
      <c r="S65" s="12" t="e">
        <f>IF($A65="","",IFERROR(INDEX(Scores!$Y$2:$Y$225,MATCH($A65,Scores!$A$2:$A$225,0)),""))</f>
        <v>#DIV/0!</v>
      </c>
    </row>
    <row r="66" spans="1:19">
      <c r="A66" s="12" t="e">
        <f>IF(INT((61)/Setup!$B$13)+1&lt;=Setup!$B$5,INDEX(Scores!$A$2:$A$225,2+(INT((61)/Setup!$B$13)+1-1)*28+(MOD(61,Setup!$B$13)+1-1)-1),"")</f>
        <v>#DIV/0!</v>
      </c>
      <c r="B66" s="12" t="e">
        <f>IF(INT((61)/Setup!$B$13)+1&lt;=Setup!$B$5,CHAR(64+INT((61)/Setup!$B$13)+1),"")</f>
        <v>#DIV/0!</v>
      </c>
      <c r="C66" s="12" t="e">
        <f>IF(INT((61)/Setup!$B$13)+1&lt;=Setup!$B$5,INDEX(Scores!$E$2:$E$225,2+(INT((61)/Setup!$B$13)+1-1)*28+(MOD(61,Setup!$B$13)+1-1)-1),"")</f>
        <v>#DIV/0!</v>
      </c>
      <c r="D66" s="12" t="e">
        <f>IF(INT((61)/Setup!$B$13)+1&lt;=Setup!$B$5,INDEX(Scores!$G$2:$G$225,2+(INT((61)/Setup!$B$13)+1-1)*28+(MOD(61,Setup!$B$13)+1-1)-1),"")</f>
        <v>#DIV/0!</v>
      </c>
      <c r="E66" s="12" t="e">
        <f>IF(INT((61)/Setup!$B$13)+1&lt;=Setup!$B$5,INDEX(Scores!$I$2:$I$225,2+(INT((61)/Setup!$B$13)+1-1)*28+(MOD(61,Setup!$B$13)+1-1)-1),"")</f>
        <v>#DIV/0!</v>
      </c>
      <c r="F66" s="66"/>
      <c r="G66" s="67"/>
      <c r="H66" s="66"/>
      <c r="I66" s="67"/>
      <c r="J66" s="66"/>
      <c r="K66" s="67"/>
      <c r="L66" s="66"/>
      <c r="M66" s="67"/>
      <c r="N66" s="66"/>
      <c r="O66" s="67"/>
      <c r="P66" s="6" t="e">
        <f>IF($A66="","",IFERROR(INDEX(Scores!$T$2:$T$225,MATCH($A66,Scores!$A$2:$A$225,0)),""))</f>
        <v>#DIV/0!</v>
      </c>
      <c r="Q66" s="6" t="e">
        <f>IF($A66="","",IFERROR(INDEX(Scores!$U$2:$U$225,MATCH($A66,Scores!$A$2:$A$225,0)),""))</f>
        <v>#DIV/0!</v>
      </c>
      <c r="R66" s="12" t="e">
        <f>IF($A66="","",IF(IFERROR(INDEX(Scores!$X$2:$X$225,MATCH($A66,Scores!$A$2:$A$225,0)),0)=1,"Complete","Waiting"))</f>
        <v>#DIV/0!</v>
      </c>
      <c r="S66" s="12" t="e">
        <f>IF($A66="","",IFERROR(INDEX(Scores!$Y$2:$Y$225,MATCH($A66,Scores!$A$2:$A$225,0)),""))</f>
        <v>#DIV/0!</v>
      </c>
    </row>
    <row r="67" spans="1:19">
      <c r="A67" s="12" t="e">
        <f>IF(INT((62)/Setup!$B$13)+1&lt;=Setup!$B$5,INDEX(Scores!$A$2:$A$225,2+(INT((62)/Setup!$B$13)+1-1)*28+(MOD(62,Setup!$B$13)+1-1)-1),"")</f>
        <v>#DIV/0!</v>
      </c>
      <c r="B67" s="12" t="e">
        <f>IF(INT((62)/Setup!$B$13)+1&lt;=Setup!$B$5,CHAR(64+INT((62)/Setup!$B$13)+1),"")</f>
        <v>#DIV/0!</v>
      </c>
      <c r="C67" s="12" t="e">
        <f>IF(INT((62)/Setup!$B$13)+1&lt;=Setup!$B$5,INDEX(Scores!$E$2:$E$225,2+(INT((62)/Setup!$B$13)+1-1)*28+(MOD(62,Setup!$B$13)+1-1)-1),"")</f>
        <v>#DIV/0!</v>
      </c>
      <c r="D67" s="12" t="e">
        <f>IF(INT((62)/Setup!$B$13)+1&lt;=Setup!$B$5,INDEX(Scores!$G$2:$G$225,2+(INT((62)/Setup!$B$13)+1-1)*28+(MOD(62,Setup!$B$13)+1-1)-1),"")</f>
        <v>#DIV/0!</v>
      </c>
      <c r="E67" s="12" t="e">
        <f>IF(INT((62)/Setup!$B$13)+1&lt;=Setup!$B$5,INDEX(Scores!$I$2:$I$225,2+(INT((62)/Setup!$B$13)+1-1)*28+(MOD(62,Setup!$B$13)+1-1)-1),"")</f>
        <v>#DIV/0!</v>
      </c>
      <c r="F67" s="66"/>
      <c r="G67" s="67"/>
      <c r="H67" s="66"/>
      <c r="I67" s="67"/>
      <c r="J67" s="66"/>
      <c r="K67" s="67"/>
      <c r="L67" s="66"/>
      <c r="M67" s="67"/>
      <c r="N67" s="66"/>
      <c r="O67" s="67"/>
      <c r="P67" s="6" t="e">
        <f>IF($A67="","",IFERROR(INDEX(Scores!$T$2:$T$225,MATCH($A67,Scores!$A$2:$A$225,0)),""))</f>
        <v>#DIV/0!</v>
      </c>
      <c r="Q67" s="6" t="e">
        <f>IF($A67="","",IFERROR(INDEX(Scores!$U$2:$U$225,MATCH($A67,Scores!$A$2:$A$225,0)),""))</f>
        <v>#DIV/0!</v>
      </c>
      <c r="R67" s="12" t="e">
        <f>IF($A67="","",IF(IFERROR(INDEX(Scores!$X$2:$X$225,MATCH($A67,Scores!$A$2:$A$225,0)),0)=1,"Complete","Waiting"))</f>
        <v>#DIV/0!</v>
      </c>
      <c r="S67" s="12" t="e">
        <f>IF($A67="","",IFERROR(INDEX(Scores!$Y$2:$Y$225,MATCH($A67,Scores!$A$2:$A$225,0)),""))</f>
        <v>#DIV/0!</v>
      </c>
    </row>
    <row r="68" spans="1:19">
      <c r="A68" s="12" t="e">
        <f>IF(INT((63)/Setup!$B$13)+1&lt;=Setup!$B$5,INDEX(Scores!$A$2:$A$225,2+(INT((63)/Setup!$B$13)+1-1)*28+(MOD(63,Setup!$B$13)+1-1)-1),"")</f>
        <v>#DIV/0!</v>
      </c>
      <c r="B68" s="12" t="e">
        <f>IF(INT((63)/Setup!$B$13)+1&lt;=Setup!$B$5,CHAR(64+INT((63)/Setup!$B$13)+1),"")</f>
        <v>#DIV/0!</v>
      </c>
      <c r="C68" s="12" t="e">
        <f>IF(INT((63)/Setup!$B$13)+1&lt;=Setup!$B$5,INDEX(Scores!$E$2:$E$225,2+(INT((63)/Setup!$B$13)+1-1)*28+(MOD(63,Setup!$B$13)+1-1)-1),"")</f>
        <v>#DIV/0!</v>
      </c>
      <c r="D68" s="12" t="e">
        <f>IF(INT((63)/Setup!$B$13)+1&lt;=Setup!$B$5,INDEX(Scores!$G$2:$G$225,2+(INT((63)/Setup!$B$13)+1-1)*28+(MOD(63,Setup!$B$13)+1-1)-1),"")</f>
        <v>#DIV/0!</v>
      </c>
      <c r="E68" s="12" t="e">
        <f>IF(INT((63)/Setup!$B$13)+1&lt;=Setup!$B$5,INDEX(Scores!$I$2:$I$225,2+(INT((63)/Setup!$B$13)+1-1)*28+(MOD(63,Setup!$B$13)+1-1)-1),"")</f>
        <v>#DIV/0!</v>
      </c>
      <c r="F68" s="66"/>
      <c r="G68" s="67"/>
      <c r="H68" s="66"/>
      <c r="I68" s="67"/>
      <c r="J68" s="66"/>
      <c r="K68" s="67"/>
      <c r="L68" s="66"/>
      <c r="M68" s="67"/>
      <c r="N68" s="66"/>
      <c r="O68" s="67"/>
      <c r="P68" s="6" t="e">
        <f>IF($A68="","",IFERROR(INDEX(Scores!$T$2:$T$225,MATCH($A68,Scores!$A$2:$A$225,0)),""))</f>
        <v>#DIV/0!</v>
      </c>
      <c r="Q68" s="6" t="e">
        <f>IF($A68="","",IFERROR(INDEX(Scores!$U$2:$U$225,MATCH($A68,Scores!$A$2:$A$225,0)),""))</f>
        <v>#DIV/0!</v>
      </c>
      <c r="R68" s="12" t="e">
        <f>IF($A68="","",IF(IFERROR(INDEX(Scores!$X$2:$X$225,MATCH($A68,Scores!$A$2:$A$225,0)),0)=1,"Complete","Waiting"))</f>
        <v>#DIV/0!</v>
      </c>
      <c r="S68" s="12" t="e">
        <f>IF($A68="","",IFERROR(INDEX(Scores!$Y$2:$Y$225,MATCH($A68,Scores!$A$2:$A$225,0)),""))</f>
        <v>#DIV/0!</v>
      </c>
    </row>
    <row r="69" spans="1:19">
      <c r="A69" s="12" t="e">
        <f>IF(INT((64)/Setup!$B$13)+1&lt;=Setup!$B$5,INDEX(Scores!$A$2:$A$225,2+(INT((64)/Setup!$B$13)+1-1)*28+(MOD(64,Setup!$B$13)+1-1)-1),"")</f>
        <v>#DIV/0!</v>
      </c>
      <c r="B69" s="12" t="e">
        <f>IF(INT((64)/Setup!$B$13)+1&lt;=Setup!$B$5,CHAR(64+INT((64)/Setup!$B$13)+1),"")</f>
        <v>#DIV/0!</v>
      </c>
      <c r="C69" s="12" t="e">
        <f>IF(INT((64)/Setup!$B$13)+1&lt;=Setup!$B$5,INDEX(Scores!$E$2:$E$225,2+(INT((64)/Setup!$B$13)+1-1)*28+(MOD(64,Setup!$B$13)+1-1)-1),"")</f>
        <v>#DIV/0!</v>
      </c>
      <c r="D69" s="12" t="e">
        <f>IF(INT((64)/Setup!$B$13)+1&lt;=Setup!$B$5,INDEX(Scores!$G$2:$G$225,2+(INT((64)/Setup!$B$13)+1-1)*28+(MOD(64,Setup!$B$13)+1-1)-1),"")</f>
        <v>#DIV/0!</v>
      </c>
      <c r="E69" s="12" t="e">
        <f>IF(INT((64)/Setup!$B$13)+1&lt;=Setup!$B$5,INDEX(Scores!$I$2:$I$225,2+(INT((64)/Setup!$B$13)+1-1)*28+(MOD(64,Setup!$B$13)+1-1)-1),"")</f>
        <v>#DIV/0!</v>
      </c>
      <c r="F69" s="66"/>
      <c r="G69" s="67"/>
      <c r="H69" s="66"/>
      <c r="I69" s="67"/>
      <c r="J69" s="66"/>
      <c r="K69" s="67"/>
      <c r="L69" s="66"/>
      <c r="M69" s="67"/>
      <c r="N69" s="66"/>
      <c r="O69" s="67"/>
      <c r="P69" s="6" t="e">
        <f>IF($A69="","",IFERROR(INDEX(Scores!$T$2:$T$225,MATCH($A69,Scores!$A$2:$A$225,0)),""))</f>
        <v>#DIV/0!</v>
      </c>
      <c r="Q69" s="6" t="e">
        <f>IF($A69="","",IFERROR(INDEX(Scores!$U$2:$U$225,MATCH($A69,Scores!$A$2:$A$225,0)),""))</f>
        <v>#DIV/0!</v>
      </c>
      <c r="R69" s="12" t="e">
        <f>IF($A69="","",IF(IFERROR(INDEX(Scores!$X$2:$X$225,MATCH($A69,Scores!$A$2:$A$225,0)),0)=1,"Complete","Waiting"))</f>
        <v>#DIV/0!</v>
      </c>
      <c r="S69" s="12" t="e">
        <f>IF($A69="","",IFERROR(INDEX(Scores!$Y$2:$Y$225,MATCH($A69,Scores!$A$2:$A$225,0)),""))</f>
        <v>#DIV/0!</v>
      </c>
    </row>
    <row r="70" spans="1:19">
      <c r="A70" s="12" t="e">
        <f>IF(INT((65)/Setup!$B$13)+1&lt;=Setup!$B$5,INDEX(Scores!$A$2:$A$225,2+(INT((65)/Setup!$B$13)+1-1)*28+(MOD(65,Setup!$B$13)+1-1)-1),"")</f>
        <v>#DIV/0!</v>
      </c>
      <c r="B70" s="12" t="e">
        <f>IF(INT((65)/Setup!$B$13)+1&lt;=Setup!$B$5,CHAR(64+INT((65)/Setup!$B$13)+1),"")</f>
        <v>#DIV/0!</v>
      </c>
      <c r="C70" s="12" t="e">
        <f>IF(INT((65)/Setup!$B$13)+1&lt;=Setup!$B$5,INDEX(Scores!$E$2:$E$225,2+(INT((65)/Setup!$B$13)+1-1)*28+(MOD(65,Setup!$B$13)+1-1)-1),"")</f>
        <v>#DIV/0!</v>
      </c>
      <c r="D70" s="12" t="e">
        <f>IF(INT((65)/Setup!$B$13)+1&lt;=Setup!$B$5,INDEX(Scores!$G$2:$G$225,2+(INT((65)/Setup!$B$13)+1-1)*28+(MOD(65,Setup!$B$13)+1-1)-1),"")</f>
        <v>#DIV/0!</v>
      </c>
      <c r="E70" s="12" t="e">
        <f>IF(INT((65)/Setup!$B$13)+1&lt;=Setup!$B$5,INDEX(Scores!$I$2:$I$225,2+(INT((65)/Setup!$B$13)+1-1)*28+(MOD(65,Setup!$B$13)+1-1)-1),"")</f>
        <v>#DIV/0!</v>
      </c>
      <c r="F70" s="66"/>
      <c r="G70" s="67"/>
      <c r="H70" s="66"/>
      <c r="I70" s="67"/>
      <c r="J70" s="66"/>
      <c r="K70" s="67"/>
      <c r="L70" s="66"/>
      <c r="M70" s="67"/>
      <c r="N70" s="66"/>
      <c r="O70" s="67"/>
      <c r="P70" s="6" t="e">
        <f>IF($A70="","",IFERROR(INDEX(Scores!$T$2:$T$225,MATCH($A70,Scores!$A$2:$A$225,0)),""))</f>
        <v>#DIV/0!</v>
      </c>
      <c r="Q70" s="6" t="e">
        <f>IF($A70="","",IFERROR(INDEX(Scores!$U$2:$U$225,MATCH($A70,Scores!$A$2:$A$225,0)),""))</f>
        <v>#DIV/0!</v>
      </c>
      <c r="R70" s="12" t="e">
        <f>IF($A70="","",IF(IFERROR(INDEX(Scores!$X$2:$X$225,MATCH($A70,Scores!$A$2:$A$225,0)),0)=1,"Complete","Waiting"))</f>
        <v>#DIV/0!</v>
      </c>
      <c r="S70" s="12" t="e">
        <f>IF($A70="","",IFERROR(INDEX(Scores!$Y$2:$Y$225,MATCH($A70,Scores!$A$2:$A$225,0)),""))</f>
        <v>#DIV/0!</v>
      </c>
    </row>
    <row r="71" spans="1:19">
      <c r="A71" s="12" t="e">
        <f>IF(INT((66)/Setup!$B$13)+1&lt;=Setup!$B$5,INDEX(Scores!$A$2:$A$225,2+(INT((66)/Setup!$B$13)+1-1)*28+(MOD(66,Setup!$B$13)+1-1)-1),"")</f>
        <v>#DIV/0!</v>
      </c>
      <c r="B71" s="12" t="e">
        <f>IF(INT((66)/Setup!$B$13)+1&lt;=Setup!$B$5,CHAR(64+INT((66)/Setup!$B$13)+1),"")</f>
        <v>#DIV/0!</v>
      </c>
      <c r="C71" s="12" t="e">
        <f>IF(INT((66)/Setup!$B$13)+1&lt;=Setup!$B$5,INDEX(Scores!$E$2:$E$225,2+(INT((66)/Setup!$B$13)+1-1)*28+(MOD(66,Setup!$B$13)+1-1)-1),"")</f>
        <v>#DIV/0!</v>
      </c>
      <c r="D71" s="12" t="e">
        <f>IF(INT((66)/Setup!$B$13)+1&lt;=Setup!$B$5,INDEX(Scores!$G$2:$G$225,2+(INT((66)/Setup!$B$13)+1-1)*28+(MOD(66,Setup!$B$13)+1-1)-1),"")</f>
        <v>#DIV/0!</v>
      </c>
      <c r="E71" s="12" t="e">
        <f>IF(INT((66)/Setup!$B$13)+1&lt;=Setup!$B$5,INDEX(Scores!$I$2:$I$225,2+(INT((66)/Setup!$B$13)+1-1)*28+(MOD(66,Setup!$B$13)+1-1)-1),"")</f>
        <v>#DIV/0!</v>
      </c>
      <c r="F71" s="66"/>
      <c r="G71" s="67"/>
      <c r="H71" s="66"/>
      <c r="I71" s="67"/>
      <c r="J71" s="66"/>
      <c r="K71" s="67"/>
      <c r="L71" s="66"/>
      <c r="M71" s="67"/>
      <c r="N71" s="66"/>
      <c r="O71" s="67"/>
      <c r="P71" s="6" t="e">
        <f>IF($A71="","",IFERROR(INDEX(Scores!$T$2:$T$225,MATCH($A71,Scores!$A$2:$A$225,0)),""))</f>
        <v>#DIV/0!</v>
      </c>
      <c r="Q71" s="6" t="e">
        <f>IF($A71="","",IFERROR(INDEX(Scores!$U$2:$U$225,MATCH($A71,Scores!$A$2:$A$225,0)),""))</f>
        <v>#DIV/0!</v>
      </c>
      <c r="R71" s="12" t="e">
        <f>IF($A71="","",IF(IFERROR(INDEX(Scores!$X$2:$X$225,MATCH($A71,Scores!$A$2:$A$225,0)),0)=1,"Complete","Waiting"))</f>
        <v>#DIV/0!</v>
      </c>
      <c r="S71" s="12" t="e">
        <f>IF($A71="","",IFERROR(INDEX(Scores!$Y$2:$Y$225,MATCH($A71,Scores!$A$2:$A$225,0)),""))</f>
        <v>#DIV/0!</v>
      </c>
    </row>
    <row r="72" spans="1:19">
      <c r="A72" s="12" t="e">
        <f>IF(INT((67)/Setup!$B$13)+1&lt;=Setup!$B$5,INDEX(Scores!$A$2:$A$225,2+(INT((67)/Setup!$B$13)+1-1)*28+(MOD(67,Setup!$B$13)+1-1)-1),"")</f>
        <v>#DIV/0!</v>
      </c>
      <c r="B72" s="12" t="e">
        <f>IF(INT((67)/Setup!$B$13)+1&lt;=Setup!$B$5,CHAR(64+INT((67)/Setup!$B$13)+1),"")</f>
        <v>#DIV/0!</v>
      </c>
      <c r="C72" s="12" t="e">
        <f>IF(INT((67)/Setup!$B$13)+1&lt;=Setup!$B$5,INDEX(Scores!$E$2:$E$225,2+(INT((67)/Setup!$B$13)+1-1)*28+(MOD(67,Setup!$B$13)+1-1)-1),"")</f>
        <v>#DIV/0!</v>
      </c>
      <c r="D72" s="12" t="e">
        <f>IF(INT((67)/Setup!$B$13)+1&lt;=Setup!$B$5,INDEX(Scores!$G$2:$G$225,2+(INT((67)/Setup!$B$13)+1-1)*28+(MOD(67,Setup!$B$13)+1-1)-1),"")</f>
        <v>#DIV/0!</v>
      </c>
      <c r="E72" s="12" t="e">
        <f>IF(INT((67)/Setup!$B$13)+1&lt;=Setup!$B$5,INDEX(Scores!$I$2:$I$225,2+(INT((67)/Setup!$B$13)+1-1)*28+(MOD(67,Setup!$B$13)+1-1)-1),"")</f>
        <v>#DIV/0!</v>
      </c>
      <c r="F72" s="66"/>
      <c r="G72" s="67"/>
      <c r="H72" s="66"/>
      <c r="I72" s="67"/>
      <c r="J72" s="66"/>
      <c r="K72" s="67"/>
      <c r="L72" s="66"/>
      <c r="M72" s="67"/>
      <c r="N72" s="66"/>
      <c r="O72" s="67"/>
      <c r="P72" s="6" t="e">
        <f>IF($A72="","",IFERROR(INDEX(Scores!$T$2:$T$225,MATCH($A72,Scores!$A$2:$A$225,0)),""))</f>
        <v>#DIV/0!</v>
      </c>
      <c r="Q72" s="6" t="e">
        <f>IF($A72="","",IFERROR(INDEX(Scores!$U$2:$U$225,MATCH($A72,Scores!$A$2:$A$225,0)),""))</f>
        <v>#DIV/0!</v>
      </c>
      <c r="R72" s="12" t="e">
        <f>IF($A72="","",IF(IFERROR(INDEX(Scores!$X$2:$X$225,MATCH($A72,Scores!$A$2:$A$225,0)),0)=1,"Complete","Waiting"))</f>
        <v>#DIV/0!</v>
      </c>
      <c r="S72" s="12" t="e">
        <f>IF($A72="","",IFERROR(INDEX(Scores!$Y$2:$Y$225,MATCH($A72,Scores!$A$2:$A$225,0)),""))</f>
        <v>#DIV/0!</v>
      </c>
    </row>
    <row r="73" spans="1:19">
      <c r="A73" s="12" t="e">
        <f>IF(INT((68)/Setup!$B$13)+1&lt;=Setup!$B$5,INDEX(Scores!$A$2:$A$225,2+(INT((68)/Setup!$B$13)+1-1)*28+(MOD(68,Setup!$B$13)+1-1)-1),"")</f>
        <v>#DIV/0!</v>
      </c>
      <c r="B73" s="12" t="e">
        <f>IF(INT((68)/Setup!$B$13)+1&lt;=Setup!$B$5,CHAR(64+INT((68)/Setup!$B$13)+1),"")</f>
        <v>#DIV/0!</v>
      </c>
      <c r="C73" s="12" t="e">
        <f>IF(INT((68)/Setup!$B$13)+1&lt;=Setup!$B$5,INDEX(Scores!$E$2:$E$225,2+(INT((68)/Setup!$B$13)+1-1)*28+(MOD(68,Setup!$B$13)+1-1)-1),"")</f>
        <v>#DIV/0!</v>
      </c>
      <c r="D73" s="12" t="e">
        <f>IF(INT((68)/Setup!$B$13)+1&lt;=Setup!$B$5,INDEX(Scores!$G$2:$G$225,2+(INT((68)/Setup!$B$13)+1-1)*28+(MOD(68,Setup!$B$13)+1-1)-1),"")</f>
        <v>#DIV/0!</v>
      </c>
      <c r="E73" s="12" t="e">
        <f>IF(INT((68)/Setup!$B$13)+1&lt;=Setup!$B$5,INDEX(Scores!$I$2:$I$225,2+(INT((68)/Setup!$B$13)+1-1)*28+(MOD(68,Setup!$B$13)+1-1)-1),"")</f>
        <v>#DIV/0!</v>
      </c>
      <c r="F73" s="66"/>
      <c r="G73" s="67"/>
      <c r="H73" s="66"/>
      <c r="I73" s="67"/>
      <c r="J73" s="66"/>
      <c r="K73" s="67"/>
      <c r="L73" s="66"/>
      <c r="M73" s="67"/>
      <c r="N73" s="66"/>
      <c r="O73" s="67"/>
      <c r="P73" s="6" t="e">
        <f>IF($A73="","",IFERROR(INDEX(Scores!$T$2:$T$225,MATCH($A73,Scores!$A$2:$A$225,0)),""))</f>
        <v>#DIV/0!</v>
      </c>
      <c r="Q73" s="6" t="e">
        <f>IF($A73="","",IFERROR(INDEX(Scores!$U$2:$U$225,MATCH($A73,Scores!$A$2:$A$225,0)),""))</f>
        <v>#DIV/0!</v>
      </c>
      <c r="R73" s="12" t="e">
        <f>IF($A73="","",IF(IFERROR(INDEX(Scores!$X$2:$X$225,MATCH($A73,Scores!$A$2:$A$225,0)),0)=1,"Complete","Waiting"))</f>
        <v>#DIV/0!</v>
      </c>
      <c r="S73" s="12" t="e">
        <f>IF($A73="","",IFERROR(INDEX(Scores!$Y$2:$Y$225,MATCH($A73,Scores!$A$2:$A$225,0)),""))</f>
        <v>#DIV/0!</v>
      </c>
    </row>
    <row r="74" spans="1:19">
      <c r="A74" s="12" t="e">
        <f>IF(INT((69)/Setup!$B$13)+1&lt;=Setup!$B$5,INDEX(Scores!$A$2:$A$225,2+(INT((69)/Setup!$B$13)+1-1)*28+(MOD(69,Setup!$B$13)+1-1)-1),"")</f>
        <v>#DIV/0!</v>
      </c>
      <c r="B74" s="12" t="e">
        <f>IF(INT((69)/Setup!$B$13)+1&lt;=Setup!$B$5,CHAR(64+INT((69)/Setup!$B$13)+1),"")</f>
        <v>#DIV/0!</v>
      </c>
      <c r="C74" s="12" t="e">
        <f>IF(INT((69)/Setup!$B$13)+1&lt;=Setup!$B$5,INDEX(Scores!$E$2:$E$225,2+(INT((69)/Setup!$B$13)+1-1)*28+(MOD(69,Setup!$B$13)+1-1)-1),"")</f>
        <v>#DIV/0!</v>
      </c>
      <c r="D74" s="12" t="e">
        <f>IF(INT((69)/Setup!$B$13)+1&lt;=Setup!$B$5,INDEX(Scores!$G$2:$G$225,2+(INT((69)/Setup!$B$13)+1-1)*28+(MOD(69,Setup!$B$13)+1-1)-1),"")</f>
        <v>#DIV/0!</v>
      </c>
      <c r="E74" s="12" t="e">
        <f>IF(INT((69)/Setup!$B$13)+1&lt;=Setup!$B$5,INDEX(Scores!$I$2:$I$225,2+(INT((69)/Setup!$B$13)+1-1)*28+(MOD(69,Setup!$B$13)+1-1)-1),"")</f>
        <v>#DIV/0!</v>
      </c>
      <c r="F74" s="66"/>
      <c r="G74" s="67"/>
      <c r="H74" s="66"/>
      <c r="I74" s="67"/>
      <c r="J74" s="66"/>
      <c r="K74" s="67"/>
      <c r="L74" s="66"/>
      <c r="M74" s="67"/>
      <c r="N74" s="66"/>
      <c r="O74" s="67"/>
      <c r="P74" s="6" t="e">
        <f>IF($A74="","",IFERROR(INDEX(Scores!$T$2:$T$225,MATCH($A74,Scores!$A$2:$A$225,0)),""))</f>
        <v>#DIV/0!</v>
      </c>
      <c r="Q74" s="6" t="e">
        <f>IF($A74="","",IFERROR(INDEX(Scores!$U$2:$U$225,MATCH($A74,Scores!$A$2:$A$225,0)),""))</f>
        <v>#DIV/0!</v>
      </c>
      <c r="R74" s="12" t="e">
        <f>IF($A74="","",IF(IFERROR(INDEX(Scores!$X$2:$X$225,MATCH($A74,Scores!$A$2:$A$225,0)),0)=1,"Complete","Waiting"))</f>
        <v>#DIV/0!</v>
      </c>
      <c r="S74" s="12" t="e">
        <f>IF($A74="","",IFERROR(INDEX(Scores!$Y$2:$Y$225,MATCH($A74,Scores!$A$2:$A$225,0)),""))</f>
        <v>#DIV/0!</v>
      </c>
    </row>
    <row r="75" spans="1:19">
      <c r="A75" s="12" t="e">
        <f>IF(INT((70)/Setup!$B$13)+1&lt;=Setup!$B$5,INDEX(Scores!$A$2:$A$225,2+(INT((70)/Setup!$B$13)+1-1)*28+(MOD(70,Setup!$B$13)+1-1)-1),"")</f>
        <v>#DIV/0!</v>
      </c>
      <c r="B75" s="12" t="e">
        <f>IF(INT((70)/Setup!$B$13)+1&lt;=Setup!$B$5,CHAR(64+INT((70)/Setup!$B$13)+1),"")</f>
        <v>#DIV/0!</v>
      </c>
      <c r="C75" s="12" t="e">
        <f>IF(INT((70)/Setup!$B$13)+1&lt;=Setup!$B$5,INDEX(Scores!$E$2:$E$225,2+(INT((70)/Setup!$B$13)+1-1)*28+(MOD(70,Setup!$B$13)+1-1)-1),"")</f>
        <v>#DIV/0!</v>
      </c>
      <c r="D75" s="12" t="e">
        <f>IF(INT((70)/Setup!$B$13)+1&lt;=Setup!$B$5,INDEX(Scores!$G$2:$G$225,2+(INT((70)/Setup!$B$13)+1-1)*28+(MOD(70,Setup!$B$13)+1-1)-1),"")</f>
        <v>#DIV/0!</v>
      </c>
      <c r="E75" s="12" t="e">
        <f>IF(INT((70)/Setup!$B$13)+1&lt;=Setup!$B$5,INDEX(Scores!$I$2:$I$225,2+(INT((70)/Setup!$B$13)+1-1)*28+(MOD(70,Setup!$B$13)+1-1)-1),"")</f>
        <v>#DIV/0!</v>
      </c>
      <c r="F75" s="66"/>
      <c r="G75" s="67"/>
      <c r="H75" s="66"/>
      <c r="I75" s="67"/>
      <c r="J75" s="66"/>
      <c r="K75" s="67"/>
      <c r="L75" s="66"/>
      <c r="M75" s="67"/>
      <c r="N75" s="66"/>
      <c r="O75" s="67"/>
      <c r="P75" s="6" t="e">
        <f>IF($A75="","",IFERROR(INDEX(Scores!$T$2:$T$225,MATCH($A75,Scores!$A$2:$A$225,0)),""))</f>
        <v>#DIV/0!</v>
      </c>
      <c r="Q75" s="6" t="e">
        <f>IF($A75="","",IFERROR(INDEX(Scores!$U$2:$U$225,MATCH($A75,Scores!$A$2:$A$225,0)),""))</f>
        <v>#DIV/0!</v>
      </c>
      <c r="R75" s="12" t="e">
        <f>IF($A75="","",IF(IFERROR(INDEX(Scores!$X$2:$X$225,MATCH($A75,Scores!$A$2:$A$225,0)),0)=1,"Complete","Waiting"))</f>
        <v>#DIV/0!</v>
      </c>
      <c r="S75" s="12" t="e">
        <f>IF($A75="","",IFERROR(INDEX(Scores!$Y$2:$Y$225,MATCH($A75,Scores!$A$2:$A$225,0)),""))</f>
        <v>#DIV/0!</v>
      </c>
    </row>
    <row r="76" spans="1:19">
      <c r="A76" s="12" t="e">
        <f>IF(INT((71)/Setup!$B$13)+1&lt;=Setup!$B$5,INDEX(Scores!$A$2:$A$225,2+(INT((71)/Setup!$B$13)+1-1)*28+(MOD(71,Setup!$B$13)+1-1)-1),"")</f>
        <v>#DIV/0!</v>
      </c>
      <c r="B76" s="12" t="e">
        <f>IF(INT((71)/Setup!$B$13)+1&lt;=Setup!$B$5,CHAR(64+INT((71)/Setup!$B$13)+1),"")</f>
        <v>#DIV/0!</v>
      </c>
      <c r="C76" s="12" t="e">
        <f>IF(INT((71)/Setup!$B$13)+1&lt;=Setup!$B$5,INDEX(Scores!$E$2:$E$225,2+(INT((71)/Setup!$B$13)+1-1)*28+(MOD(71,Setup!$B$13)+1-1)-1),"")</f>
        <v>#DIV/0!</v>
      </c>
      <c r="D76" s="12" t="e">
        <f>IF(INT((71)/Setup!$B$13)+1&lt;=Setup!$B$5,INDEX(Scores!$G$2:$G$225,2+(INT((71)/Setup!$B$13)+1-1)*28+(MOD(71,Setup!$B$13)+1-1)-1),"")</f>
        <v>#DIV/0!</v>
      </c>
      <c r="E76" s="12" t="e">
        <f>IF(INT((71)/Setup!$B$13)+1&lt;=Setup!$B$5,INDEX(Scores!$I$2:$I$225,2+(INT((71)/Setup!$B$13)+1-1)*28+(MOD(71,Setup!$B$13)+1-1)-1),"")</f>
        <v>#DIV/0!</v>
      </c>
      <c r="F76" s="66"/>
      <c r="G76" s="67"/>
      <c r="H76" s="66"/>
      <c r="I76" s="67"/>
      <c r="J76" s="66"/>
      <c r="K76" s="67"/>
      <c r="L76" s="66"/>
      <c r="M76" s="67"/>
      <c r="N76" s="66"/>
      <c r="O76" s="67"/>
      <c r="P76" s="6" t="e">
        <f>IF($A76="","",IFERROR(INDEX(Scores!$T$2:$T$225,MATCH($A76,Scores!$A$2:$A$225,0)),""))</f>
        <v>#DIV/0!</v>
      </c>
      <c r="Q76" s="6" t="e">
        <f>IF($A76="","",IFERROR(INDEX(Scores!$U$2:$U$225,MATCH($A76,Scores!$A$2:$A$225,0)),""))</f>
        <v>#DIV/0!</v>
      </c>
      <c r="R76" s="12" t="e">
        <f>IF($A76="","",IF(IFERROR(INDEX(Scores!$X$2:$X$225,MATCH($A76,Scores!$A$2:$A$225,0)),0)=1,"Complete","Waiting"))</f>
        <v>#DIV/0!</v>
      </c>
      <c r="S76" s="12" t="e">
        <f>IF($A76="","",IFERROR(INDEX(Scores!$Y$2:$Y$225,MATCH($A76,Scores!$A$2:$A$225,0)),""))</f>
        <v>#DIV/0!</v>
      </c>
    </row>
    <row r="77" spans="1:19">
      <c r="A77" s="12" t="e">
        <f>IF(INT((72)/Setup!$B$13)+1&lt;=Setup!$B$5,INDEX(Scores!$A$2:$A$225,2+(INT((72)/Setup!$B$13)+1-1)*28+(MOD(72,Setup!$B$13)+1-1)-1),"")</f>
        <v>#DIV/0!</v>
      </c>
      <c r="B77" s="12" t="e">
        <f>IF(INT((72)/Setup!$B$13)+1&lt;=Setup!$B$5,CHAR(64+INT((72)/Setup!$B$13)+1),"")</f>
        <v>#DIV/0!</v>
      </c>
      <c r="C77" s="12" t="e">
        <f>IF(INT((72)/Setup!$B$13)+1&lt;=Setup!$B$5,INDEX(Scores!$E$2:$E$225,2+(INT((72)/Setup!$B$13)+1-1)*28+(MOD(72,Setup!$B$13)+1-1)-1),"")</f>
        <v>#DIV/0!</v>
      </c>
      <c r="D77" s="12" t="e">
        <f>IF(INT((72)/Setup!$B$13)+1&lt;=Setup!$B$5,INDEX(Scores!$G$2:$G$225,2+(INT((72)/Setup!$B$13)+1-1)*28+(MOD(72,Setup!$B$13)+1-1)-1),"")</f>
        <v>#DIV/0!</v>
      </c>
      <c r="E77" s="12" t="e">
        <f>IF(INT((72)/Setup!$B$13)+1&lt;=Setup!$B$5,INDEX(Scores!$I$2:$I$225,2+(INT((72)/Setup!$B$13)+1-1)*28+(MOD(72,Setup!$B$13)+1-1)-1),"")</f>
        <v>#DIV/0!</v>
      </c>
      <c r="F77" s="66"/>
      <c r="G77" s="67"/>
      <c r="H77" s="66"/>
      <c r="I77" s="67"/>
      <c r="J77" s="66"/>
      <c r="K77" s="67"/>
      <c r="L77" s="66"/>
      <c r="M77" s="67"/>
      <c r="N77" s="66"/>
      <c r="O77" s="67"/>
      <c r="P77" s="6" t="e">
        <f>IF($A77="","",IFERROR(INDEX(Scores!$T$2:$T$225,MATCH($A77,Scores!$A$2:$A$225,0)),""))</f>
        <v>#DIV/0!</v>
      </c>
      <c r="Q77" s="6" t="e">
        <f>IF($A77="","",IFERROR(INDEX(Scores!$U$2:$U$225,MATCH($A77,Scores!$A$2:$A$225,0)),""))</f>
        <v>#DIV/0!</v>
      </c>
      <c r="R77" s="12" t="e">
        <f>IF($A77="","",IF(IFERROR(INDEX(Scores!$X$2:$X$225,MATCH($A77,Scores!$A$2:$A$225,0)),0)=1,"Complete","Waiting"))</f>
        <v>#DIV/0!</v>
      </c>
      <c r="S77" s="12" t="e">
        <f>IF($A77="","",IFERROR(INDEX(Scores!$Y$2:$Y$225,MATCH($A77,Scores!$A$2:$A$225,0)),""))</f>
        <v>#DIV/0!</v>
      </c>
    </row>
    <row r="78" spans="1:19">
      <c r="A78" s="12" t="e">
        <f>IF(INT((73)/Setup!$B$13)+1&lt;=Setup!$B$5,INDEX(Scores!$A$2:$A$225,2+(INT((73)/Setup!$B$13)+1-1)*28+(MOD(73,Setup!$B$13)+1-1)-1),"")</f>
        <v>#DIV/0!</v>
      </c>
      <c r="B78" s="12" t="e">
        <f>IF(INT((73)/Setup!$B$13)+1&lt;=Setup!$B$5,CHAR(64+INT((73)/Setup!$B$13)+1),"")</f>
        <v>#DIV/0!</v>
      </c>
      <c r="C78" s="12" t="e">
        <f>IF(INT((73)/Setup!$B$13)+1&lt;=Setup!$B$5,INDEX(Scores!$E$2:$E$225,2+(INT((73)/Setup!$B$13)+1-1)*28+(MOD(73,Setup!$B$13)+1-1)-1),"")</f>
        <v>#DIV/0!</v>
      </c>
      <c r="D78" s="12" t="e">
        <f>IF(INT((73)/Setup!$B$13)+1&lt;=Setup!$B$5,INDEX(Scores!$G$2:$G$225,2+(INT((73)/Setup!$B$13)+1-1)*28+(MOD(73,Setup!$B$13)+1-1)-1),"")</f>
        <v>#DIV/0!</v>
      </c>
      <c r="E78" s="12" t="e">
        <f>IF(INT((73)/Setup!$B$13)+1&lt;=Setup!$B$5,INDEX(Scores!$I$2:$I$225,2+(INT((73)/Setup!$B$13)+1-1)*28+(MOD(73,Setup!$B$13)+1-1)-1),"")</f>
        <v>#DIV/0!</v>
      </c>
      <c r="F78" s="66"/>
      <c r="G78" s="67"/>
      <c r="H78" s="66"/>
      <c r="I78" s="67"/>
      <c r="J78" s="66"/>
      <c r="K78" s="67"/>
      <c r="L78" s="66"/>
      <c r="M78" s="67"/>
      <c r="N78" s="66"/>
      <c r="O78" s="67"/>
      <c r="P78" s="6" t="e">
        <f>IF($A78="","",IFERROR(INDEX(Scores!$T$2:$T$225,MATCH($A78,Scores!$A$2:$A$225,0)),""))</f>
        <v>#DIV/0!</v>
      </c>
      <c r="Q78" s="6" t="e">
        <f>IF($A78="","",IFERROR(INDEX(Scores!$U$2:$U$225,MATCH($A78,Scores!$A$2:$A$225,0)),""))</f>
        <v>#DIV/0!</v>
      </c>
      <c r="R78" s="12" t="e">
        <f>IF($A78="","",IF(IFERROR(INDEX(Scores!$X$2:$X$225,MATCH($A78,Scores!$A$2:$A$225,0)),0)=1,"Complete","Waiting"))</f>
        <v>#DIV/0!</v>
      </c>
      <c r="S78" s="12" t="e">
        <f>IF($A78="","",IFERROR(INDEX(Scores!$Y$2:$Y$225,MATCH($A78,Scores!$A$2:$A$225,0)),""))</f>
        <v>#DIV/0!</v>
      </c>
    </row>
    <row r="79" spans="1:19">
      <c r="A79" s="12" t="e">
        <f>IF(INT((74)/Setup!$B$13)+1&lt;=Setup!$B$5,INDEX(Scores!$A$2:$A$225,2+(INT((74)/Setup!$B$13)+1-1)*28+(MOD(74,Setup!$B$13)+1-1)-1),"")</f>
        <v>#DIV/0!</v>
      </c>
      <c r="B79" s="12" t="e">
        <f>IF(INT((74)/Setup!$B$13)+1&lt;=Setup!$B$5,CHAR(64+INT((74)/Setup!$B$13)+1),"")</f>
        <v>#DIV/0!</v>
      </c>
      <c r="C79" s="12" t="e">
        <f>IF(INT((74)/Setup!$B$13)+1&lt;=Setup!$B$5,INDEX(Scores!$E$2:$E$225,2+(INT((74)/Setup!$B$13)+1-1)*28+(MOD(74,Setup!$B$13)+1-1)-1),"")</f>
        <v>#DIV/0!</v>
      </c>
      <c r="D79" s="12" t="e">
        <f>IF(INT((74)/Setup!$B$13)+1&lt;=Setup!$B$5,INDEX(Scores!$G$2:$G$225,2+(INT((74)/Setup!$B$13)+1-1)*28+(MOD(74,Setup!$B$13)+1-1)-1),"")</f>
        <v>#DIV/0!</v>
      </c>
      <c r="E79" s="12" t="e">
        <f>IF(INT((74)/Setup!$B$13)+1&lt;=Setup!$B$5,INDEX(Scores!$I$2:$I$225,2+(INT((74)/Setup!$B$13)+1-1)*28+(MOD(74,Setup!$B$13)+1-1)-1),"")</f>
        <v>#DIV/0!</v>
      </c>
      <c r="F79" s="66"/>
      <c r="G79" s="67"/>
      <c r="H79" s="66"/>
      <c r="I79" s="67"/>
      <c r="J79" s="66"/>
      <c r="K79" s="67"/>
      <c r="L79" s="66"/>
      <c r="M79" s="67"/>
      <c r="N79" s="66"/>
      <c r="O79" s="67"/>
      <c r="P79" s="6" t="e">
        <f>IF($A79="","",IFERROR(INDEX(Scores!$T$2:$T$225,MATCH($A79,Scores!$A$2:$A$225,0)),""))</f>
        <v>#DIV/0!</v>
      </c>
      <c r="Q79" s="6" t="e">
        <f>IF($A79="","",IFERROR(INDEX(Scores!$U$2:$U$225,MATCH($A79,Scores!$A$2:$A$225,0)),""))</f>
        <v>#DIV/0!</v>
      </c>
      <c r="R79" s="12" t="e">
        <f>IF($A79="","",IF(IFERROR(INDEX(Scores!$X$2:$X$225,MATCH($A79,Scores!$A$2:$A$225,0)),0)=1,"Complete","Waiting"))</f>
        <v>#DIV/0!</v>
      </c>
      <c r="S79" s="12" t="e">
        <f>IF($A79="","",IFERROR(INDEX(Scores!$Y$2:$Y$225,MATCH($A79,Scores!$A$2:$A$225,0)),""))</f>
        <v>#DIV/0!</v>
      </c>
    </row>
    <row r="80" spans="1:19">
      <c r="A80" s="12" t="e">
        <f>IF(INT((75)/Setup!$B$13)+1&lt;=Setup!$B$5,INDEX(Scores!$A$2:$A$225,2+(INT((75)/Setup!$B$13)+1-1)*28+(MOD(75,Setup!$B$13)+1-1)-1),"")</f>
        <v>#DIV/0!</v>
      </c>
      <c r="B80" s="12" t="e">
        <f>IF(INT((75)/Setup!$B$13)+1&lt;=Setup!$B$5,CHAR(64+INT((75)/Setup!$B$13)+1),"")</f>
        <v>#DIV/0!</v>
      </c>
      <c r="C80" s="12" t="e">
        <f>IF(INT((75)/Setup!$B$13)+1&lt;=Setup!$B$5,INDEX(Scores!$E$2:$E$225,2+(INT((75)/Setup!$B$13)+1-1)*28+(MOD(75,Setup!$B$13)+1-1)-1),"")</f>
        <v>#DIV/0!</v>
      </c>
      <c r="D80" s="12" t="e">
        <f>IF(INT((75)/Setup!$B$13)+1&lt;=Setup!$B$5,INDEX(Scores!$G$2:$G$225,2+(INT((75)/Setup!$B$13)+1-1)*28+(MOD(75,Setup!$B$13)+1-1)-1),"")</f>
        <v>#DIV/0!</v>
      </c>
      <c r="E80" s="12" t="e">
        <f>IF(INT((75)/Setup!$B$13)+1&lt;=Setup!$B$5,INDEX(Scores!$I$2:$I$225,2+(INT((75)/Setup!$B$13)+1-1)*28+(MOD(75,Setup!$B$13)+1-1)-1),"")</f>
        <v>#DIV/0!</v>
      </c>
      <c r="F80" s="66"/>
      <c r="G80" s="67"/>
      <c r="H80" s="66"/>
      <c r="I80" s="67"/>
      <c r="J80" s="66"/>
      <c r="K80" s="67"/>
      <c r="L80" s="66"/>
      <c r="M80" s="67"/>
      <c r="N80" s="66"/>
      <c r="O80" s="67"/>
      <c r="P80" s="6" t="e">
        <f>IF($A80="","",IFERROR(INDEX(Scores!$T$2:$T$225,MATCH($A80,Scores!$A$2:$A$225,0)),""))</f>
        <v>#DIV/0!</v>
      </c>
      <c r="Q80" s="6" t="e">
        <f>IF($A80="","",IFERROR(INDEX(Scores!$U$2:$U$225,MATCH($A80,Scores!$A$2:$A$225,0)),""))</f>
        <v>#DIV/0!</v>
      </c>
      <c r="R80" s="12" t="e">
        <f>IF($A80="","",IF(IFERROR(INDEX(Scores!$X$2:$X$225,MATCH($A80,Scores!$A$2:$A$225,0)),0)=1,"Complete","Waiting"))</f>
        <v>#DIV/0!</v>
      </c>
      <c r="S80" s="12" t="e">
        <f>IF($A80="","",IFERROR(INDEX(Scores!$Y$2:$Y$225,MATCH($A80,Scores!$A$2:$A$225,0)),""))</f>
        <v>#DIV/0!</v>
      </c>
    </row>
    <row r="81" spans="1:19">
      <c r="A81" s="12" t="e">
        <f>IF(INT((76)/Setup!$B$13)+1&lt;=Setup!$B$5,INDEX(Scores!$A$2:$A$225,2+(INT((76)/Setup!$B$13)+1-1)*28+(MOD(76,Setup!$B$13)+1-1)-1),"")</f>
        <v>#DIV/0!</v>
      </c>
      <c r="B81" s="12" t="e">
        <f>IF(INT((76)/Setup!$B$13)+1&lt;=Setup!$B$5,CHAR(64+INT((76)/Setup!$B$13)+1),"")</f>
        <v>#DIV/0!</v>
      </c>
      <c r="C81" s="12" t="e">
        <f>IF(INT((76)/Setup!$B$13)+1&lt;=Setup!$B$5,INDEX(Scores!$E$2:$E$225,2+(INT((76)/Setup!$B$13)+1-1)*28+(MOD(76,Setup!$B$13)+1-1)-1),"")</f>
        <v>#DIV/0!</v>
      </c>
      <c r="D81" s="12" t="e">
        <f>IF(INT((76)/Setup!$B$13)+1&lt;=Setup!$B$5,INDEX(Scores!$G$2:$G$225,2+(INT((76)/Setup!$B$13)+1-1)*28+(MOD(76,Setup!$B$13)+1-1)-1),"")</f>
        <v>#DIV/0!</v>
      </c>
      <c r="E81" s="12" t="e">
        <f>IF(INT((76)/Setup!$B$13)+1&lt;=Setup!$B$5,INDEX(Scores!$I$2:$I$225,2+(INT((76)/Setup!$B$13)+1-1)*28+(MOD(76,Setup!$B$13)+1-1)-1),"")</f>
        <v>#DIV/0!</v>
      </c>
      <c r="F81" s="66"/>
      <c r="G81" s="67"/>
      <c r="H81" s="66"/>
      <c r="I81" s="67"/>
      <c r="J81" s="66"/>
      <c r="K81" s="67"/>
      <c r="L81" s="66"/>
      <c r="M81" s="67"/>
      <c r="N81" s="66"/>
      <c r="O81" s="67"/>
      <c r="P81" s="6" t="e">
        <f>IF($A81="","",IFERROR(INDEX(Scores!$T$2:$T$225,MATCH($A81,Scores!$A$2:$A$225,0)),""))</f>
        <v>#DIV/0!</v>
      </c>
      <c r="Q81" s="6" t="e">
        <f>IF($A81="","",IFERROR(INDEX(Scores!$U$2:$U$225,MATCH($A81,Scores!$A$2:$A$225,0)),""))</f>
        <v>#DIV/0!</v>
      </c>
      <c r="R81" s="12" t="e">
        <f>IF($A81="","",IF(IFERROR(INDEX(Scores!$X$2:$X$225,MATCH($A81,Scores!$A$2:$A$225,0)),0)=1,"Complete","Waiting"))</f>
        <v>#DIV/0!</v>
      </c>
      <c r="S81" s="12" t="e">
        <f>IF($A81="","",IFERROR(INDEX(Scores!$Y$2:$Y$225,MATCH($A81,Scores!$A$2:$A$225,0)),""))</f>
        <v>#DIV/0!</v>
      </c>
    </row>
    <row r="82" spans="1:19">
      <c r="A82" s="12" t="e">
        <f>IF(INT((77)/Setup!$B$13)+1&lt;=Setup!$B$5,INDEX(Scores!$A$2:$A$225,2+(INT((77)/Setup!$B$13)+1-1)*28+(MOD(77,Setup!$B$13)+1-1)-1),"")</f>
        <v>#DIV/0!</v>
      </c>
      <c r="B82" s="12" t="e">
        <f>IF(INT((77)/Setup!$B$13)+1&lt;=Setup!$B$5,CHAR(64+INT((77)/Setup!$B$13)+1),"")</f>
        <v>#DIV/0!</v>
      </c>
      <c r="C82" s="12" t="e">
        <f>IF(INT((77)/Setup!$B$13)+1&lt;=Setup!$B$5,INDEX(Scores!$E$2:$E$225,2+(INT((77)/Setup!$B$13)+1-1)*28+(MOD(77,Setup!$B$13)+1-1)-1),"")</f>
        <v>#DIV/0!</v>
      </c>
      <c r="D82" s="12" t="e">
        <f>IF(INT((77)/Setup!$B$13)+1&lt;=Setup!$B$5,INDEX(Scores!$G$2:$G$225,2+(INT((77)/Setup!$B$13)+1-1)*28+(MOD(77,Setup!$B$13)+1-1)-1),"")</f>
        <v>#DIV/0!</v>
      </c>
      <c r="E82" s="12" t="e">
        <f>IF(INT((77)/Setup!$B$13)+1&lt;=Setup!$B$5,INDEX(Scores!$I$2:$I$225,2+(INT((77)/Setup!$B$13)+1-1)*28+(MOD(77,Setup!$B$13)+1-1)-1),"")</f>
        <v>#DIV/0!</v>
      </c>
      <c r="F82" s="66"/>
      <c r="G82" s="67"/>
      <c r="H82" s="66"/>
      <c r="I82" s="67"/>
      <c r="J82" s="66"/>
      <c r="K82" s="67"/>
      <c r="L82" s="66"/>
      <c r="M82" s="67"/>
      <c r="N82" s="66"/>
      <c r="O82" s="67"/>
      <c r="P82" s="6" t="e">
        <f>IF($A82="","",IFERROR(INDEX(Scores!$T$2:$T$225,MATCH($A82,Scores!$A$2:$A$225,0)),""))</f>
        <v>#DIV/0!</v>
      </c>
      <c r="Q82" s="6" t="e">
        <f>IF($A82="","",IFERROR(INDEX(Scores!$U$2:$U$225,MATCH($A82,Scores!$A$2:$A$225,0)),""))</f>
        <v>#DIV/0!</v>
      </c>
      <c r="R82" s="12" t="e">
        <f>IF($A82="","",IF(IFERROR(INDEX(Scores!$X$2:$X$225,MATCH($A82,Scores!$A$2:$A$225,0)),0)=1,"Complete","Waiting"))</f>
        <v>#DIV/0!</v>
      </c>
      <c r="S82" s="12" t="e">
        <f>IF($A82="","",IFERROR(INDEX(Scores!$Y$2:$Y$225,MATCH($A82,Scores!$A$2:$A$225,0)),""))</f>
        <v>#DIV/0!</v>
      </c>
    </row>
    <row r="83" spans="1:19">
      <c r="A83" s="12" t="e">
        <f>IF(INT((78)/Setup!$B$13)+1&lt;=Setup!$B$5,INDEX(Scores!$A$2:$A$225,2+(INT((78)/Setup!$B$13)+1-1)*28+(MOD(78,Setup!$B$13)+1-1)-1),"")</f>
        <v>#DIV/0!</v>
      </c>
      <c r="B83" s="12" t="e">
        <f>IF(INT((78)/Setup!$B$13)+1&lt;=Setup!$B$5,CHAR(64+INT((78)/Setup!$B$13)+1),"")</f>
        <v>#DIV/0!</v>
      </c>
      <c r="C83" s="12" t="e">
        <f>IF(INT((78)/Setup!$B$13)+1&lt;=Setup!$B$5,INDEX(Scores!$E$2:$E$225,2+(INT((78)/Setup!$B$13)+1-1)*28+(MOD(78,Setup!$B$13)+1-1)-1),"")</f>
        <v>#DIV/0!</v>
      </c>
      <c r="D83" s="12" t="e">
        <f>IF(INT((78)/Setup!$B$13)+1&lt;=Setup!$B$5,INDEX(Scores!$G$2:$G$225,2+(INT((78)/Setup!$B$13)+1-1)*28+(MOD(78,Setup!$B$13)+1-1)-1),"")</f>
        <v>#DIV/0!</v>
      </c>
      <c r="E83" s="12" t="e">
        <f>IF(INT((78)/Setup!$B$13)+1&lt;=Setup!$B$5,INDEX(Scores!$I$2:$I$225,2+(INT((78)/Setup!$B$13)+1-1)*28+(MOD(78,Setup!$B$13)+1-1)-1),"")</f>
        <v>#DIV/0!</v>
      </c>
      <c r="F83" s="66"/>
      <c r="G83" s="67"/>
      <c r="H83" s="66"/>
      <c r="I83" s="67"/>
      <c r="J83" s="66"/>
      <c r="K83" s="67"/>
      <c r="L83" s="66"/>
      <c r="M83" s="67"/>
      <c r="N83" s="66"/>
      <c r="O83" s="67"/>
      <c r="P83" s="6" t="e">
        <f>IF($A83="","",IFERROR(INDEX(Scores!$T$2:$T$225,MATCH($A83,Scores!$A$2:$A$225,0)),""))</f>
        <v>#DIV/0!</v>
      </c>
      <c r="Q83" s="6" t="e">
        <f>IF($A83="","",IFERROR(INDEX(Scores!$U$2:$U$225,MATCH($A83,Scores!$A$2:$A$225,0)),""))</f>
        <v>#DIV/0!</v>
      </c>
      <c r="R83" s="12" t="e">
        <f>IF($A83="","",IF(IFERROR(INDEX(Scores!$X$2:$X$225,MATCH($A83,Scores!$A$2:$A$225,0)),0)=1,"Complete","Waiting"))</f>
        <v>#DIV/0!</v>
      </c>
      <c r="S83" s="12" t="e">
        <f>IF($A83="","",IFERROR(INDEX(Scores!$Y$2:$Y$225,MATCH($A83,Scores!$A$2:$A$225,0)),""))</f>
        <v>#DIV/0!</v>
      </c>
    </row>
    <row r="84" spans="1:19">
      <c r="A84" s="12" t="e">
        <f>IF(INT((79)/Setup!$B$13)+1&lt;=Setup!$B$5,INDEX(Scores!$A$2:$A$225,2+(INT((79)/Setup!$B$13)+1-1)*28+(MOD(79,Setup!$B$13)+1-1)-1),"")</f>
        <v>#DIV/0!</v>
      </c>
      <c r="B84" s="12" t="e">
        <f>IF(INT((79)/Setup!$B$13)+1&lt;=Setup!$B$5,CHAR(64+INT((79)/Setup!$B$13)+1),"")</f>
        <v>#DIV/0!</v>
      </c>
      <c r="C84" s="12" t="e">
        <f>IF(INT((79)/Setup!$B$13)+1&lt;=Setup!$B$5,INDEX(Scores!$E$2:$E$225,2+(INT((79)/Setup!$B$13)+1-1)*28+(MOD(79,Setup!$B$13)+1-1)-1),"")</f>
        <v>#DIV/0!</v>
      </c>
      <c r="D84" s="12" t="e">
        <f>IF(INT((79)/Setup!$B$13)+1&lt;=Setup!$B$5,INDEX(Scores!$G$2:$G$225,2+(INT((79)/Setup!$B$13)+1-1)*28+(MOD(79,Setup!$B$13)+1-1)-1),"")</f>
        <v>#DIV/0!</v>
      </c>
      <c r="E84" s="12" t="e">
        <f>IF(INT((79)/Setup!$B$13)+1&lt;=Setup!$B$5,INDEX(Scores!$I$2:$I$225,2+(INT((79)/Setup!$B$13)+1-1)*28+(MOD(79,Setup!$B$13)+1-1)-1),"")</f>
        <v>#DIV/0!</v>
      </c>
      <c r="F84" s="66"/>
      <c r="G84" s="67"/>
      <c r="H84" s="66"/>
      <c r="I84" s="67"/>
      <c r="J84" s="66"/>
      <c r="K84" s="67"/>
      <c r="L84" s="66"/>
      <c r="M84" s="67"/>
      <c r="N84" s="66"/>
      <c r="O84" s="67"/>
      <c r="P84" s="6" t="e">
        <f>IF($A84="","",IFERROR(INDEX(Scores!$T$2:$T$225,MATCH($A84,Scores!$A$2:$A$225,0)),""))</f>
        <v>#DIV/0!</v>
      </c>
      <c r="Q84" s="6" t="e">
        <f>IF($A84="","",IFERROR(INDEX(Scores!$U$2:$U$225,MATCH($A84,Scores!$A$2:$A$225,0)),""))</f>
        <v>#DIV/0!</v>
      </c>
      <c r="R84" s="12" t="e">
        <f>IF($A84="","",IF(IFERROR(INDEX(Scores!$X$2:$X$225,MATCH($A84,Scores!$A$2:$A$225,0)),0)=1,"Complete","Waiting"))</f>
        <v>#DIV/0!</v>
      </c>
      <c r="S84" s="12" t="e">
        <f>IF($A84="","",IFERROR(INDEX(Scores!$Y$2:$Y$225,MATCH($A84,Scores!$A$2:$A$225,0)),""))</f>
        <v>#DIV/0!</v>
      </c>
    </row>
    <row r="85" spans="1:19">
      <c r="A85" s="12" t="e">
        <f>IF(INT((80)/Setup!$B$13)+1&lt;=Setup!$B$5,INDEX(Scores!$A$2:$A$225,2+(INT((80)/Setup!$B$13)+1-1)*28+(MOD(80,Setup!$B$13)+1-1)-1),"")</f>
        <v>#DIV/0!</v>
      </c>
      <c r="B85" s="12" t="e">
        <f>IF(INT((80)/Setup!$B$13)+1&lt;=Setup!$B$5,CHAR(64+INT((80)/Setup!$B$13)+1),"")</f>
        <v>#DIV/0!</v>
      </c>
      <c r="C85" s="12" t="e">
        <f>IF(INT((80)/Setup!$B$13)+1&lt;=Setup!$B$5,INDEX(Scores!$E$2:$E$225,2+(INT((80)/Setup!$B$13)+1-1)*28+(MOD(80,Setup!$B$13)+1-1)-1),"")</f>
        <v>#DIV/0!</v>
      </c>
      <c r="D85" s="12" t="e">
        <f>IF(INT((80)/Setup!$B$13)+1&lt;=Setup!$B$5,INDEX(Scores!$G$2:$G$225,2+(INT((80)/Setup!$B$13)+1-1)*28+(MOD(80,Setup!$B$13)+1-1)-1),"")</f>
        <v>#DIV/0!</v>
      </c>
      <c r="E85" s="12" t="e">
        <f>IF(INT((80)/Setup!$B$13)+1&lt;=Setup!$B$5,INDEX(Scores!$I$2:$I$225,2+(INT((80)/Setup!$B$13)+1-1)*28+(MOD(80,Setup!$B$13)+1-1)-1),"")</f>
        <v>#DIV/0!</v>
      </c>
      <c r="F85" s="66"/>
      <c r="G85" s="67"/>
      <c r="H85" s="66"/>
      <c r="I85" s="67"/>
      <c r="J85" s="66"/>
      <c r="K85" s="67"/>
      <c r="L85" s="66"/>
      <c r="M85" s="67"/>
      <c r="N85" s="66"/>
      <c r="O85" s="67"/>
      <c r="P85" s="6" t="e">
        <f>IF($A85="","",IFERROR(INDEX(Scores!$T$2:$T$225,MATCH($A85,Scores!$A$2:$A$225,0)),""))</f>
        <v>#DIV/0!</v>
      </c>
      <c r="Q85" s="6" t="e">
        <f>IF($A85="","",IFERROR(INDEX(Scores!$U$2:$U$225,MATCH($A85,Scores!$A$2:$A$225,0)),""))</f>
        <v>#DIV/0!</v>
      </c>
      <c r="R85" s="12" t="e">
        <f>IF($A85="","",IF(IFERROR(INDEX(Scores!$X$2:$X$225,MATCH($A85,Scores!$A$2:$A$225,0)),0)=1,"Complete","Waiting"))</f>
        <v>#DIV/0!</v>
      </c>
      <c r="S85" s="12" t="e">
        <f>IF($A85="","",IFERROR(INDEX(Scores!$Y$2:$Y$225,MATCH($A85,Scores!$A$2:$A$225,0)),""))</f>
        <v>#DIV/0!</v>
      </c>
    </row>
    <row r="86" spans="1:19">
      <c r="A86" s="12" t="e">
        <f>IF(INT((81)/Setup!$B$13)+1&lt;=Setup!$B$5,INDEX(Scores!$A$2:$A$225,2+(INT((81)/Setup!$B$13)+1-1)*28+(MOD(81,Setup!$B$13)+1-1)-1),"")</f>
        <v>#DIV/0!</v>
      </c>
      <c r="B86" s="12" t="e">
        <f>IF(INT((81)/Setup!$B$13)+1&lt;=Setup!$B$5,CHAR(64+INT((81)/Setup!$B$13)+1),"")</f>
        <v>#DIV/0!</v>
      </c>
      <c r="C86" s="12" t="e">
        <f>IF(INT((81)/Setup!$B$13)+1&lt;=Setup!$B$5,INDEX(Scores!$E$2:$E$225,2+(INT((81)/Setup!$B$13)+1-1)*28+(MOD(81,Setup!$B$13)+1-1)-1),"")</f>
        <v>#DIV/0!</v>
      </c>
      <c r="D86" s="12" t="e">
        <f>IF(INT((81)/Setup!$B$13)+1&lt;=Setup!$B$5,INDEX(Scores!$G$2:$G$225,2+(INT((81)/Setup!$B$13)+1-1)*28+(MOD(81,Setup!$B$13)+1-1)-1),"")</f>
        <v>#DIV/0!</v>
      </c>
      <c r="E86" s="12" t="e">
        <f>IF(INT((81)/Setup!$B$13)+1&lt;=Setup!$B$5,INDEX(Scores!$I$2:$I$225,2+(INT((81)/Setup!$B$13)+1-1)*28+(MOD(81,Setup!$B$13)+1-1)-1),"")</f>
        <v>#DIV/0!</v>
      </c>
      <c r="F86" s="66"/>
      <c r="G86" s="67"/>
      <c r="H86" s="66"/>
      <c r="I86" s="67"/>
      <c r="J86" s="66"/>
      <c r="K86" s="67"/>
      <c r="L86" s="66"/>
      <c r="M86" s="67"/>
      <c r="N86" s="66"/>
      <c r="O86" s="67"/>
      <c r="P86" s="6" t="e">
        <f>IF($A86="","",IFERROR(INDEX(Scores!$T$2:$T$225,MATCH($A86,Scores!$A$2:$A$225,0)),""))</f>
        <v>#DIV/0!</v>
      </c>
      <c r="Q86" s="6" t="e">
        <f>IF($A86="","",IFERROR(INDEX(Scores!$U$2:$U$225,MATCH($A86,Scores!$A$2:$A$225,0)),""))</f>
        <v>#DIV/0!</v>
      </c>
      <c r="R86" s="12" t="e">
        <f>IF($A86="","",IF(IFERROR(INDEX(Scores!$X$2:$X$225,MATCH($A86,Scores!$A$2:$A$225,0)),0)=1,"Complete","Waiting"))</f>
        <v>#DIV/0!</v>
      </c>
      <c r="S86" s="12" t="e">
        <f>IF($A86="","",IFERROR(INDEX(Scores!$Y$2:$Y$225,MATCH($A86,Scores!$A$2:$A$225,0)),""))</f>
        <v>#DIV/0!</v>
      </c>
    </row>
    <row r="87" spans="1:19">
      <c r="A87" s="12" t="e">
        <f>IF(INT((82)/Setup!$B$13)+1&lt;=Setup!$B$5,INDEX(Scores!$A$2:$A$225,2+(INT((82)/Setup!$B$13)+1-1)*28+(MOD(82,Setup!$B$13)+1-1)-1),"")</f>
        <v>#DIV/0!</v>
      </c>
      <c r="B87" s="12" t="e">
        <f>IF(INT((82)/Setup!$B$13)+1&lt;=Setup!$B$5,CHAR(64+INT((82)/Setup!$B$13)+1),"")</f>
        <v>#DIV/0!</v>
      </c>
      <c r="C87" s="12" t="e">
        <f>IF(INT((82)/Setup!$B$13)+1&lt;=Setup!$B$5,INDEX(Scores!$E$2:$E$225,2+(INT((82)/Setup!$B$13)+1-1)*28+(MOD(82,Setup!$B$13)+1-1)-1),"")</f>
        <v>#DIV/0!</v>
      </c>
      <c r="D87" s="12" t="e">
        <f>IF(INT((82)/Setup!$B$13)+1&lt;=Setup!$B$5,INDEX(Scores!$G$2:$G$225,2+(INT((82)/Setup!$B$13)+1-1)*28+(MOD(82,Setup!$B$13)+1-1)-1),"")</f>
        <v>#DIV/0!</v>
      </c>
      <c r="E87" s="12" t="e">
        <f>IF(INT((82)/Setup!$B$13)+1&lt;=Setup!$B$5,INDEX(Scores!$I$2:$I$225,2+(INT((82)/Setup!$B$13)+1-1)*28+(MOD(82,Setup!$B$13)+1-1)-1),"")</f>
        <v>#DIV/0!</v>
      </c>
      <c r="F87" s="66"/>
      <c r="G87" s="67"/>
      <c r="H87" s="66"/>
      <c r="I87" s="67"/>
      <c r="J87" s="66"/>
      <c r="K87" s="67"/>
      <c r="L87" s="66"/>
      <c r="M87" s="67"/>
      <c r="N87" s="66"/>
      <c r="O87" s="67"/>
      <c r="P87" s="6" t="e">
        <f>IF($A87="","",IFERROR(INDEX(Scores!$T$2:$T$225,MATCH($A87,Scores!$A$2:$A$225,0)),""))</f>
        <v>#DIV/0!</v>
      </c>
      <c r="Q87" s="6" t="e">
        <f>IF($A87="","",IFERROR(INDEX(Scores!$U$2:$U$225,MATCH($A87,Scores!$A$2:$A$225,0)),""))</f>
        <v>#DIV/0!</v>
      </c>
      <c r="R87" s="12" t="e">
        <f>IF($A87="","",IF(IFERROR(INDEX(Scores!$X$2:$X$225,MATCH($A87,Scores!$A$2:$A$225,0)),0)=1,"Complete","Waiting"))</f>
        <v>#DIV/0!</v>
      </c>
      <c r="S87" s="12" t="e">
        <f>IF($A87="","",IFERROR(INDEX(Scores!$Y$2:$Y$225,MATCH($A87,Scores!$A$2:$A$225,0)),""))</f>
        <v>#DIV/0!</v>
      </c>
    </row>
    <row r="88" spans="1:19">
      <c r="A88" s="12" t="e">
        <f>IF(INT((83)/Setup!$B$13)+1&lt;=Setup!$B$5,INDEX(Scores!$A$2:$A$225,2+(INT((83)/Setup!$B$13)+1-1)*28+(MOD(83,Setup!$B$13)+1-1)-1),"")</f>
        <v>#DIV/0!</v>
      </c>
      <c r="B88" s="12" t="e">
        <f>IF(INT((83)/Setup!$B$13)+1&lt;=Setup!$B$5,CHAR(64+INT((83)/Setup!$B$13)+1),"")</f>
        <v>#DIV/0!</v>
      </c>
      <c r="C88" s="12" t="e">
        <f>IF(INT((83)/Setup!$B$13)+1&lt;=Setup!$B$5,INDEX(Scores!$E$2:$E$225,2+(INT((83)/Setup!$B$13)+1-1)*28+(MOD(83,Setup!$B$13)+1-1)-1),"")</f>
        <v>#DIV/0!</v>
      </c>
      <c r="D88" s="12" t="e">
        <f>IF(INT((83)/Setup!$B$13)+1&lt;=Setup!$B$5,INDEX(Scores!$G$2:$G$225,2+(INT((83)/Setup!$B$13)+1-1)*28+(MOD(83,Setup!$B$13)+1-1)-1),"")</f>
        <v>#DIV/0!</v>
      </c>
      <c r="E88" s="12" t="e">
        <f>IF(INT((83)/Setup!$B$13)+1&lt;=Setup!$B$5,INDEX(Scores!$I$2:$I$225,2+(INT((83)/Setup!$B$13)+1-1)*28+(MOD(83,Setup!$B$13)+1-1)-1),"")</f>
        <v>#DIV/0!</v>
      </c>
      <c r="F88" s="66"/>
      <c r="G88" s="67"/>
      <c r="H88" s="66"/>
      <c r="I88" s="67"/>
      <c r="J88" s="66"/>
      <c r="K88" s="67"/>
      <c r="L88" s="66"/>
      <c r="M88" s="67"/>
      <c r="N88" s="66"/>
      <c r="O88" s="67"/>
      <c r="P88" s="6" t="e">
        <f>IF($A88="","",IFERROR(INDEX(Scores!$T$2:$T$225,MATCH($A88,Scores!$A$2:$A$225,0)),""))</f>
        <v>#DIV/0!</v>
      </c>
      <c r="Q88" s="6" t="e">
        <f>IF($A88="","",IFERROR(INDEX(Scores!$U$2:$U$225,MATCH($A88,Scores!$A$2:$A$225,0)),""))</f>
        <v>#DIV/0!</v>
      </c>
      <c r="R88" s="12" t="e">
        <f>IF($A88="","",IF(IFERROR(INDEX(Scores!$X$2:$X$225,MATCH($A88,Scores!$A$2:$A$225,0)),0)=1,"Complete","Waiting"))</f>
        <v>#DIV/0!</v>
      </c>
      <c r="S88" s="12" t="e">
        <f>IF($A88="","",IFERROR(INDEX(Scores!$Y$2:$Y$225,MATCH($A88,Scores!$A$2:$A$225,0)),""))</f>
        <v>#DIV/0!</v>
      </c>
    </row>
    <row r="89" spans="1:19">
      <c r="A89" s="12" t="e">
        <f>IF(INT((84)/Setup!$B$13)+1&lt;=Setup!$B$5,INDEX(Scores!$A$2:$A$225,2+(INT((84)/Setup!$B$13)+1-1)*28+(MOD(84,Setup!$B$13)+1-1)-1),"")</f>
        <v>#DIV/0!</v>
      </c>
      <c r="B89" s="12" t="e">
        <f>IF(INT((84)/Setup!$B$13)+1&lt;=Setup!$B$5,CHAR(64+INT((84)/Setup!$B$13)+1),"")</f>
        <v>#DIV/0!</v>
      </c>
      <c r="C89" s="12" t="e">
        <f>IF(INT((84)/Setup!$B$13)+1&lt;=Setup!$B$5,INDEX(Scores!$E$2:$E$225,2+(INT((84)/Setup!$B$13)+1-1)*28+(MOD(84,Setup!$B$13)+1-1)-1),"")</f>
        <v>#DIV/0!</v>
      </c>
      <c r="D89" s="12" t="e">
        <f>IF(INT((84)/Setup!$B$13)+1&lt;=Setup!$B$5,INDEX(Scores!$G$2:$G$225,2+(INT((84)/Setup!$B$13)+1-1)*28+(MOD(84,Setup!$B$13)+1-1)-1),"")</f>
        <v>#DIV/0!</v>
      </c>
      <c r="E89" s="12" t="e">
        <f>IF(INT((84)/Setup!$B$13)+1&lt;=Setup!$B$5,INDEX(Scores!$I$2:$I$225,2+(INT((84)/Setup!$B$13)+1-1)*28+(MOD(84,Setup!$B$13)+1-1)-1),"")</f>
        <v>#DIV/0!</v>
      </c>
      <c r="F89" s="66"/>
      <c r="G89" s="67"/>
      <c r="H89" s="66"/>
      <c r="I89" s="67"/>
      <c r="J89" s="66"/>
      <c r="K89" s="67"/>
      <c r="L89" s="66"/>
      <c r="M89" s="67"/>
      <c r="N89" s="66"/>
      <c r="O89" s="67"/>
      <c r="P89" s="6" t="e">
        <f>IF($A89="","",IFERROR(INDEX(Scores!$T$2:$T$225,MATCH($A89,Scores!$A$2:$A$225,0)),""))</f>
        <v>#DIV/0!</v>
      </c>
      <c r="Q89" s="6" t="e">
        <f>IF($A89="","",IFERROR(INDEX(Scores!$U$2:$U$225,MATCH($A89,Scores!$A$2:$A$225,0)),""))</f>
        <v>#DIV/0!</v>
      </c>
      <c r="R89" s="12" t="e">
        <f>IF($A89="","",IF(IFERROR(INDEX(Scores!$X$2:$X$225,MATCH($A89,Scores!$A$2:$A$225,0)),0)=1,"Complete","Waiting"))</f>
        <v>#DIV/0!</v>
      </c>
      <c r="S89" s="12" t="e">
        <f>IF($A89="","",IFERROR(INDEX(Scores!$Y$2:$Y$225,MATCH($A89,Scores!$A$2:$A$225,0)),""))</f>
        <v>#DIV/0!</v>
      </c>
    </row>
    <row r="90" spans="1:19">
      <c r="A90" s="12" t="e">
        <f>IF(INT((85)/Setup!$B$13)+1&lt;=Setup!$B$5,INDEX(Scores!$A$2:$A$225,2+(INT((85)/Setup!$B$13)+1-1)*28+(MOD(85,Setup!$B$13)+1-1)-1),"")</f>
        <v>#DIV/0!</v>
      </c>
      <c r="B90" s="12" t="e">
        <f>IF(INT((85)/Setup!$B$13)+1&lt;=Setup!$B$5,CHAR(64+INT((85)/Setup!$B$13)+1),"")</f>
        <v>#DIV/0!</v>
      </c>
      <c r="C90" s="12" t="e">
        <f>IF(INT((85)/Setup!$B$13)+1&lt;=Setup!$B$5,INDEX(Scores!$E$2:$E$225,2+(INT((85)/Setup!$B$13)+1-1)*28+(MOD(85,Setup!$B$13)+1-1)-1),"")</f>
        <v>#DIV/0!</v>
      </c>
      <c r="D90" s="12" t="e">
        <f>IF(INT((85)/Setup!$B$13)+1&lt;=Setup!$B$5,INDEX(Scores!$G$2:$G$225,2+(INT((85)/Setup!$B$13)+1-1)*28+(MOD(85,Setup!$B$13)+1-1)-1),"")</f>
        <v>#DIV/0!</v>
      </c>
      <c r="E90" s="12" t="e">
        <f>IF(INT((85)/Setup!$B$13)+1&lt;=Setup!$B$5,INDEX(Scores!$I$2:$I$225,2+(INT((85)/Setup!$B$13)+1-1)*28+(MOD(85,Setup!$B$13)+1-1)-1),"")</f>
        <v>#DIV/0!</v>
      </c>
      <c r="F90" s="66"/>
      <c r="G90" s="67"/>
      <c r="H90" s="66"/>
      <c r="I90" s="67"/>
      <c r="J90" s="66"/>
      <c r="K90" s="67"/>
      <c r="L90" s="66"/>
      <c r="M90" s="67"/>
      <c r="N90" s="66"/>
      <c r="O90" s="67"/>
      <c r="P90" s="6" t="e">
        <f>IF($A90="","",IFERROR(INDEX(Scores!$T$2:$T$225,MATCH($A90,Scores!$A$2:$A$225,0)),""))</f>
        <v>#DIV/0!</v>
      </c>
      <c r="Q90" s="6" t="e">
        <f>IF($A90="","",IFERROR(INDEX(Scores!$U$2:$U$225,MATCH($A90,Scores!$A$2:$A$225,0)),""))</f>
        <v>#DIV/0!</v>
      </c>
      <c r="R90" s="12" t="e">
        <f>IF($A90="","",IF(IFERROR(INDEX(Scores!$X$2:$X$225,MATCH($A90,Scores!$A$2:$A$225,0)),0)=1,"Complete","Waiting"))</f>
        <v>#DIV/0!</v>
      </c>
      <c r="S90" s="12" t="e">
        <f>IF($A90="","",IFERROR(INDEX(Scores!$Y$2:$Y$225,MATCH($A90,Scores!$A$2:$A$225,0)),""))</f>
        <v>#DIV/0!</v>
      </c>
    </row>
    <row r="91" spans="1:19">
      <c r="A91" s="12" t="e">
        <f>IF(INT((86)/Setup!$B$13)+1&lt;=Setup!$B$5,INDEX(Scores!$A$2:$A$225,2+(INT((86)/Setup!$B$13)+1-1)*28+(MOD(86,Setup!$B$13)+1-1)-1),"")</f>
        <v>#DIV/0!</v>
      </c>
      <c r="B91" s="12" t="e">
        <f>IF(INT((86)/Setup!$B$13)+1&lt;=Setup!$B$5,CHAR(64+INT((86)/Setup!$B$13)+1),"")</f>
        <v>#DIV/0!</v>
      </c>
      <c r="C91" s="12" t="e">
        <f>IF(INT((86)/Setup!$B$13)+1&lt;=Setup!$B$5,INDEX(Scores!$E$2:$E$225,2+(INT((86)/Setup!$B$13)+1-1)*28+(MOD(86,Setup!$B$13)+1-1)-1),"")</f>
        <v>#DIV/0!</v>
      </c>
      <c r="D91" s="12" t="e">
        <f>IF(INT((86)/Setup!$B$13)+1&lt;=Setup!$B$5,INDEX(Scores!$G$2:$G$225,2+(INT((86)/Setup!$B$13)+1-1)*28+(MOD(86,Setup!$B$13)+1-1)-1),"")</f>
        <v>#DIV/0!</v>
      </c>
      <c r="E91" s="12" t="e">
        <f>IF(INT((86)/Setup!$B$13)+1&lt;=Setup!$B$5,INDEX(Scores!$I$2:$I$225,2+(INT((86)/Setup!$B$13)+1-1)*28+(MOD(86,Setup!$B$13)+1-1)-1),"")</f>
        <v>#DIV/0!</v>
      </c>
      <c r="F91" s="66"/>
      <c r="G91" s="67"/>
      <c r="H91" s="66"/>
      <c r="I91" s="67"/>
      <c r="J91" s="66"/>
      <c r="K91" s="67"/>
      <c r="L91" s="66"/>
      <c r="M91" s="67"/>
      <c r="N91" s="66"/>
      <c r="O91" s="67"/>
      <c r="P91" s="6" t="e">
        <f>IF($A91="","",IFERROR(INDEX(Scores!$T$2:$T$225,MATCH($A91,Scores!$A$2:$A$225,0)),""))</f>
        <v>#DIV/0!</v>
      </c>
      <c r="Q91" s="6" t="e">
        <f>IF($A91="","",IFERROR(INDEX(Scores!$U$2:$U$225,MATCH($A91,Scores!$A$2:$A$225,0)),""))</f>
        <v>#DIV/0!</v>
      </c>
      <c r="R91" s="12" t="e">
        <f>IF($A91="","",IF(IFERROR(INDEX(Scores!$X$2:$X$225,MATCH($A91,Scores!$A$2:$A$225,0)),0)=1,"Complete","Waiting"))</f>
        <v>#DIV/0!</v>
      </c>
      <c r="S91" s="12" t="e">
        <f>IF($A91="","",IFERROR(INDEX(Scores!$Y$2:$Y$225,MATCH($A91,Scores!$A$2:$A$225,0)),""))</f>
        <v>#DIV/0!</v>
      </c>
    </row>
    <row r="92" spans="1:19">
      <c r="A92" s="12" t="e">
        <f>IF(INT((87)/Setup!$B$13)+1&lt;=Setup!$B$5,INDEX(Scores!$A$2:$A$225,2+(INT((87)/Setup!$B$13)+1-1)*28+(MOD(87,Setup!$B$13)+1-1)-1),"")</f>
        <v>#DIV/0!</v>
      </c>
      <c r="B92" s="12" t="e">
        <f>IF(INT((87)/Setup!$B$13)+1&lt;=Setup!$B$5,CHAR(64+INT((87)/Setup!$B$13)+1),"")</f>
        <v>#DIV/0!</v>
      </c>
      <c r="C92" s="12" t="e">
        <f>IF(INT((87)/Setup!$B$13)+1&lt;=Setup!$B$5,INDEX(Scores!$E$2:$E$225,2+(INT((87)/Setup!$B$13)+1-1)*28+(MOD(87,Setup!$B$13)+1-1)-1),"")</f>
        <v>#DIV/0!</v>
      </c>
      <c r="D92" s="12" t="e">
        <f>IF(INT((87)/Setup!$B$13)+1&lt;=Setup!$B$5,INDEX(Scores!$G$2:$G$225,2+(INT((87)/Setup!$B$13)+1-1)*28+(MOD(87,Setup!$B$13)+1-1)-1),"")</f>
        <v>#DIV/0!</v>
      </c>
      <c r="E92" s="12" t="e">
        <f>IF(INT((87)/Setup!$B$13)+1&lt;=Setup!$B$5,INDEX(Scores!$I$2:$I$225,2+(INT((87)/Setup!$B$13)+1-1)*28+(MOD(87,Setup!$B$13)+1-1)-1),"")</f>
        <v>#DIV/0!</v>
      </c>
      <c r="F92" s="66"/>
      <c r="G92" s="67"/>
      <c r="H92" s="66"/>
      <c r="I92" s="67"/>
      <c r="J92" s="66"/>
      <c r="K92" s="67"/>
      <c r="L92" s="66"/>
      <c r="M92" s="67"/>
      <c r="N92" s="66"/>
      <c r="O92" s="67"/>
      <c r="P92" s="6" t="e">
        <f>IF($A92="","",IFERROR(INDEX(Scores!$T$2:$T$225,MATCH($A92,Scores!$A$2:$A$225,0)),""))</f>
        <v>#DIV/0!</v>
      </c>
      <c r="Q92" s="6" t="e">
        <f>IF($A92="","",IFERROR(INDEX(Scores!$U$2:$U$225,MATCH($A92,Scores!$A$2:$A$225,0)),""))</f>
        <v>#DIV/0!</v>
      </c>
      <c r="R92" s="12" t="e">
        <f>IF($A92="","",IF(IFERROR(INDEX(Scores!$X$2:$X$225,MATCH($A92,Scores!$A$2:$A$225,0)),0)=1,"Complete","Waiting"))</f>
        <v>#DIV/0!</v>
      </c>
      <c r="S92" s="12" t="e">
        <f>IF($A92="","",IFERROR(INDEX(Scores!$Y$2:$Y$225,MATCH($A92,Scores!$A$2:$A$225,0)),""))</f>
        <v>#DIV/0!</v>
      </c>
    </row>
    <row r="93" spans="1:19">
      <c r="A93" s="12" t="e">
        <f>IF(INT((88)/Setup!$B$13)+1&lt;=Setup!$B$5,INDEX(Scores!$A$2:$A$225,2+(INT((88)/Setup!$B$13)+1-1)*28+(MOD(88,Setup!$B$13)+1-1)-1),"")</f>
        <v>#DIV/0!</v>
      </c>
      <c r="B93" s="12" t="e">
        <f>IF(INT((88)/Setup!$B$13)+1&lt;=Setup!$B$5,CHAR(64+INT((88)/Setup!$B$13)+1),"")</f>
        <v>#DIV/0!</v>
      </c>
      <c r="C93" s="12" t="e">
        <f>IF(INT((88)/Setup!$B$13)+1&lt;=Setup!$B$5,INDEX(Scores!$E$2:$E$225,2+(INT((88)/Setup!$B$13)+1-1)*28+(MOD(88,Setup!$B$13)+1-1)-1),"")</f>
        <v>#DIV/0!</v>
      </c>
      <c r="D93" s="12" t="e">
        <f>IF(INT((88)/Setup!$B$13)+1&lt;=Setup!$B$5,INDEX(Scores!$G$2:$G$225,2+(INT((88)/Setup!$B$13)+1-1)*28+(MOD(88,Setup!$B$13)+1-1)-1),"")</f>
        <v>#DIV/0!</v>
      </c>
      <c r="E93" s="12" t="e">
        <f>IF(INT((88)/Setup!$B$13)+1&lt;=Setup!$B$5,INDEX(Scores!$I$2:$I$225,2+(INT((88)/Setup!$B$13)+1-1)*28+(MOD(88,Setup!$B$13)+1-1)-1),"")</f>
        <v>#DIV/0!</v>
      </c>
      <c r="F93" s="66"/>
      <c r="G93" s="67"/>
      <c r="H93" s="66"/>
      <c r="I93" s="67"/>
      <c r="J93" s="66"/>
      <c r="K93" s="67"/>
      <c r="L93" s="66"/>
      <c r="M93" s="67"/>
      <c r="N93" s="66"/>
      <c r="O93" s="67"/>
      <c r="P93" s="6" t="e">
        <f>IF($A93="","",IFERROR(INDEX(Scores!$T$2:$T$225,MATCH($A93,Scores!$A$2:$A$225,0)),""))</f>
        <v>#DIV/0!</v>
      </c>
      <c r="Q93" s="6" t="e">
        <f>IF($A93="","",IFERROR(INDEX(Scores!$U$2:$U$225,MATCH($A93,Scores!$A$2:$A$225,0)),""))</f>
        <v>#DIV/0!</v>
      </c>
      <c r="R93" s="12" t="e">
        <f>IF($A93="","",IF(IFERROR(INDEX(Scores!$X$2:$X$225,MATCH($A93,Scores!$A$2:$A$225,0)),0)=1,"Complete","Waiting"))</f>
        <v>#DIV/0!</v>
      </c>
      <c r="S93" s="12" t="e">
        <f>IF($A93="","",IFERROR(INDEX(Scores!$Y$2:$Y$225,MATCH($A93,Scores!$A$2:$A$225,0)),""))</f>
        <v>#DIV/0!</v>
      </c>
    </row>
    <row r="94" spans="1:19">
      <c r="A94" s="12" t="e">
        <f>IF(INT((89)/Setup!$B$13)+1&lt;=Setup!$B$5,INDEX(Scores!$A$2:$A$225,2+(INT((89)/Setup!$B$13)+1-1)*28+(MOD(89,Setup!$B$13)+1-1)-1),"")</f>
        <v>#DIV/0!</v>
      </c>
      <c r="B94" s="12" t="e">
        <f>IF(INT((89)/Setup!$B$13)+1&lt;=Setup!$B$5,CHAR(64+INT((89)/Setup!$B$13)+1),"")</f>
        <v>#DIV/0!</v>
      </c>
      <c r="C94" s="12" t="e">
        <f>IF(INT((89)/Setup!$B$13)+1&lt;=Setup!$B$5,INDEX(Scores!$E$2:$E$225,2+(INT((89)/Setup!$B$13)+1-1)*28+(MOD(89,Setup!$B$13)+1-1)-1),"")</f>
        <v>#DIV/0!</v>
      </c>
      <c r="D94" s="12" t="e">
        <f>IF(INT((89)/Setup!$B$13)+1&lt;=Setup!$B$5,INDEX(Scores!$G$2:$G$225,2+(INT((89)/Setup!$B$13)+1-1)*28+(MOD(89,Setup!$B$13)+1-1)-1),"")</f>
        <v>#DIV/0!</v>
      </c>
      <c r="E94" s="12" t="e">
        <f>IF(INT((89)/Setup!$B$13)+1&lt;=Setup!$B$5,INDEX(Scores!$I$2:$I$225,2+(INT((89)/Setup!$B$13)+1-1)*28+(MOD(89,Setup!$B$13)+1-1)-1),"")</f>
        <v>#DIV/0!</v>
      </c>
      <c r="F94" s="66"/>
      <c r="G94" s="67"/>
      <c r="H94" s="66"/>
      <c r="I94" s="67"/>
      <c r="J94" s="66"/>
      <c r="K94" s="67"/>
      <c r="L94" s="66"/>
      <c r="M94" s="67"/>
      <c r="N94" s="66"/>
      <c r="O94" s="67"/>
      <c r="P94" s="6" t="e">
        <f>IF($A94="","",IFERROR(INDEX(Scores!$T$2:$T$225,MATCH($A94,Scores!$A$2:$A$225,0)),""))</f>
        <v>#DIV/0!</v>
      </c>
      <c r="Q94" s="6" t="e">
        <f>IF($A94="","",IFERROR(INDEX(Scores!$U$2:$U$225,MATCH($A94,Scores!$A$2:$A$225,0)),""))</f>
        <v>#DIV/0!</v>
      </c>
      <c r="R94" s="12" t="e">
        <f>IF($A94="","",IF(IFERROR(INDEX(Scores!$X$2:$X$225,MATCH($A94,Scores!$A$2:$A$225,0)),0)=1,"Complete","Waiting"))</f>
        <v>#DIV/0!</v>
      </c>
      <c r="S94" s="12" t="e">
        <f>IF($A94="","",IFERROR(INDEX(Scores!$Y$2:$Y$225,MATCH($A94,Scores!$A$2:$A$225,0)),""))</f>
        <v>#DIV/0!</v>
      </c>
    </row>
    <row r="95" spans="1:19">
      <c r="A95" s="12" t="e">
        <f>IF(INT((90)/Setup!$B$13)+1&lt;=Setup!$B$5,INDEX(Scores!$A$2:$A$225,2+(INT((90)/Setup!$B$13)+1-1)*28+(MOD(90,Setup!$B$13)+1-1)-1),"")</f>
        <v>#DIV/0!</v>
      </c>
      <c r="B95" s="12" t="e">
        <f>IF(INT((90)/Setup!$B$13)+1&lt;=Setup!$B$5,CHAR(64+INT((90)/Setup!$B$13)+1),"")</f>
        <v>#DIV/0!</v>
      </c>
      <c r="C95" s="12" t="e">
        <f>IF(INT((90)/Setup!$B$13)+1&lt;=Setup!$B$5,INDEX(Scores!$E$2:$E$225,2+(INT((90)/Setup!$B$13)+1-1)*28+(MOD(90,Setup!$B$13)+1-1)-1),"")</f>
        <v>#DIV/0!</v>
      </c>
      <c r="D95" s="12" t="e">
        <f>IF(INT((90)/Setup!$B$13)+1&lt;=Setup!$B$5,INDEX(Scores!$G$2:$G$225,2+(INT((90)/Setup!$B$13)+1-1)*28+(MOD(90,Setup!$B$13)+1-1)-1),"")</f>
        <v>#DIV/0!</v>
      </c>
      <c r="E95" s="12" t="e">
        <f>IF(INT((90)/Setup!$B$13)+1&lt;=Setup!$B$5,INDEX(Scores!$I$2:$I$225,2+(INT((90)/Setup!$B$13)+1-1)*28+(MOD(90,Setup!$B$13)+1-1)-1),"")</f>
        <v>#DIV/0!</v>
      </c>
      <c r="F95" s="66"/>
      <c r="G95" s="67"/>
      <c r="H95" s="66"/>
      <c r="I95" s="67"/>
      <c r="J95" s="66"/>
      <c r="K95" s="67"/>
      <c r="L95" s="66"/>
      <c r="M95" s="67"/>
      <c r="N95" s="66"/>
      <c r="O95" s="67"/>
      <c r="P95" s="6" t="e">
        <f>IF($A95="","",IFERROR(INDEX(Scores!$T$2:$T$225,MATCH($A95,Scores!$A$2:$A$225,0)),""))</f>
        <v>#DIV/0!</v>
      </c>
      <c r="Q95" s="6" t="e">
        <f>IF($A95="","",IFERROR(INDEX(Scores!$U$2:$U$225,MATCH($A95,Scores!$A$2:$A$225,0)),""))</f>
        <v>#DIV/0!</v>
      </c>
      <c r="R95" s="12" t="e">
        <f>IF($A95="","",IF(IFERROR(INDEX(Scores!$X$2:$X$225,MATCH($A95,Scores!$A$2:$A$225,0)),0)=1,"Complete","Waiting"))</f>
        <v>#DIV/0!</v>
      </c>
      <c r="S95" s="12" t="e">
        <f>IF($A95="","",IFERROR(INDEX(Scores!$Y$2:$Y$225,MATCH($A95,Scores!$A$2:$A$225,0)),""))</f>
        <v>#DIV/0!</v>
      </c>
    </row>
    <row r="96" spans="1:19">
      <c r="A96" s="12" t="e">
        <f>IF(INT((91)/Setup!$B$13)+1&lt;=Setup!$B$5,INDEX(Scores!$A$2:$A$225,2+(INT((91)/Setup!$B$13)+1-1)*28+(MOD(91,Setup!$B$13)+1-1)-1),"")</f>
        <v>#DIV/0!</v>
      </c>
      <c r="B96" s="12" t="e">
        <f>IF(INT((91)/Setup!$B$13)+1&lt;=Setup!$B$5,CHAR(64+INT((91)/Setup!$B$13)+1),"")</f>
        <v>#DIV/0!</v>
      </c>
      <c r="C96" s="12" t="e">
        <f>IF(INT((91)/Setup!$B$13)+1&lt;=Setup!$B$5,INDEX(Scores!$E$2:$E$225,2+(INT((91)/Setup!$B$13)+1-1)*28+(MOD(91,Setup!$B$13)+1-1)-1),"")</f>
        <v>#DIV/0!</v>
      </c>
      <c r="D96" s="12" t="e">
        <f>IF(INT((91)/Setup!$B$13)+1&lt;=Setup!$B$5,INDEX(Scores!$G$2:$G$225,2+(INT((91)/Setup!$B$13)+1-1)*28+(MOD(91,Setup!$B$13)+1-1)-1),"")</f>
        <v>#DIV/0!</v>
      </c>
      <c r="E96" s="12" t="e">
        <f>IF(INT((91)/Setup!$B$13)+1&lt;=Setup!$B$5,INDEX(Scores!$I$2:$I$225,2+(INT((91)/Setup!$B$13)+1-1)*28+(MOD(91,Setup!$B$13)+1-1)-1),"")</f>
        <v>#DIV/0!</v>
      </c>
      <c r="F96" s="66"/>
      <c r="G96" s="67"/>
      <c r="H96" s="66"/>
      <c r="I96" s="67"/>
      <c r="J96" s="66"/>
      <c r="K96" s="67"/>
      <c r="L96" s="66"/>
      <c r="M96" s="67"/>
      <c r="N96" s="66"/>
      <c r="O96" s="67"/>
      <c r="P96" s="6" t="e">
        <f>IF($A96="","",IFERROR(INDEX(Scores!$T$2:$T$225,MATCH($A96,Scores!$A$2:$A$225,0)),""))</f>
        <v>#DIV/0!</v>
      </c>
      <c r="Q96" s="6" t="e">
        <f>IF($A96="","",IFERROR(INDEX(Scores!$U$2:$U$225,MATCH($A96,Scores!$A$2:$A$225,0)),""))</f>
        <v>#DIV/0!</v>
      </c>
      <c r="R96" s="12" t="e">
        <f>IF($A96="","",IF(IFERROR(INDEX(Scores!$X$2:$X$225,MATCH($A96,Scores!$A$2:$A$225,0)),0)=1,"Complete","Waiting"))</f>
        <v>#DIV/0!</v>
      </c>
      <c r="S96" s="12" t="e">
        <f>IF($A96="","",IFERROR(INDEX(Scores!$Y$2:$Y$225,MATCH($A96,Scores!$A$2:$A$225,0)),""))</f>
        <v>#DIV/0!</v>
      </c>
    </row>
    <row r="97" spans="1:19">
      <c r="A97" s="12" t="e">
        <f>IF(INT((92)/Setup!$B$13)+1&lt;=Setup!$B$5,INDEX(Scores!$A$2:$A$225,2+(INT((92)/Setup!$B$13)+1-1)*28+(MOD(92,Setup!$B$13)+1-1)-1),"")</f>
        <v>#DIV/0!</v>
      </c>
      <c r="B97" s="12" t="e">
        <f>IF(INT((92)/Setup!$B$13)+1&lt;=Setup!$B$5,CHAR(64+INT((92)/Setup!$B$13)+1),"")</f>
        <v>#DIV/0!</v>
      </c>
      <c r="C97" s="12" t="e">
        <f>IF(INT((92)/Setup!$B$13)+1&lt;=Setup!$B$5,INDEX(Scores!$E$2:$E$225,2+(INT((92)/Setup!$B$13)+1-1)*28+(MOD(92,Setup!$B$13)+1-1)-1),"")</f>
        <v>#DIV/0!</v>
      </c>
      <c r="D97" s="12" t="e">
        <f>IF(INT((92)/Setup!$B$13)+1&lt;=Setup!$B$5,INDEX(Scores!$G$2:$G$225,2+(INT((92)/Setup!$B$13)+1-1)*28+(MOD(92,Setup!$B$13)+1-1)-1),"")</f>
        <v>#DIV/0!</v>
      </c>
      <c r="E97" s="12" t="e">
        <f>IF(INT((92)/Setup!$B$13)+1&lt;=Setup!$B$5,INDEX(Scores!$I$2:$I$225,2+(INT((92)/Setup!$B$13)+1-1)*28+(MOD(92,Setup!$B$13)+1-1)-1),"")</f>
        <v>#DIV/0!</v>
      </c>
      <c r="F97" s="66"/>
      <c r="G97" s="67"/>
      <c r="H97" s="66"/>
      <c r="I97" s="67"/>
      <c r="J97" s="66"/>
      <c r="K97" s="67"/>
      <c r="L97" s="66"/>
      <c r="M97" s="67"/>
      <c r="N97" s="66"/>
      <c r="O97" s="67"/>
      <c r="P97" s="6" t="e">
        <f>IF($A97="","",IFERROR(INDEX(Scores!$T$2:$T$225,MATCH($A97,Scores!$A$2:$A$225,0)),""))</f>
        <v>#DIV/0!</v>
      </c>
      <c r="Q97" s="6" t="e">
        <f>IF($A97="","",IFERROR(INDEX(Scores!$U$2:$U$225,MATCH($A97,Scores!$A$2:$A$225,0)),""))</f>
        <v>#DIV/0!</v>
      </c>
      <c r="R97" s="12" t="e">
        <f>IF($A97="","",IF(IFERROR(INDEX(Scores!$X$2:$X$225,MATCH($A97,Scores!$A$2:$A$225,0)),0)=1,"Complete","Waiting"))</f>
        <v>#DIV/0!</v>
      </c>
      <c r="S97" s="12" t="e">
        <f>IF($A97="","",IFERROR(INDEX(Scores!$Y$2:$Y$225,MATCH($A97,Scores!$A$2:$A$225,0)),""))</f>
        <v>#DIV/0!</v>
      </c>
    </row>
    <row r="98" spans="1:19">
      <c r="A98" s="12" t="e">
        <f>IF(INT((93)/Setup!$B$13)+1&lt;=Setup!$B$5,INDEX(Scores!$A$2:$A$225,2+(INT((93)/Setup!$B$13)+1-1)*28+(MOD(93,Setup!$B$13)+1-1)-1),"")</f>
        <v>#DIV/0!</v>
      </c>
      <c r="B98" s="12" t="e">
        <f>IF(INT((93)/Setup!$B$13)+1&lt;=Setup!$B$5,CHAR(64+INT((93)/Setup!$B$13)+1),"")</f>
        <v>#DIV/0!</v>
      </c>
      <c r="C98" s="12" t="e">
        <f>IF(INT((93)/Setup!$B$13)+1&lt;=Setup!$B$5,INDEX(Scores!$E$2:$E$225,2+(INT((93)/Setup!$B$13)+1-1)*28+(MOD(93,Setup!$B$13)+1-1)-1),"")</f>
        <v>#DIV/0!</v>
      </c>
      <c r="D98" s="12" t="e">
        <f>IF(INT((93)/Setup!$B$13)+1&lt;=Setup!$B$5,INDEX(Scores!$G$2:$G$225,2+(INT((93)/Setup!$B$13)+1-1)*28+(MOD(93,Setup!$B$13)+1-1)-1),"")</f>
        <v>#DIV/0!</v>
      </c>
      <c r="E98" s="12" t="e">
        <f>IF(INT((93)/Setup!$B$13)+1&lt;=Setup!$B$5,INDEX(Scores!$I$2:$I$225,2+(INT((93)/Setup!$B$13)+1-1)*28+(MOD(93,Setup!$B$13)+1-1)-1),"")</f>
        <v>#DIV/0!</v>
      </c>
      <c r="F98" s="66"/>
      <c r="G98" s="67"/>
      <c r="H98" s="66"/>
      <c r="I98" s="67"/>
      <c r="J98" s="66"/>
      <c r="K98" s="67"/>
      <c r="L98" s="66"/>
      <c r="M98" s="67"/>
      <c r="N98" s="66"/>
      <c r="O98" s="67"/>
      <c r="P98" s="6" t="e">
        <f>IF($A98="","",IFERROR(INDEX(Scores!$T$2:$T$225,MATCH($A98,Scores!$A$2:$A$225,0)),""))</f>
        <v>#DIV/0!</v>
      </c>
      <c r="Q98" s="6" t="e">
        <f>IF($A98="","",IFERROR(INDEX(Scores!$U$2:$U$225,MATCH($A98,Scores!$A$2:$A$225,0)),""))</f>
        <v>#DIV/0!</v>
      </c>
      <c r="R98" s="12" t="e">
        <f>IF($A98="","",IF(IFERROR(INDEX(Scores!$X$2:$X$225,MATCH($A98,Scores!$A$2:$A$225,0)),0)=1,"Complete","Waiting"))</f>
        <v>#DIV/0!</v>
      </c>
      <c r="S98" s="12" t="e">
        <f>IF($A98="","",IFERROR(INDEX(Scores!$Y$2:$Y$225,MATCH($A98,Scores!$A$2:$A$225,0)),""))</f>
        <v>#DIV/0!</v>
      </c>
    </row>
    <row r="99" spans="1:19">
      <c r="A99" s="12" t="e">
        <f>IF(INT((94)/Setup!$B$13)+1&lt;=Setup!$B$5,INDEX(Scores!$A$2:$A$225,2+(INT((94)/Setup!$B$13)+1-1)*28+(MOD(94,Setup!$B$13)+1-1)-1),"")</f>
        <v>#DIV/0!</v>
      </c>
      <c r="B99" s="12" t="e">
        <f>IF(INT((94)/Setup!$B$13)+1&lt;=Setup!$B$5,CHAR(64+INT((94)/Setup!$B$13)+1),"")</f>
        <v>#DIV/0!</v>
      </c>
      <c r="C99" s="12" t="e">
        <f>IF(INT((94)/Setup!$B$13)+1&lt;=Setup!$B$5,INDEX(Scores!$E$2:$E$225,2+(INT((94)/Setup!$B$13)+1-1)*28+(MOD(94,Setup!$B$13)+1-1)-1),"")</f>
        <v>#DIV/0!</v>
      </c>
      <c r="D99" s="12" t="e">
        <f>IF(INT((94)/Setup!$B$13)+1&lt;=Setup!$B$5,INDEX(Scores!$G$2:$G$225,2+(INT((94)/Setup!$B$13)+1-1)*28+(MOD(94,Setup!$B$13)+1-1)-1),"")</f>
        <v>#DIV/0!</v>
      </c>
      <c r="E99" s="12" t="e">
        <f>IF(INT((94)/Setup!$B$13)+1&lt;=Setup!$B$5,INDEX(Scores!$I$2:$I$225,2+(INT((94)/Setup!$B$13)+1-1)*28+(MOD(94,Setup!$B$13)+1-1)-1),"")</f>
        <v>#DIV/0!</v>
      </c>
      <c r="F99" s="66"/>
      <c r="G99" s="67"/>
      <c r="H99" s="66"/>
      <c r="I99" s="67"/>
      <c r="J99" s="66"/>
      <c r="K99" s="67"/>
      <c r="L99" s="66"/>
      <c r="M99" s="67"/>
      <c r="N99" s="66"/>
      <c r="O99" s="67"/>
      <c r="P99" s="6" t="e">
        <f>IF($A99="","",IFERROR(INDEX(Scores!$T$2:$T$225,MATCH($A99,Scores!$A$2:$A$225,0)),""))</f>
        <v>#DIV/0!</v>
      </c>
      <c r="Q99" s="6" t="e">
        <f>IF($A99="","",IFERROR(INDEX(Scores!$U$2:$U$225,MATCH($A99,Scores!$A$2:$A$225,0)),""))</f>
        <v>#DIV/0!</v>
      </c>
      <c r="R99" s="12" t="e">
        <f>IF($A99="","",IF(IFERROR(INDEX(Scores!$X$2:$X$225,MATCH($A99,Scores!$A$2:$A$225,0)),0)=1,"Complete","Waiting"))</f>
        <v>#DIV/0!</v>
      </c>
      <c r="S99" s="12" t="e">
        <f>IF($A99="","",IFERROR(INDEX(Scores!$Y$2:$Y$225,MATCH($A99,Scores!$A$2:$A$225,0)),""))</f>
        <v>#DIV/0!</v>
      </c>
    </row>
    <row r="100" spans="1:19">
      <c r="A100" s="12" t="e">
        <f>IF(INT((95)/Setup!$B$13)+1&lt;=Setup!$B$5,INDEX(Scores!$A$2:$A$225,2+(INT((95)/Setup!$B$13)+1-1)*28+(MOD(95,Setup!$B$13)+1-1)-1),"")</f>
        <v>#DIV/0!</v>
      </c>
      <c r="B100" s="12" t="e">
        <f>IF(INT((95)/Setup!$B$13)+1&lt;=Setup!$B$5,CHAR(64+INT((95)/Setup!$B$13)+1),"")</f>
        <v>#DIV/0!</v>
      </c>
      <c r="C100" s="12" t="e">
        <f>IF(INT((95)/Setup!$B$13)+1&lt;=Setup!$B$5,INDEX(Scores!$E$2:$E$225,2+(INT((95)/Setup!$B$13)+1-1)*28+(MOD(95,Setup!$B$13)+1-1)-1),"")</f>
        <v>#DIV/0!</v>
      </c>
      <c r="D100" s="12" t="e">
        <f>IF(INT((95)/Setup!$B$13)+1&lt;=Setup!$B$5,INDEX(Scores!$G$2:$G$225,2+(INT((95)/Setup!$B$13)+1-1)*28+(MOD(95,Setup!$B$13)+1-1)-1),"")</f>
        <v>#DIV/0!</v>
      </c>
      <c r="E100" s="12" t="e">
        <f>IF(INT((95)/Setup!$B$13)+1&lt;=Setup!$B$5,INDEX(Scores!$I$2:$I$225,2+(INT((95)/Setup!$B$13)+1-1)*28+(MOD(95,Setup!$B$13)+1-1)-1),"")</f>
        <v>#DIV/0!</v>
      </c>
      <c r="F100" s="66"/>
      <c r="G100" s="67"/>
      <c r="H100" s="66"/>
      <c r="I100" s="67"/>
      <c r="J100" s="66"/>
      <c r="K100" s="67"/>
      <c r="L100" s="66"/>
      <c r="M100" s="67"/>
      <c r="N100" s="66"/>
      <c r="O100" s="67"/>
      <c r="P100" s="6" t="e">
        <f>IF($A100="","",IFERROR(INDEX(Scores!$T$2:$T$225,MATCH($A100,Scores!$A$2:$A$225,0)),""))</f>
        <v>#DIV/0!</v>
      </c>
      <c r="Q100" s="6" t="e">
        <f>IF($A100="","",IFERROR(INDEX(Scores!$U$2:$U$225,MATCH($A100,Scores!$A$2:$A$225,0)),""))</f>
        <v>#DIV/0!</v>
      </c>
      <c r="R100" s="12" t="e">
        <f>IF($A100="","",IF(IFERROR(INDEX(Scores!$X$2:$X$225,MATCH($A100,Scores!$A$2:$A$225,0)),0)=1,"Complete","Waiting"))</f>
        <v>#DIV/0!</v>
      </c>
      <c r="S100" s="12" t="e">
        <f>IF($A100="","",IFERROR(INDEX(Scores!$Y$2:$Y$225,MATCH($A100,Scores!$A$2:$A$225,0)),""))</f>
        <v>#DIV/0!</v>
      </c>
    </row>
    <row r="101" spans="1:19">
      <c r="A101" s="12" t="e">
        <f>IF(INT((96)/Setup!$B$13)+1&lt;=Setup!$B$5,INDEX(Scores!$A$2:$A$225,2+(INT((96)/Setup!$B$13)+1-1)*28+(MOD(96,Setup!$B$13)+1-1)-1),"")</f>
        <v>#DIV/0!</v>
      </c>
      <c r="B101" s="12" t="e">
        <f>IF(INT((96)/Setup!$B$13)+1&lt;=Setup!$B$5,CHAR(64+INT((96)/Setup!$B$13)+1),"")</f>
        <v>#DIV/0!</v>
      </c>
      <c r="C101" s="12" t="e">
        <f>IF(INT((96)/Setup!$B$13)+1&lt;=Setup!$B$5,INDEX(Scores!$E$2:$E$225,2+(INT((96)/Setup!$B$13)+1-1)*28+(MOD(96,Setup!$B$13)+1-1)-1),"")</f>
        <v>#DIV/0!</v>
      </c>
      <c r="D101" s="12" t="e">
        <f>IF(INT((96)/Setup!$B$13)+1&lt;=Setup!$B$5,INDEX(Scores!$G$2:$G$225,2+(INT((96)/Setup!$B$13)+1-1)*28+(MOD(96,Setup!$B$13)+1-1)-1),"")</f>
        <v>#DIV/0!</v>
      </c>
      <c r="E101" s="12" t="e">
        <f>IF(INT((96)/Setup!$B$13)+1&lt;=Setup!$B$5,INDEX(Scores!$I$2:$I$225,2+(INT((96)/Setup!$B$13)+1-1)*28+(MOD(96,Setup!$B$13)+1-1)-1),"")</f>
        <v>#DIV/0!</v>
      </c>
      <c r="F101" s="66"/>
      <c r="G101" s="67"/>
      <c r="H101" s="66"/>
      <c r="I101" s="67"/>
      <c r="J101" s="66"/>
      <c r="K101" s="67"/>
      <c r="L101" s="66"/>
      <c r="M101" s="67"/>
      <c r="N101" s="66"/>
      <c r="O101" s="67"/>
      <c r="P101" s="6" t="e">
        <f>IF($A101="","",IFERROR(INDEX(Scores!$T$2:$T$225,MATCH($A101,Scores!$A$2:$A$225,0)),""))</f>
        <v>#DIV/0!</v>
      </c>
      <c r="Q101" s="6" t="e">
        <f>IF($A101="","",IFERROR(INDEX(Scores!$U$2:$U$225,MATCH($A101,Scores!$A$2:$A$225,0)),""))</f>
        <v>#DIV/0!</v>
      </c>
      <c r="R101" s="12" t="e">
        <f>IF($A101="","",IF(IFERROR(INDEX(Scores!$X$2:$X$225,MATCH($A101,Scores!$A$2:$A$225,0)),0)=1,"Complete","Waiting"))</f>
        <v>#DIV/0!</v>
      </c>
      <c r="S101" s="12" t="e">
        <f>IF($A101="","",IFERROR(INDEX(Scores!$Y$2:$Y$225,MATCH($A101,Scores!$A$2:$A$225,0)),""))</f>
        <v>#DIV/0!</v>
      </c>
    </row>
    <row r="102" spans="1:19">
      <c r="A102" s="12" t="e">
        <f>IF(INT((97)/Setup!$B$13)+1&lt;=Setup!$B$5,INDEX(Scores!$A$2:$A$225,2+(INT((97)/Setup!$B$13)+1-1)*28+(MOD(97,Setup!$B$13)+1-1)-1),"")</f>
        <v>#DIV/0!</v>
      </c>
      <c r="B102" s="12" t="e">
        <f>IF(INT((97)/Setup!$B$13)+1&lt;=Setup!$B$5,CHAR(64+INT((97)/Setup!$B$13)+1),"")</f>
        <v>#DIV/0!</v>
      </c>
      <c r="C102" s="12" t="e">
        <f>IF(INT((97)/Setup!$B$13)+1&lt;=Setup!$B$5,INDEX(Scores!$E$2:$E$225,2+(INT((97)/Setup!$B$13)+1-1)*28+(MOD(97,Setup!$B$13)+1-1)-1),"")</f>
        <v>#DIV/0!</v>
      </c>
      <c r="D102" s="12" t="e">
        <f>IF(INT((97)/Setup!$B$13)+1&lt;=Setup!$B$5,INDEX(Scores!$G$2:$G$225,2+(INT((97)/Setup!$B$13)+1-1)*28+(MOD(97,Setup!$B$13)+1-1)-1),"")</f>
        <v>#DIV/0!</v>
      </c>
      <c r="E102" s="12" t="e">
        <f>IF(INT((97)/Setup!$B$13)+1&lt;=Setup!$B$5,INDEX(Scores!$I$2:$I$225,2+(INT((97)/Setup!$B$13)+1-1)*28+(MOD(97,Setup!$B$13)+1-1)-1),"")</f>
        <v>#DIV/0!</v>
      </c>
      <c r="F102" s="66"/>
      <c r="G102" s="67"/>
      <c r="H102" s="66"/>
      <c r="I102" s="67"/>
      <c r="J102" s="66"/>
      <c r="K102" s="67"/>
      <c r="L102" s="66"/>
      <c r="M102" s="67"/>
      <c r="N102" s="66"/>
      <c r="O102" s="67"/>
      <c r="P102" s="6" t="e">
        <f>IF($A102="","",IFERROR(INDEX(Scores!$T$2:$T$225,MATCH($A102,Scores!$A$2:$A$225,0)),""))</f>
        <v>#DIV/0!</v>
      </c>
      <c r="Q102" s="6" t="e">
        <f>IF($A102="","",IFERROR(INDEX(Scores!$U$2:$U$225,MATCH($A102,Scores!$A$2:$A$225,0)),""))</f>
        <v>#DIV/0!</v>
      </c>
      <c r="R102" s="12" t="e">
        <f>IF($A102="","",IF(IFERROR(INDEX(Scores!$X$2:$X$225,MATCH($A102,Scores!$A$2:$A$225,0)),0)=1,"Complete","Waiting"))</f>
        <v>#DIV/0!</v>
      </c>
      <c r="S102" s="12" t="e">
        <f>IF($A102="","",IFERROR(INDEX(Scores!$Y$2:$Y$225,MATCH($A102,Scores!$A$2:$A$225,0)),""))</f>
        <v>#DIV/0!</v>
      </c>
    </row>
    <row r="103" spans="1:19">
      <c r="A103" s="12" t="e">
        <f>IF(INT((98)/Setup!$B$13)+1&lt;=Setup!$B$5,INDEX(Scores!$A$2:$A$225,2+(INT((98)/Setup!$B$13)+1-1)*28+(MOD(98,Setup!$B$13)+1-1)-1),"")</f>
        <v>#DIV/0!</v>
      </c>
      <c r="B103" s="12" t="e">
        <f>IF(INT((98)/Setup!$B$13)+1&lt;=Setup!$B$5,CHAR(64+INT((98)/Setup!$B$13)+1),"")</f>
        <v>#DIV/0!</v>
      </c>
      <c r="C103" s="12" t="e">
        <f>IF(INT((98)/Setup!$B$13)+1&lt;=Setup!$B$5,INDEX(Scores!$E$2:$E$225,2+(INT((98)/Setup!$B$13)+1-1)*28+(MOD(98,Setup!$B$13)+1-1)-1),"")</f>
        <v>#DIV/0!</v>
      </c>
      <c r="D103" s="12" t="e">
        <f>IF(INT((98)/Setup!$B$13)+1&lt;=Setup!$B$5,INDEX(Scores!$G$2:$G$225,2+(INT((98)/Setup!$B$13)+1-1)*28+(MOD(98,Setup!$B$13)+1-1)-1),"")</f>
        <v>#DIV/0!</v>
      </c>
      <c r="E103" s="12" t="e">
        <f>IF(INT((98)/Setup!$B$13)+1&lt;=Setup!$B$5,INDEX(Scores!$I$2:$I$225,2+(INT((98)/Setup!$B$13)+1-1)*28+(MOD(98,Setup!$B$13)+1-1)-1),"")</f>
        <v>#DIV/0!</v>
      </c>
      <c r="F103" s="66"/>
      <c r="G103" s="67"/>
      <c r="H103" s="66"/>
      <c r="I103" s="67"/>
      <c r="J103" s="66"/>
      <c r="K103" s="67"/>
      <c r="L103" s="66"/>
      <c r="M103" s="67"/>
      <c r="N103" s="66"/>
      <c r="O103" s="67"/>
      <c r="P103" s="6" t="e">
        <f>IF($A103="","",IFERROR(INDEX(Scores!$T$2:$T$225,MATCH($A103,Scores!$A$2:$A$225,0)),""))</f>
        <v>#DIV/0!</v>
      </c>
      <c r="Q103" s="6" t="e">
        <f>IF($A103="","",IFERROR(INDEX(Scores!$U$2:$U$225,MATCH($A103,Scores!$A$2:$A$225,0)),""))</f>
        <v>#DIV/0!</v>
      </c>
      <c r="R103" s="12" t="e">
        <f>IF($A103="","",IF(IFERROR(INDEX(Scores!$X$2:$X$225,MATCH($A103,Scores!$A$2:$A$225,0)),0)=1,"Complete","Waiting"))</f>
        <v>#DIV/0!</v>
      </c>
      <c r="S103" s="12" t="e">
        <f>IF($A103="","",IFERROR(INDEX(Scores!$Y$2:$Y$225,MATCH($A103,Scores!$A$2:$A$225,0)),""))</f>
        <v>#DIV/0!</v>
      </c>
    </row>
    <row r="104" spans="1:19">
      <c r="A104" s="12" t="e">
        <f>IF(INT((99)/Setup!$B$13)+1&lt;=Setup!$B$5,INDEX(Scores!$A$2:$A$225,2+(INT((99)/Setup!$B$13)+1-1)*28+(MOD(99,Setup!$B$13)+1-1)-1),"")</f>
        <v>#DIV/0!</v>
      </c>
      <c r="B104" s="12" t="e">
        <f>IF(INT((99)/Setup!$B$13)+1&lt;=Setup!$B$5,CHAR(64+INT((99)/Setup!$B$13)+1),"")</f>
        <v>#DIV/0!</v>
      </c>
      <c r="C104" s="12" t="e">
        <f>IF(INT((99)/Setup!$B$13)+1&lt;=Setup!$B$5,INDEX(Scores!$E$2:$E$225,2+(INT((99)/Setup!$B$13)+1-1)*28+(MOD(99,Setup!$B$13)+1-1)-1),"")</f>
        <v>#DIV/0!</v>
      </c>
      <c r="D104" s="12" t="e">
        <f>IF(INT((99)/Setup!$B$13)+1&lt;=Setup!$B$5,INDEX(Scores!$G$2:$G$225,2+(INT((99)/Setup!$B$13)+1-1)*28+(MOD(99,Setup!$B$13)+1-1)-1),"")</f>
        <v>#DIV/0!</v>
      </c>
      <c r="E104" s="12" t="e">
        <f>IF(INT((99)/Setup!$B$13)+1&lt;=Setup!$B$5,INDEX(Scores!$I$2:$I$225,2+(INT((99)/Setup!$B$13)+1-1)*28+(MOD(99,Setup!$B$13)+1-1)-1),"")</f>
        <v>#DIV/0!</v>
      </c>
      <c r="F104" s="66"/>
      <c r="G104" s="67"/>
      <c r="H104" s="66"/>
      <c r="I104" s="67"/>
      <c r="J104" s="66"/>
      <c r="K104" s="67"/>
      <c r="L104" s="66"/>
      <c r="M104" s="67"/>
      <c r="N104" s="66"/>
      <c r="O104" s="67"/>
      <c r="P104" s="6" t="e">
        <f>IF($A104="","",IFERROR(INDEX(Scores!$T$2:$T$225,MATCH($A104,Scores!$A$2:$A$225,0)),""))</f>
        <v>#DIV/0!</v>
      </c>
      <c r="Q104" s="6" t="e">
        <f>IF($A104="","",IFERROR(INDEX(Scores!$U$2:$U$225,MATCH($A104,Scores!$A$2:$A$225,0)),""))</f>
        <v>#DIV/0!</v>
      </c>
      <c r="R104" s="12" t="e">
        <f>IF($A104="","",IF(IFERROR(INDEX(Scores!$X$2:$X$225,MATCH($A104,Scores!$A$2:$A$225,0)),0)=1,"Complete","Waiting"))</f>
        <v>#DIV/0!</v>
      </c>
      <c r="S104" s="12" t="e">
        <f>IF($A104="","",IFERROR(INDEX(Scores!$Y$2:$Y$225,MATCH($A104,Scores!$A$2:$A$225,0)),""))</f>
        <v>#DIV/0!</v>
      </c>
    </row>
    <row r="105" spans="1:19">
      <c r="A105" s="12" t="e">
        <f>IF(INT((100)/Setup!$B$13)+1&lt;=Setup!$B$5,INDEX(Scores!$A$2:$A$225,2+(INT((100)/Setup!$B$13)+1-1)*28+(MOD(100,Setup!$B$13)+1-1)-1),"")</f>
        <v>#DIV/0!</v>
      </c>
      <c r="B105" s="12" t="e">
        <f>IF(INT((100)/Setup!$B$13)+1&lt;=Setup!$B$5,CHAR(64+INT((100)/Setup!$B$13)+1),"")</f>
        <v>#DIV/0!</v>
      </c>
      <c r="C105" s="12" t="e">
        <f>IF(INT((100)/Setup!$B$13)+1&lt;=Setup!$B$5,INDEX(Scores!$E$2:$E$225,2+(INT((100)/Setup!$B$13)+1-1)*28+(MOD(100,Setup!$B$13)+1-1)-1),"")</f>
        <v>#DIV/0!</v>
      </c>
      <c r="D105" s="12" t="e">
        <f>IF(INT((100)/Setup!$B$13)+1&lt;=Setup!$B$5,INDEX(Scores!$G$2:$G$225,2+(INT((100)/Setup!$B$13)+1-1)*28+(MOD(100,Setup!$B$13)+1-1)-1),"")</f>
        <v>#DIV/0!</v>
      </c>
      <c r="E105" s="12" t="e">
        <f>IF(INT((100)/Setup!$B$13)+1&lt;=Setup!$B$5,INDEX(Scores!$I$2:$I$225,2+(INT((100)/Setup!$B$13)+1-1)*28+(MOD(100,Setup!$B$13)+1-1)-1),"")</f>
        <v>#DIV/0!</v>
      </c>
      <c r="F105" s="66"/>
      <c r="G105" s="67"/>
      <c r="H105" s="66"/>
      <c r="I105" s="67"/>
      <c r="J105" s="66"/>
      <c r="K105" s="67"/>
      <c r="L105" s="66"/>
      <c r="M105" s="67"/>
      <c r="N105" s="66"/>
      <c r="O105" s="67"/>
      <c r="P105" s="6" t="e">
        <f>IF($A105="","",IFERROR(INDEX(Scores!$T$2:$T$225,MATCH($A105,Scores!$A$2:$A$225,0)),""))</f>
        <v>#DIV/0!</v>
      </c>
      <c r="Q105" s="6" t="e">
        <f>IF($A105="","",IFERROR(INDEX(Scores!$U$2:$U$225,MATCH($A105,Scores!$A$2:$A$225,0)),""))</f>
        <v>#DIV/0!</v>
      </c>
      <c r="R105" s="12" t="e">
        <f>IF($A105="","",IF(IFERROR(INDEX(Scores!$X$2:$X$225,MATCH($A105,Scores!$A$2:$A$225,0)),0)=1,"Complete","Waiting"))</f>
        <v>#DIV/0!</v>
      </c>
      <c r="S105" s="12" t="e">
        <f>IF($A105="","",IFERROR(INDEX(Scores!$Y$2:$Y$225,MATCH($A105,Scores!$A$2:$A$225,0)),""))</f>
        <v>#DIV/0!</v>
      </c>
    </row>
    <row r="106" spans="1:19">
      <c r="A106" s="12" t="e">
        <f>IF(INT((101)/Setup!$B$13)+1&lt;=Setup!$B$5,INDEX(Scores!$A$2:$A$225,2+(INT((101)/Setup!$B$13)+1-1)*28+(MOD(101,Setup!$B$13)+1-1)-1),"")</f>
        <v>#DIV/0!</v>
      </c>
      <c r="B106" s="12" t="e">
        <f>IF(INT((101)/Setup!$B$13)+1&lt;=Setup!$B$5,CHAR(64+INT((101)/Setup!$B$13)+1),"")</f>
        <v>#DIV/0!</v>
      </c>
      <c r="C106" s="12" t="e">
        <f>IF(INT((101)/Setup!$B$13)+1&lt;=Setup!$B$5,INDEX(Scores!$E$2:$E$225,2+(INT((101)/Setup!$B$13)+1-1)*28+(MOD(101,Setup!$B$13)+1-1)-1),"")</f>
        <v>#DIV/0!</v>
      </c>
      <c r="D106" s="12" t="e">
        <f>IF(INT((101)/Setup!$B$13)+1&lt;=Setup!$B$5,INDEX(Scores!$G$2:$G$225,2+(INT((101)/Setup!$B$13)+1-1)*28+(MOD(101,Setup!$B$13)+1-1)-1),"")</f>
        <v>#DIV/0!</v>
      </c>
      <c r="E106" s="12" t="e">
        <f>IF(INT((101)/Setup!$B$13)+1&lt;=Setup!$B$5,INDEX(Scores!$I$2:$I$225,2+(INT((101)/Setup!$B$13)+1-1)*28+(MOD(101,Setup!$B$13)+1-1)-1),"")</f>
        <v>#DIV/0!</v>
      </c>
      <c r="F106" s="66"/>
      <c r="G106" s="67"/>
      <c r="H106" s="66"/>
      <c r="I106" s="67"/>
      <c r="J106" s="66"/>
      <c r="K106" s="67"/>
      <c r="L106" s="66"/>
      <c r="M106" s="67"/>
      <c r="N106" s="66"/>
      <c r="O106" s="67"/>
      <c r="P106" s="6" t="e">
        <f>IF($A106="","",IFERROR(INDEX(Scores!$T$2:$T$225,MATCH($A106,Scores!$A$2:$A$225,0)),""))</f>
        <v>#DIV/0!</v>
      </c>
      <c r="Q106" s="6" t="e">
        <f>IF($A106="","",IFERROR(INDEX(Scores!$U$2:$U$225,MATCH($A106,Scores!$A$2:$A$225,0)),""))</f>
        <v>#DIV/0!</v>
      </c>
      <c r="R106" s="12" t="e">
        <f>IF($A106="","",IF(IFERROR(INDEX(Scores!$X$2:$X$225,MATCH($A106,Scores!$A$2:$A$225,0)),0)=1,"Complete","Waiting"))</f>
        <v>#DIV/0!</v>
      </c>
      <c r="S106" s="12" t="e">
        <f>IF($A106="","",IFERROR(INDEX(Scores!$Y$2:$Y$225,MATCH($A106,Scores!$A$2:$A$225,0)),""))</f>
        <v>#DIV/0!</v>
      </c>
    </row>
    <row r="107" spans="1:19">
      <c r="A107" s="12" t="e">
        <f>IF(INT((102)/Setup!$B$13)+1&lt;=Setup!$B$5,INDEX(Scores!$A$2:$A$225,2+(INT((102)/Setup!$B$13)+1-1)*28+(MOD(102,Setup!$B$13)+1-1)-1),"")</f>
        <v>#DIV/0!</v>
      </c>
      <c r="B107" s="12" t="e">
        <f>IF(INT((102)/Setup!$B$13)+1&lt;=Setup!$B$5,CHAR(64+INT((102)/Setup!$B$13)+1),"")</f>
        <v>#DIV/0!</v>
      </c>
      <c r="C107" s="12" t="e">
        <f>IF(INT((102)/Setup!$B$13)+1&lt;=Setup!$B$5,INDEX(Scores!$E$2:$E$225,2+(INT((102)/Setup!$B$13)+1-1)*28+(MOD(102,Setup!$B$13)+1-1)-1),"")</f>
        <v>#DIV/0!</v>
      </c>
      <c r="D107" s="12" t="e">
        <f>IF(INT((102)/Setup!$B$13)+1&lt;=Setup!$B$5,INDEX(Scores!$G$2:$G$225,2+(INT((102)/Setup!$B$13)+1-1)*28+(MOD(102,Setup!$B$13)+1-1)-1),"")</f>
        <v>#DIV/0!</v>
      </c>
      <c r="E107" s="12" t="e">
        <f>IF(INT((102)/Setup!$B$13)+1&lt;=Setup!$B$5,INDEX(Scores!$I$2:$I$225,2+(INT((102)/Setup!$B$13)+1-1)*28+(MOD(102,Setup!$B$13)+1-1)-1),"")</f>
        <v>#DIV/0!</v>
      </c>
      <c r="F107" s="66"/>
      <c r="G107" s="67"/>
      <c r="H107" s="66"/>
      <c r="I107" s="67"/>
      <c r="J107" s="66"/>
      <c r="K107" s="67"/>
      <c r="L107" s="66"/>
      <c r="M107" s="67"/>
      <c r="N107" s="66"/>
      <c r="O107" s="67"/>
      <c r="P107" s="6" t="e">
        <f>IF($A107="","",IFERROR(INDEX(Scores!$T$2:$T$225,MATCH($A107,Scores!$A$2:$A$225,0)),""))</f>
        <v>#DIV/0!</v>
      </c>
      <c r="Q107" s="6" t="e">
        <f>IF($A107="","",IFERROR(INDEX(Scores!$U$2:$U$225,MATCH($A107,Scores!$A$2:$A$225,0)),""))</f>
        <v>#DIV/0!</v>
      </c>
      <c r="R107" s="12" t="e">
        <f>IF($A107="","",IF(IFERROR(INDEX(Scores!$X$2:$X$225,MATCH($A107,Scores!$A$2:$A$225,0)),0)=1,"Complete","Waiting"))</f>
        <v>#DIV/0!</v>
      </c>
      <c r="S107" s="12" t="e">
        <f>IF($A107="","",IFERROR(INDEX(Scores!$Y$2:$Y$225,MATCH($A107,Scores!$A$2:$A$225,0)),""))</f>
        <v>#DIV/0!</v>
      </c>
    </row>
    <row r="108" spans="1:19">
      <c r="A108" s="12" t="e">
        <f>IF(INT((103)/Setup!$B$13)+1&lt;=Setup!$B$5,INDEX(Scores!$A$2:$A$225,2+(INT((103)/Setup!$B$13)+1-1)*28+(MOD(103,Setup!$B$13)+1-1)-1),"")</f>
        <v>#DIV/0!</v>
      </c>
      <c r="B108" s="12" t="e">
        <f>IF(INT((103)/Setup!$B$13)+1&lt;=Setup!$B$5,CHAR(64+INT((103)/Setup!$B$13)+1),"")</f>
        <v>#DIV/0!</v>
      </c>
      <c r="C108" s="12" t="e">
        <f>IF(INT((103)/Setup!$B$13)+1&lt;=Setup!$B$5,INDEX(Scores!$E$2:$E$225,2+(INT((103)/Setup!$B$13)+1-1)*28+(MOD(103,Setup!$B$13)+1-1)-1),"")</f>
        <v>#DIV/0!</v>
      </c>
      <c r="D108" s="12" t="e">
        <f>IF(INT((103)/Setup!$B$13)+1&lt;=Setup!$B$5,INDEX(Scores!$G$2:$G$225,2+(INT((103)/Setup!$B$13)+1-1)*28+(MOD(103,Setup!$B$13)+1-1)-1),"")</f>
        <v>#DIV/0!</v>
      </c>
      <c r="E108" s="12" t="e">
        <f>IF(INT((103)/Setup!$B$13)+1&lt;=Setup!$B$5,INDEX(Scores!$I$2:$I$225,2+(INT((103)/Setup!$B$13)+1-1)*28+(MOD(103,Setup!$B$13)+1-1)-1),"")</f>
        <v>#DIV/0!</v>
      </c>
      <c r="F108" s="66"/>
      <c r="G108" s="67"/>
      <c r="H108" s="66"/>
      <c r="I108" s="67"/>
      <c r="J108" s="66"/>
      <c r="K108" s="67"/>
      <c r="L108" s="66"/>
      <c r="M108" s="67"/>
      <c r="N108" s="66"/>
      <c r="O108" s="67"/>
      <c r="P108" s="6" t="e">
        <f>IF($A108="","",IFERROR(INDEX(Scores!$T$2:$T$225,MATCH($A108,Scores!$A$2:$A$225,0)),""))</f>
        <v>#DIV/0!</v>
      </c>
      <c r="Q108" s="6" t="e">
        <f>IF($A108="","",IFERROR(INDEX(Scores!$U$2:$U$225,MATCH($A108,Scores!$A$2:$A$225,0)),""))</f>
        <v>#DIV/0!</v>
      </c>
      <c r="R108" s="12" t="e">
        <f>IF($A108="","",IF(IFERROR(INDEX(Scores!$X$2:$X$225,MATCH($A108,Scores!$A$2:$A$225,0)),0)=1,"Complete","Waiting"))</f>
        <v>#DIV/0!</v>
      </c>
      <c r="S108" s="12" t="e">
        <f>IF($A108="","",IFERROR(INDEX(Scores!$Y$2:$Y$225,MATCH($A108,Scores!$A$2:$A$225,0)),""))</f>
        <v>#DIV/0!</v>
      </c>
    </row>
    <row r="109" spans="1:19">
      <c r="A109" s="12" t="e">
        <f>IF(INT((104)/Setup!$B$13)+1&lt;=Setup!$B$5,INDEX(Scores!$A$2:$A$225,2+(INT((104)/Setup!$B$13)+1-1)*28+(MOD(104,Setup!$B$13)+1-1)-1),"")</f>
        <v>#DIV/0!</v>
      </c>
      <c r="B109" s="12" t="e">
        <f>IF(INT((104)/Setup!$B$13)+1&lt;=Setup!$B$5,CHAR(64+INT((104)/Setup!$B$13)+1),"")</f>
        <v>#DIV/0!</v>
      </c>
      <c r="C109" s="12" t="e">
        <f>IF(INT((104)/Setup!$B$13)+1&lt;=Setup!$B$5,INDEX(Scores!$E$2:$E$225,2+(INT((104)/Setup!$B$13)+1-1)*28+(MOD(104,Setup!$B$13)+1-1)-1),"")</f>
        <v>#DIV/0!</v>
      </c>
      <c r="D109" s="12" t="e">
        <f>IF(INT((104)/Setup!$B$13)+1&lt;=Setup!$B$5,INDEX(Scores!$G$2:$G$225,2+(INT((104)/Setup!$B$13)+1-1)*28+(MOD(104,Setup!$B$13)+1-1)-1),"")</f>
        <v>#DIV/0!</v>
      </c>
      <c r="E109" s="12" t="e">
        <f>IF(INT((104)/Setup!$B$13)+1&lt;=Setup!$B$5,INDEX(Scores!$I$2:$I$225,2+(INT((104)/Setup!$B$13)+1-1)*28+(MOD(104,Setup!$B$13)+1-1)-1),"")</f>
        <v>#DIV/0!</v>
      </c>
      <c r="F109" s="66"/>
      <c r="G109" s="67"/>
      <c r="H109" s="66"/>
      <c r="I109" s="67"/>
      <c r="J109" s="66"/>
      <c r="K109" s="67"/>
      <c r="L109" s="66"/>
      <c r="M109" s="67"/>
      <c r="N109" s="66"/>
      <c r="O109" s="67"/>
      <c r="P109" s="6" t="e">
        <f>IF($A109="","",IFERROR(INDEX(Scores!$T$2:$T$225,MATCH($A109,Scores!$A$2:$A$225,0)),""))</f>
        <v>#DIV/0!</v>
      </c>
      <c r="Q109" s="6" t="e">
        <f>IF($A109="","",IFERROR(INDEX(Scores!$U$2:$U$225,MATCH($A109,Scores!$A$2:$A$225,0)),""))</f>
        <v>#DIV/0!</v>
      </c>
      <c r="R109" s="12" t="e">
        <f>IF($A109="","",IF(IFERROR(INDEX(Scores!$X$2:$X$225,MATCH($A109,Scores!$A$2:$A$225,0)),0)=1,"Complete","Waiting"))</f>
        <v>#DIV/0!</v>
      </c>
      <c r="S109" s="12" t="e">
        <f>IF($A109="","",IFERROR(INDEX(Scores!$Y$2:$Y$225,MATCH($A109,Scores!$A$2:$A$225,0)),""))</f>
        <v>#DIV/0!</v>
      </c>
    </row>
    <row r="110" spans="1:19">
      <c r="A110" s="12" t="e">
        <f>IF(INT((105)/Setup!$B$13)+1&lt;=Setup!$B$5,INDEX(Scores!$A$2:$A$225,2+(INT((105)/Setup!$B$13)+1-1)*28+(MOD(105,Setup!$B$13)+1-1)-1),"")</f>
        <v>#DIV/0!</v>
      </c>
      <c r="B110" s="12" t="e">
        <f>IF(INT((105)/Setup!$B$13)+1&lt;=Setup!$B$5,CHAR(64+INT((105)/Setup!$B$13)+1),"")</f>
        <v>#DIV/0!</v>
      </c>
      <c r="C110" s="12" t="e">
        <f>IF(INT((105)/Setup!$B$13)+1&lt;=Setup!$B$5,INDEX(Scores!$E$2:$E$225,2+(INT((105)/Setup!$B$13)+1-1)*28+(MOD(105,Setup!$B$13)+1-1)-1),"")</f>
        <v>#DIV/0!</v>
      </c>
      <c r="D110" s="12" t="e">
        <f>IF(INT((105)/Setup!$B$13)+1&lt;=Setup!$B$5,INDEX(Scores!$G$2:$G$225,2+(INT((105)/Setup!$B$13)+1-1)*28+(MOD(105,Setup!$B$13)+1-1)-1),"")</f>
        <v>#DIV/0!</v>
      </c>
      <c r="E110" s="12" t="e">
        <f>IF(INT((105)/Setup!$B$13)+1&lt;=Setup!$B$5,INDEX(Scores!$I$2:$I$225,2+(INT((105)/Setup!$B$13)+1-1)*28+(MOD(105,Setup!$B$13)+1-1)-1),"")</f>
        <v>#DIV/0!</v>
      </c>
      <c r="F110" s="66"/>
      <c r="G110" s="67"/>
      <c r="H110" s="66"/>
      <c r="I110" s="67"/>
      <c r="J110" s="66"/>
      <c r="K110" s="67"/>
      <c r="L110" s="66"/>
      <c r="M110" s="67"/>
      <c r="N110" s="66"/>
      <c r="O110" s="67"/>
      <c r="P110" s="6" t="e">
        <f>IF($A110="","",IFERROR(INDEX(Scores!$T$2:$T$225,MATCH($A110,Scores!$A$2:$A$225,0)),""))</f>
        <v>#DIV/0!</v>
      </c>
      <c r="Q110" s="6" t="e">
        <f>IF($A110="","",IFERROR(INDEX(Scores!$U$2:$U$225,MATCH($A110,Scores!$A$2:$A$225,0)),""))</f>
        <v>#DIV/0!</v>
      </c>
      <c r="R110" s="12" t="e">
        <f>IF($A110="","",IF(IFERROR(INDEX(Scores!$X$2:$X$225,MATCH($A110,Scores!$A$2:$A$225,0)),0)=1,"Complete","Waiting"))</f>
        <v>#DIV/0!</v>
      </c>
      <c r="S110" s="12" t="e">
        <f>IF($A110="","",IFERROR(INDEX(Scores!$Y$2:$Y$225,MATCH($A110,Scores!$A$2:$A$225,0)),""))</f>
        <v>#DIV/0!</v>
      </c>
    </row>
    <row r="111" spans="1:19">
      <c r="A111" s="12" t="e">
        <f>IF(INT((106)/Setup!$B$13)+1&lt;=Setup!$B$5,INDEX(Scores!$A$2:$A$225,2+(INT((106)/Setup!$B$13)+1-1)*28+(MOD(106,Setup!$B$13)+1-1)-1),"")</f>
        <v>#DIV/0!</v>
      </c>
      <c r="B111" s="12" t="e">
        <f>IF(INT((106)/Setup!$B$13)+1&lt;=Setup!$B$5,CHAR(64+INT((106)/Setup!$B$13)+1),"")</f>
        <v>#DIV/0!</v>
      </c>
      <c r="C111" s="12" t="e">
        <f>IF(INT((106)/Setup!$B$13)+1&lt;=Setup!$B$5,INDEX(Scores!$E$2:$E$225,2+(INT((106)/Setup!$B$13)+1-1)*28+(MOD(106,Setup!$B$13)+1-1)-1),"")</f>
        <v>#DIV/0!</v>
      </c>
      <c r="D111" s="12" t="e">
        <f>IF(INT((106)/Setup!$B$13)+1&lt;=Setup!$B$5,INDEX(Scores!$G$2:$G$225,2+(INT((106)/Setup!$B$13)+1-1)*28+(MOD(106,Setup!$B$13)+1-1)-1),"")</f>
        <v>#DIV/0!</v>
      </c>
      <c r="E111" s="12" t="e">
        <f>IF(INT((106)/Setup!$B$13)+1&lt;=Setup!$B$5,INDEX(Scores!$I$2:$I$225,2+(INT((106)/Setup!$B$13)+1-1)*28+(MOD(106,Setup!$B$13)+1-1)-1),"")</f>
        <v>#DIV/0!</v>
      </c>
      <c r="F111" s="66"/>
      <c r="G111" s="67"/>
      <c r="H111" s="66"/>
      <c r="I111" s="67"/>
      <c r="J111" s="66"/>
      <c r="K111" s="67"/>
      <c r="L111" s="66"/>
      <c r="M111" s="67"/>
      <c r="N111" s="66"/>
      <c r="O111" s="67"/>
      <c r="P111" s="6" t="e">
        <f>IF($A111="","",IFERROR(INDEX(Scores!$T$2:$T$225,MATCH($A111,Scores!$A$2:$A$225,0)),""))</f>
        <v>#DIV/0!</v>
      </c>
      <c r="Q111" s="6" t="e">
        <f>IF($A111="","",IFERROR(INDEX(Scores!$U$2:$U$225,MATCH($A111,Scores!$A$2:$A$225,0)),""))</f>
        <v>#DIV/0!</v>
      </c>
      <c r="R111" s="12" t="e">
        <f>IF($A111="","",IF(IFERROR(INDEX(Scores!$X$2:$X$225,MATCH($A111,Scores!$A$2:$A$225,0)),0)=1,"Complete","Waiting"))</f>
        <v>#DIV/0!</v>
      </c>
      <c r="S111" s="12" t="e">
        <f>IF($A111="","",IFERROR(INDEX(Scores!$Y$2:$Y$225,MATCH($A111,Scores!$A$2:$A$225,0)),""))</f>
        <v>#DIV/0!</v>
      </c>
    </row>
    <row r="112" spans="1:19">
      <c r="A112" s="12" t="e">
        <f>IF(INT((107)/Setup!$B$13)+1&lt;=Setup!$B$5,INDEX(Scores!$A$2:$A$225,2+(INT((107)/Setup!$B$13)+1-1)*28+(MOD(107,Setup!$B$13)+1-1)-1),"")</f>
        <v>#DIV/0!</v>
      </c>
      <c r="B112" s="12" t="e">
        <f>IF(INT((107)/Setup!$B$13)+1&lt;=Setup!$B$5,CHAR(64+INT((107)/Setup!$B$13)+1),"")</f>
        <v>#DIV/0!</v>
      </c>
      <c r="C112" s="12" t="e">
        <f>IF(INT((107)/Setup!$B$13)+1&lt;=Setup!$B$5,INDEX(Scores!$E$2:$E$225,2+(INT((107)/Setup!$B$13)+1-1)*28+(MOD(107,Setup!$B$13)+1-1)-1),"")</f>
        <v>#DIV/0!</v>
      </c>
      <c r="D112" s="12" t="e">
        <f>IF(INT((107)/Setup!$B$13)+1&lt;=Setup!$B$5,INDEX(Scores!$G$2:$G$225,2+(INT((107)/Setup!$B$13)+1-1)*28+(MOD(107,Setup!$B$13)+1-1)-1),"")</f>
        <v>#DIV/0!</v>
      </c>
      <c r="E112" s="12" t="e">
        <f>IF(INT((107)/Setup!$B$13)+1&lt;=Setup!$B$5,INDEX(Scores!$I$2:$I$225,2+(INT((107)/Setup!$B$13)+1-1)*28+(MOD(107,Setup!$B$13)+1-1)-1),"")</f>
        <v>#DIV/0!</v>
      </c>
      <c r="F112" s="66"/>
      <c r="G112" s="67"/>
      <c r="H112" s="66"/>
      <c r="I112" s="67"/>
      <c r="J112" s="66"/>
      <c r="K112" s="67"/>
      <c r="L112" s="66"/>
      <c r="M112" s="67"/>
      <c r="N112" s="66"/>
      <c r="O112" s="67"/>
      <c r="P112" s="6" t="e">
        <f>IF($A112="","",IFERROR(INDEX(Scores!$T$2:$T$225,MATCH($A112,Scores!$A$2:$A$225,0)),""))</f>
        <v>#DIV/0!</v>
      </c>
      <c r="Q112" s="6" t="e">
        <f>IF($A112="","",IFERROR(INDEX(Scores!$U$2:$U$225,MATCH($A112,Scores!$A$2:$A$225,0)),""))</f>
        <v>#DIV/0!</v>
      </c>
      <c r="R112" s="12" t="e">
        <f>IF($A112="","",IF(IFERROR(INDEX(Scores!$X$2:$X$225,MATCH($A112,Scores!$A$2:$A$225,0)),0)=1,"Complete","Waiting"))</f>
        <v>#DIV/0!</v>
      </c>
      <c r="S112" s="12" t="e">
        <f>IF($A112="","",IFERROR(INDEX(Scores!$Y$2:$Y$225,MATCH($A112,Scores!$A$2:$A$225,0)),""))</f>
        <v>#DIV/0!</v>
      </c>
    </row>
    <row r="113" spans="1:19">
      <c r="A113" s="12" t="e">
        <f>IF(INT((108)/Setup!$B$13)+1&lt;=Setup!$B$5,INDEX(Scores!$A$2:$A$225,2+(INT((108)/Setup!$B$13)+1-1)*28+(MOD(108,Setup!$B$13)+1-1)-1),"")</f>
        <v>#DIV/0!</v>
      </c>
      <c r="B113" s="12" t="e">
        <f>IF(INT((108)/Setup!$B$13)+1&lt;=Setup!$B$5,CHAR(64+INT((108)/Setup!$B$13)+1),"")</f>
        <v>#DIV/0!</v>
      </c>
      <c r="C113" s="12" t="e">
        <f>IF(INT((108)/Setup!$B$13)+1&lt;=Setup!$B$5,INDEX(Scores!$E$2:$E$225,2+(INT((108)/Setup!$B$13)+1-1)*28+(MOD(108,Setup!$B$13)+1-1)-1),"")</f>
        <v>#DIV/0!</v>
      </c>
      <c r="D113" s="12" t="e">
        <f>IF(INT((108)/Setup!$B$13)+1&lt;=Setup!$B$5,INDEX(Scores!$G$2:$G$225,2+(INT((108)/Setup!$B$13)+1-1)*28+(MOD(108,Setup!$B$13)+1-1)-1),"")</f>
        <v>#DIV/0!</v>
      </c>
      <c r="E113" s="12" t="e">
        <f>IF(INT((108)/Setup!$B$13)+1&lt;=Setup!$B$5,INDEX(Scores!$I$2:$I$225,2+(INT((108)/Setup!$B$13)+1-1)*28+(MOD(108,Setup!$B$13)+1-1)-1),"")</f>
        <v>#DIV/0!</v>
      </c>
      <c r="F113" s="66"/>
      <c r="G113" s="67"/>
      <c r="H113" s="66"/>
      <c r="I113" s="67"/>
      <c r="J113" s="66"/>
      <c r="K113" s="67"/>
      <c r="L113" s="66"/>
      <c r="M113" s="67"/>
      <c r="N113" s="66"/>
      <c r="O113" s="67"/>
      <c r="P113" s="6" t="e">
        <f>IF($A113="","",IFERROR(INDEX(Scores!$T$2:$T$225,MATCH($A113,Scores!$A$2:$A$225,0)),""))</f>
        <v>#DIV/0!</v>
      </c>
      <c r="Q113" s="6" t="e">
        <f>IF($A113="","",IFERROR(INDEX(Scores!$U$2:$U$225,MATCH($A113,Scores!$A$2:$A$225,0)),""))</f>
        <v>#DIV/0!</v>
      </c>
      <c r="R113" s="12" t="e">
        <f>IF($A113="","",IF(IFERROR(INDEX(Scores!$X$2:$X$225,MATCH($A113,Scores!$A$2:$A$225,0)),0)=1,"Complete","Waiting"))</f>
        <v>#DIV/0!</v>
      </c>
      <c r="S113" s="12" t="e">
        <f>IF($A113="","",IFERROR(INDEX(Scores!$Y$2:$Y$225,MATCH($A113,Scores!$A$2:$A$225,0)),""))</f>
        <v>#DIV/0!</v>
      </c>
    </row>
    <row r="114" spans="1:19">
      <c r="A114" s="12" t="e">
        <f>IF(INT((109)/Setup!$B$13)+1&lt;=Setup!$B$5,INDEX(Scores!$A$2:$A$225,2+(INT((109)/Setup!$B$13)+1-1)*28+(MOD(109,Setup!$B$13)+1-1)-1),"")</f>
        <v>#DIV/0!</v>
      </c>
      <c r="B114" s="12" t="e">
        <f>IF(INT((109)/Setup!$B$13)+1&lt;=Setup!$B$5,CHAR(64+INT((109)/Setup!$B$13)+1),"")</f>
        <v>#DIV/0!</v>
      </c>
      <c r="C114" s="12" t="e">
        <f>IF(INT((109)/Setup!$B$13)+1&lt;=Setup!$B$5,INDEX(Scores!$E$2:$E$225,2+(INT((109)/Setup!$B$13)+1-1)*28+(MOD(109,Setup!$B$13)+1-1)-1),"")</f>
        <v>#DIV/0!</v>
      </c>
      <c r="D114" s="12" t="e">
        <f>IF(INT((109)/Setup!$B$13)+1&lt;=Setup!$B$5,INDEX(Scores!$G$2:$G$225,2+(INT((109)/Setup!$B$13)+1-1)*28+(MOD(109,Setup!$B$13)+1-1)-1),"")</f>
        <v>#DIV/0!</v>
      </c>
      <c r="E114" s="12" t="e">
        <f>IF(INT((109)/Setup!$B$13)+1&lt;=Setup!$B$5,INDEX(Scores!$I$2:$I$225,2+(INT((109)/Setup!$B$13)+1-1)*28+(MOD(109,Setup!$B$13)+1-1)-1),"")</f>
        <v>#DIV/0!</v>
      </c>
      <c r="F114" s="66"/>
      <c r="G114" s="67"/>
      <c r="H114" s="66"/>
      <c r="I114" s="67"/>
      <c r="J114" s="66"/>
      <c r="K114" s="67"/>
      <c r="L114" s="66"/>
      <c r="M114" s="67"/>
      <c r="N114" s="66"/>
      <c r="O114" s="67"/>
      <c r="P114" s="6" t="e">
        <f>IF($A114="","",IFERROR(INDEX(Scores!$T$2:$T$225,MATCH($A114,Scores!$A$2:$A$225,0)),""))</f>
        <v>#DIV/0!</v>
      </c>
      <c r="Q114" s="6" t="e">
        <f>IF($A114="","",IFERROR(INDEX(Scores!$U$2:$U$225,MATCH($A114,Scores!$A$2:$A$225,0)),""))</f>
        <v>#DIV/0!</v>
      </c>
      <c r="R114" s="12" t="e">
        <f>IF($A114="","",IF(IFERROR(INDEX(Scores!$X$2:$X$225,MATCH($A114,Scores!$A$2:$A$225,0)),0)=1,"Complete","Waiting"))</f>
        <v>#DIV/0!</v>
      </c>
      <c r="S114" s="12" t="e">
        <f>IF($A114="","",IFERROR(INDEX(Scores!$Y$2:$Y$225,MATCH($A114,Scores!$A$2:$A$225,0)),""))</f>
        <v>#DIV/0!</v>
      </c>
    </row>
    <row r="115" spans="1:19">
      <c r="A115" s="12" t="e">
        <f>IF(INT((110)/Setup!$B$13)+1&lt;=Setup!$B$5,INDEX(Scores!$A$2:$A$225,2+(INT((110)/Setup!$B$13)+1-1)*28+(MOD(110,Setup!$B$13)+1-1)-1),"")</f>
        <v>#DIV/0!</v>
      </c>
      <c r="B115" s="12" t="e">
        <f>IF(INT((110)/Setup!$B$13)+1&lt;=Setup!$B$5,CHAR(64+INT((110)/Setup!$B$13)+1),"")</f>
        <v>#DIV/0!</v>
      </c>
      <c r="C115" s="12" t="e">
        <f>IF(INT((110)/Setup!$B$13)+1&lt;=Setup!$B$5,INDEX(Scores!$E$2:$E$225,2+(INT((110)/Setup!$B$13)+1-1)*28+(MOD(110,Setup!$B$13)+1-1)-1),"")</f>
        <v>#DIV/0!</v>
      </c>
      <c r="D115" s="12" t="e">
        <f>IF(INT((110)/Setup!$B$13)+1&lt;=Setup!$B$5,INDEX(Scores!$G$2:$G$225,2+(INT((110)/Setup!$B$13)+1-1)*28+(MOD(110,Setup!$B$13)+1-1)-1),"")</f>
        <v>#DIV/0!</v>
      </c>
      <c r="E115" s="12" t="e">
        <f>IF(INT((110)/Setup!$B$13)+1&lt;=Setup!$B$5,INDEX(Scores!$I$2:$I$225,2+(INT((110)/Setup!$B$13)+1-1)*28+(MOD(110,Setup!$B$13)+1-1)-1),"")</f>
        <v>#DIV/0!</v>
      </c>
      <c r="F115" s="66"/>
      <c r="G115" s="67"/>
      <c r="H115" s="66"/>
      <c r="I115" s="67"/>
      <c r="J115" s="66"/>
      <c r="K115" s="67"/>
      <c r="L115" s="66"/>
      <c r="M115" s="67"/>
      <c r="N115" s="66"/>
      <c r="O115" s="67"/>
      <c r="P115" s="6" t="e">
        <f>IF($A115="","",IFERROR(INDEX(Scores!$T$2:$T$225,MATCH($A115,Scores!$A$2:$A$225,0)),""))</f>
        <v>#DIV/0!</v>
      </c>
      <c r="Q115" s="6" t="e">
        <f>IF($A115="","",IFERROR(INDEX(Scores!$U$2:$U$225,MATCH($A115,Scores!$A$2:$A$225,0)),""))</f>
        <v>#DIV/0!</v>
      </c>
      <c r="R115" s="12" t="e">
        <f>IF($A115="","",IF(IFERROR(INDEX(Scores!$X$2:$X$225,MATCH($A115,Scores!$A$2:$A$225,0)),0)=1,"Complete","Waiting"))</f>
        <v>#DIV/0!</v>
      </c>
      <c r="S115" s="12" t="e">
        <f>IF($A115="","",IFERROR(INDEX(Scores!$Y$2:$Y$225,MATCH($A115,Scores!$A$2:$A$225,0)),""))</f>
        <v>#DIV/0!</v>
      </c>
    </row>
    <row r="116" spans="1:19">
      <c r="A116" s="12" t="e">
        <f>IF(INT((111)/Setup!$B$13)+1&lt;=Setup!$B$5,INDEX(Scores!$A$2:$A$225,2+(INT((111)/Setup!$B$13)+1-1)*28+(MOD(111,Setup!$B$13)+1-1)-1),"")</f>
        <v>#DIV/0!</v>
      </c>
      <c r="B116" s="12" t="e">
        <f>IF(INT((111)/Setup!$B$13)+1&lt;=Setup!$B$5,CHAR(64+INT((111)/Setup!$B$13)+1),"")</f>
        <v>#DIV/0!</v>
      </c>
      <c r="C116" s="12" t="e">
        <f>IF(INT((111)/Setup!$B$13)+1&lt;=Setup!$B$5,INDEX(Scores!$E$2:$E$225,2+(INT((111)/Setup!$B$13)+1-1)*28+(MOD(111,Setup!$B$13)+1-1)-1),"")</f>
        <v>#DIV/0!</v>
      </c>
      <c r="D116" s="12" t="e">
        <f>IF(INT((111)/Setup!$B$13)+1&lt;=Setup!$B$5,INDEX(Scores!$G$2:$G$225,2+(INT((111)/Setup!$B$13)+1-1)*28+(MOD(111,Setup!$B$13)+1-1)-1),"")</f>
        <v>#DIV/0!</v>
      </c>
      <c r="E116" s="12" t="e">
        <f>IF(INT((111)/Setup!$B$13)+1&lt;=Setup!$B$5,INDEX(Scores!$I$2:$I$225,2+(INT((111)/Setup!$B$13)+1-1)*28+(MOD(111,Setup!$B$13)+1-1)-1),"")</f>
        <v>#DIV/0!</v>
      </c>
      <c r="F116" s="66"/>
      <c r="G116" s="67"/>
      <c r="H116" s="66"/>
      <c r="I116" s="67"/>
      <c r="J116" s="66"/>
      <c r="K116" s="67"/>
      <c r="L116" s="66"/>
      <c r="M116" s="67"/>
      <c r="N116" s="66"/>
      <c r="O116" s="67"/>
      <c r="P116" s="6" t="e">
        <f>IF($A116="","",IFERROR(INDEX(Scores!$T$2:$T$225,MATCH($A116,Scores!$A$2:$A$225,0)),""))</f>
        <v>#DIV/0!</v>
      </c>
      <c r="Q116" s="6" t="e">
        <f>IF($A116="","",IFERROR(INDEX(Scores!$U$2:$U$225,MATCH($A116,Scores!$A$2:$A$225,0)),""))</f>
        <v>#DIV/0!</v>
      </c>
      <c r="R116" s="12" t="e">
        <f>IF($A116="","",IF(IFERROR(INDEX(Scores!$X$2:$X$225,MATCH($A116,Scores!$A$2:$A$225,0)),0)=1,"Complete","Waiting"))</f>
        <v>#DIV/0!</v>
      </c>
      <c r="S116" s="12" t="e">
        <f>IF($A116="","",IFERROR(INDEX(Scores!$Y$2:$Y$225,MATCH($A116,Scores!$A$2:$A$225,0)),""))</f>
        <v>#DIV/0!</v>
      </c>
    </row>
    <row r="117" spans="1:19">
      <c r="A117" s="12" t="e">
        <f>IF(INT((112)/Setup!$B$13)+1&lt;=Setup!$B$5,INDEX(Scores!$A$2:$A$225,2+(INT((112)/Setup!$B$13)+1-1)*28+(MOD(112,Setup!$B$13)+1-1)-1),"")</f>
        <v>#DIV/0!</v>
      </c>
      <c r="B117" s="12" t="e">
        <f>IF(INT((112)/Setup!$B$13)+1&lt;=Setup!$B$5,CHAR(64+INT((112)/Setup!$B$13)+1),"")</f>
        <v>#DIV/0!</v>
      </c>
      <c r="C117" s="12" t="e">
        <f>IF(INT((112)/Setup!$B$13)+1&lt;=Setup!$B$5,INDEX(Scores!$E$2:$E$225,2+(INT((112)/Setup!$B$13)+1-1)*28+(MOD(112,Setup!$B$13)+1-1)-1),"")</f>
        <v>#DIV/0!</v>
      </c>
      <c r="D117" s="12" t="e">
        <f>IF(INT((112)/Setup!$B$13)+1&lt;=Setup!$B$5,INDEX(Scores!$G$2:$G$225,2+(INT((112)/Setup!$B$13)+1-1)*28+(MOD(112,Setup!$B$13)+1-1)-1),"")</f>
        <v>#DIV/0!</v>
      </c>
      <c r="E117" s="12" t="e">
        <f>IF(INT((112)/Setup!$B$13)+1&lt;=Setup!$B$5,INDEX(Scores!$I$2:$I$225,2+(INT((112)/Setup!$B$13)+1-1)*28+(MOD(112,Setup!$B$13)+1-1)-1),"")</f>
        <v>#DIV/0!</v>
      </c>
      <c r="F117" s="66"/>
      <c r="G117" s="67"/>
      <c r="H117" s="66"/>
      <c r="I117" s="67"/>
      <c r="J117" s="66"/>
      <c r="K117" s="67"/>
      <c r="L117" s="66"/>
      <c r="M117" s="67"/>
      <c r="N117" s="66"/>
      <c r="O117" s="67"/>
      <c r="P117" s="6" t="e">
        <f>IF($A117="","",IFERROR(INDEX(Scores!$T$2:$T$225,MATCH($A117,Scores!$A$2:$A$225,0)),""))</f>
        <v>#DIV/0!</v>
      </c>
      <c r="Q117" s="6" t="e">
        <f>IF($A117="","",IFERROR(INDEX(Scores!$U$2:$U$225,MATCH($A117,Scores!$A$2:$A$225,0)),""))</f>
        <v>#DIV/0!</v>
      </c>
      <c r="R117" s="12" t="e">
        <f>IF($A117="","",IF(IFERROR(INDEX(Scores!$X$2:$X$225,MATCH($A117,Scores!$A$2:$A$225,0)),0)=1,"Complete","Waiting"))</f>
        <v>#DIV/0!</v>
      </c>
      <c r="S117" s="12" t="e">
        <f>IF($A117="","",IFERROR(INDEX(Scores!$Y$2:$Y$225,MATCH($A117,Scores!$A$2:$A$225,0)),""))</f>
        <v>#DIV/0!</v>
      </c>
    </row>
    <row r="118" spans="1:19">
      <c r="A118" s="12" t="e">
        <f>IF(INT((113)/Setup!$B$13)+1&lt;=Setup!$B$5,INDEX(Scores!$A$2:$A$225,2+(INT((113)/Setup!$B$13)+1-1)*28+(MOD(113,Setup!$B$13)+1-1)-1),"")</f>
        <v>#DIV/0!</v>
      </c>
      <c r="B118" s="12" t="e">
        <f>IF(INT((113)/Setup!$B$13)+1&lt;=Setup!$B$5,CHAR(64+INT((113)/Setup!$B$13)+1),"")</f>
        <v>#DIV/0!</v>
      </c>
      <c r="C118" s="12" t="e">
        <f>IF(INT((113)/Setup!$B$13)+1&lt;=Setup!$B$5,INDEX(Scores!$E$2:$E$225,2+(INT((113)/Setup!$B$13)+1-1)*28+(MOD(113,Setup!$B$13)+1-1)-1),"")</f>
        <v>#DIV/0!</v>
      </c>
      <c r="D118" s="12" t="e">
        <f>IF(INT((113)/Setup!$B$13)+1&lt;=Setup!$B$5,INDEX(Scores!$G$2:$G$225,2+(INT((113)/Setup!$B$13)+1-1)*28+(MOD(113,Setup!$B$13)+1-1)-1),"")</f>
        <v>#DIV/0!</v>
      </c>
      <c r="E118" s="12" t="e">
        <f>IF(INT((113)/Setup!$B$13)+1&lt;=Setup!$B$5,INDEX(Scores!$I$2:$I$225,2+(INT((113)/Setup!$B$13)+1-1)*28+(MOD(113,Setup!$B$13)+1-1)-1),"")</f>
        <v>#DIV/0!</v>
      </c>
      <c r="F118" s="66"/>
      <c r="G118" s="67"/>
      <c r="H118" s="66"/>
      <c r="I118" s="67"/>
      <c r="J118" s="66"/>
      <c r="K118" s="67"/>
      <c r="L118" s="66"/>
      <c r="M118" s="67"/>
      <c r="N118" s="66"/>
      <c r="O118" s="67"/>
      <c r="P118" s="6" t="e">
        <f>IF($A118="","",IFERROR(INDEX(Scores!$T$2:$T$225,MATCH($A118,Scores!$A$2:$A$225,0)),""))</f>
        <v>#DIV/0!</v>
      </c>
      <c r="Q118" s="6" t="e">
        <f>IF($A118="","",IFERROR(INDEX(Scores!$U$2:$U$225,MATCH($A118,Scores!$A$2:$A$225,0)),""))</f>
        <v>#DIV/0!</v>
      </c>
      <c r="R118" s="12" t="e">
        <f>IF($A118="","",IF(IFERROR(INDEX(Scores!$X$2:$X$225,MATCH($A118,Scores!$A$2:$A$225,0)),0)=1,"Complete","Waiting"))</f>
        <v>#DIV/0!</v>
      </c>
      <c r="S118" s="12" t="e">
        <f>IF($A118="","",IFERROR(INDEX(Scores!$Y$2:$Y$225,MATCH($A118,Scores!$A$2:$A$225,0)),""))</f>
        <v>#DIV/0!</v>
      </c>
    </row>
    <row r="119" spans="1:19">
      <c r="A119" s="12" t="e">
        <f>IF(INT((114)/Setup!$B$13)+1&lt;=Setup!$B$5,INDEX(Scores!$A$2:$A$225,2+(INT((114)/Setup!$B$13)+1-1)*28+(MOD(114,Setup!$B$13)+1-1)-1),"")</f>
        <v>#DIV/0!</v>
      </c>
      <c r="B119" s="12" t="e">
        <f>IF(INT((114)/Setup!$B$13)+1&lt;=Setup!$B$5,CHAR(64+INT((114)/Setup!$B$13)+1),"")</f>
        <v>#DIV/0!</v>
      </c>
      <c r="C119" s="12" t="e">
        <f>IF(INT((114)/Setup!$B$13)+1&lt;=Setup!$B$5,INDEX(Scores!$E$2:$E$225,2+(INT((114)/Setup!$B$13)+1-1)*28+(MOD(114,Setup!$B$13)+1-1)-1),"")</f>
        <v>#DIV/0!</v>
      </c>
      <c r="D119" s="12" t="e">
        <f>IF(INT((114)/Setup!$B$13)+1&lt;=Setup!$B$5,INDEX(Scores!$G$2:$G$225,2+(INT((114)/Setup!$B$13)+1-1)*28+(MOD(114,Setup!$B$13)+1-1)-1),"")</f>
        <v>#DIV/0!</v>
      </c>
      <c r="E119" s="12" t="e">
        <f>IF(INT((114)/Setup!$B$13)+1&lt;=Setup!$B$5,INDEX(Scores!$I$2:$I$225,2+(INT((114)/Setup!$B$13)+1-1)*28+(MOD(114,Setup!$B$13)+1-1)-1),"")</f>
        <v>#DIV/0!</v>
      </c>
      <c r="F119" s="66"/>
      <c r="G119" s="67"/>
      <c r="H119" s="66"/>
      <c r="I119" s="67"/>
      <c r="J119" s="66"/>
      <c r="K119" s="67"/>
      <c r="L119" s="66"/>
      <c r="M119" s="67"/>
      <c r="N119" s="66"/>
      <c r="O119" s="67"/>
      <c r="P119" s="6" t="e">
        <f>IF($A119="","",IFERROR(INDEX(Scores!$T$2:$T$225,MATCH($A119,Scores!$A$2:$A$225,0)),""))</f>
        <v>#DIV/0!</v>
      </c>
      <c r="Q119" s="6" t="e">
        <f>IF($A119="","",IFERROR(INDEX(Scores!$U$2:$U$225,MATCH($A119,Scores!$A$2:$A$225,0)),""))</f>
        <v>#DIV/0!</v>
      </c>
      <c r="R119" s="12" t="e">
        <f>IF($A119="","",IF(IFERROR(INDEX(Scores!$X$2:$X$225,MATCH($A119,Scores!$A$2:$A$225,0)),0)=1,"Complete","Waiting"))</f>
        <v>#DIV/0!</v>
      </c>
      <c r="S119" s="12" t="e">
        <f>IF($A119="","",IFERROR(INDEX(Scores!$Y$2:$Y$225,MATCH($A119,Scores!$A$2:$A$225,0)),""))</f>
        <v>#DIV/0!</v>
      </c>
    </row>
    <row r="120" spans="1:19">
      <c r="A120" s="12" t="e">
        <f>IF(INT((115)/Setup!$B$13)+1&lt;=Setup!$B$5,INDEX(Scores!$A$2:$A$225,2+(INT((115)/Setup!$B$13)+1-1)*28+(MOD(115,Setup!$B$13)+1-1)-1),"")</f>
        <v>#DIV/0!</v>
      </c>
      <c r="B120" s="12" t="e">
        <f>IF(INT((115)/Setup!$B$13)+1&lt;=Setup!$B$5,CHAR(64+INT((115)/Setup!$B$13)+1),"")</f>
        <v>#DIV/0!</v>
      </c>
      <c r="C120" s="12" t="e">
        <f>IF(INT((115)/Setup!$B$13)+1&lt;=Setup!$B$5,INDEX(Scores!$E$2:$E$225,2+(INT((115)/Setup!$B$13)+1-1)*28+(MOD(115,Setup!$B$13)+1-1)-1),"")</f>
        <v>#DIV/0!</v>
      </c>
      <c r="D120" s="12" t="e">
        <f>IF(INT((115)/Setup!$B$13)+1&lt;=Setup!$B$5,INDEX(Scores!$G$2:$G$225,2+(INT((115)/Setup!$B$13)+1-1)*28+(MOD(115,Setup!$B$13)+1-1)-1),"")</f>
        <v>#DIV/0!</v>
      </c>
      <c r="E120" s="12" t="e">
        <f>IF(INT((115)/Setup!$B$13)+1&lt;=Setup!$B$5,INDEX(Scores!$I$2:$I$225,2+(INT((115)/Setup!$B$13)+1-1)*28+(MOD(115,Setup!$B$13)+1-1)-1),"")</f>
        <v>#DIV/0!</v>
      </c>
      <c r="F120" s="66"/>
      <c r="G120" s="67"/>
      <c r="H120" s="66"/>
      <c r="I120" s="67"/>
      <c r="J120" s="66"/>
      <c r="K120" s="67"/>
      <c r="L120" s="66"/>
      <c r="M120" s="67"/>
      <c r="N120" s="66"/>
      <c r="O120" s="67"/>
      <c r="P120" s="6" t="e">
        <f>IF($A120="","",IFERROR(INDEX(Scores!$T$2:$T$225,MATCH($A120,Scores!$A$2:$A$225,0)),""))</f>
        <v>#DIV/0!</v>
      </c>
      <c r="Q120" s="6" t="e">
        <f>IF($A120="","",IFERROR(INDEX(Scores!$U$2:$U$225,MATCH($A120,Scores!$A$2:$A$225,0)),""))</f>
        <v>#DIV/0!</v>
      </c>
      <c r="R120" s="12" t="e">
        <f>IF($A120="","",IF(IFERROR(INDEX(Scores!$X$2:$X$225,MATCH($A120,Scores!$A$2:$A$225,0)),0)=1,"Complete","Waiting"))</f>
        <v>#DIV/0!</v>
      </c>
      <c r="S120" s="12" t="e">
        <f>IF($A120="","",IFERROR(INDEX(Scores!$Y$2:$Y$225,MATCH($A120,Scores!$A$2:$A$225,0)),""))</f>
        <v>#DIV/0!</v>
      </c>
    </row>
    <row r="121" spans="1:19">
      <c r="A121" s="12" t="e">
        <f>IF(INT((116)/Setup!$B$13)+1&lt;=Setup!$B$5,INDEX(Scores!$A$2:$A$225,2+(INT((116)/Setup!$B$13)+1-1)*28+(MOD(116,Setup!$B$13)+1-1)-1),"")</f>
        <v>#DIV/0!</v>
      </c>
      <c r="B121" s="12" t="e">
        <f>IF(INT((116)/Setup!$B$13)+1&lt;=Setup!$B$5,CHAR(64+INT((116)/Setup!$B$13)+1),"")</f>
        <v>#DIV/0!</v>
      </c>
      <c r="C121" s="12" t="e">
        <f>IF(INT((116)/Setup!$B$13)+1&lt;=Setup!$B$5,INDEX(Scores!$E$2:$E$225,2+(INT((116)/Setup!$B$13)+1-1)*28+(MOD(116,Setup!$B$13)+1-1)-1),"")</f>
        <v>#DIV/0!</v>
      </c>
      <c r="D121" s="12" t="e">
        <f>IF(INT((116)/Setup!$B$13)+1&lt;=Setup!$B$5,INDEX(Scores!$G$2:$G$225,2+(INT((116)/Setup!$B$13)+1-1)*28+(MOD(116,Setup!$B$13)+1-1)-1),"")</f>
        <v>#DIV/0!</v>
      </c>
      <c r="E121" s="12" t="e">
        <f>IF(INT((116)/Setup!$B$13)+1&lt;=Setup!$B$5,INDEX(Scores!$I$2:$I$225,2+(INT((116)/Setup!$B$13)+1-1)*28+(MOD(116,Setup!$B$13)+1-1)-1),"")</f>
        <v>#DIV/0!</v>
      </c>
      <c r="F121" s="66"/>
      <c r="G121" s="67"/>
      <c r="H121" s="66"/>
      <c r="I121" s="67"/>
      <c r="J121" s="66"/>
      <c r="K121" s="67"/>
      <c r="L121" s="66"/>
      <c r="M121" s="67"/>
      <c r="N121" s="66"/>
      <c r="O121" s="67"/>
      <c r="P121" s="6" t="e">
        <f>IF($A121="","",IFERROR(INDEX(Scores!$T$2:$T$225,MATCH($A121,Scores!$A$2:$A$225,0)),""))</f>
        <v>#DIV/0!</v>
      </c>
      <c r="Q121" s="6" t="e">
        <f>IF($A121="","",IFERROR(INDEX(Scores!$U$2:$U$225,MATCH($A121,Scores!$A$2:$A$225,0)),""))</f>
        <v>#DIV/0!</v>
      </c>
      <c r="R121" s="12" t="e">
        <f>IF($A121="","",IF(IFERROR(INDEX(Scores!$X$2:$X$225,MATCH($A121,Scores!$A$2:$A$225,0)),0)=1,"Complete","Waiting"))</f>
        <v>#DIV/0!</v>
      </c>
      <c r="S121" s="12" t="e">
        <f>IF($A121="","",IFERROR(INDEX(Scores!$Y$2:$Y$225,MATCH($A121,Scores!$A$2:$A$225,0)),""))</f>
        <v>#DIV/0!</v>
      </c>
    </row>
    <row r="122" spans="1:19">
      <c r="A122" s="12" t="e">
        <f>IF(INT((117)/Setup!$B$13)+1&lt;=Setup!$B$5,INDEX(Scores!$A$2:$A$225,2+(INT((117)/Setup!$B$13)+1-1)*28+(MOD(117,Setup!$B$13)+1-1)-1),"")</f>
        <v>#DIV/0!</v>
      </c>
      <c r="B122" s="12" t="e">
        <f>IF(INT((117)/Setup!$B$13)+1&lt;=Setup!$B$5,CHAR(64+INT((117)/Setup!$B$13)+1),"")</f>
        <v>#DIV/0!</v>
      </c>
      <c r="C122" s="12" t="e">
        <f>IF(INT((117)/Setup!$B$13)+1&lt;=Setup!$B$5,INDEX(Scores!$E$2:$E$225,2+(INT((117)/Setup!$B$13)+1-1)*28+(MOD(117,Setup!$B$13)+1-1)-1),"")</f>
        <v>#DIV/0!</v>
      </c>
      <c r="D122" s="12" t="e">
        <f>IF(INT((117)/Setup!$B$13)+1&lt;=Setup!$B$5,INDEX(Scores!$G$2:$G$225,2+(INT((117)/Setup!$B$13)+1-1)*28+(MOD(117,Setup!$B$13)+1-1)-1),"")</f>
        <v>#DIV/0!</v>
      </c>
      <c r="E122" s="12" t="e">
        <f>IF(INT((117)/Setup!$B$13)+1&lt;=Setup!$B$5,INDEX(Scores!$I$2:$I$225,2+(INT((117)/Setup!$B$13)+1-1)*28+(MOD(117,Setup!$B$13)+1-1)-1),"")</f>
        <v>#DIV/0!</v>
      </c>
      <c r="F122" s="66"/>
      <c r="G122" s="67"/>
      <c r="H122" s="66"/>
      <c r="I122" s="67"/>
      <c r="J122" s="66"/>
      <c r="K122" s="67"/>
      <c r="L122" s="66"/>
      <c r="M122" s="67"/>
      <c r="N122" s="66"/>
      <c r="O122" s="67"/>
      <c r="P122" s="6" t="e">
        <f>IF($A122="","",IFERROR(INDEX(Scores!$T$2:$T$225,MATCH($A122,Scores!$A$2:$A$225,0)),""))</f>
        <v>#DIV/0!</v>
      </c>
      <c r="Q122" s="6" t="e">
        <f>IF($A122="","",IFERROR(INDEX(Scores!$U$2:$U$225,MATCH($A122,Scores!$A$2:$A$225,0)),""))</f>
        <v>#DIV/0!</v>
      </c>
      <c r="R122" s="12" t="e">
        <f>IF($A122="","",IF(IFERROR(INDEX(Scores!$X$2:$X$225,MATCH($A122,Scores!$A$2:$A$225,0)),0)=1,"Complete","Waiting"))</f>
        <v>#DIV/0!</v>
      </c>
      <c r="S122" s="12" t="e">
        <f>IF($A122="","",IFERROR(INDEX(Scores!$Y$2:$Y$225,MATCH($A122,Scores!$A$2:$A$225,0)),""))</f>
        <v>#DIV/0!</v>
      </c>
    </row>
    <row r="123" spans="1:19">
      <c r="A123" s="12" t="e">
        <f>IF(INT((118)/Setup!$B$13)+1&lt;=Setup!$B$5,INDEX(Scores!$A$2:$A$225,2+(INT((118)/Setup!$B$13)+1-1)*28+(MOD(118,Setup!$B$13)+1-1)-1),"")</f>
        <v>#DIV/0!</v>
      </c>
      <c r="B123" s="12" t="e">
        <f>IF(INT((118)/Setup!$B$13)+1&lt;=Setup!$B$5,CHAR(64+INT((118)/Setup!$B$13)+1),"")</f>
        <v>#DIV/0!</v>
      </c>
      <c r="C123" s="12" t="e">
        <f>IF(INT((118)/Setup!$B$13)+1&lt;=Setup!$B$5,INDEX(Scores!$E$2:$E$225,2+(INT((118)/Setup!$B$13)+1-1)*28+(MOD(118,Setup!$B$13)+1-1)-1),"")</f>
        <v>#DIV/0!</v>
      </c>
      <c r="D123" s="12" t="e">
        <f>IF(INT((118)/Setup!$B$13)+1&lt;=Setup!$B$5,INDEX(Scores!$G$2:$G$225,2+(INT((118)/Setup!$B$13)+1-1)*28+(MOD(118,Setup!$B$13)+1-1)-1),"")</f>
        <v>#DIV/0!</v>
      </c>
      <c r="E123" s="12" t="e">
        <f>IF(INT((118)/Setup!$B$13)+1&lt;=Setup!$B$5,INDEX(Scores!$I$2:$I$225,2+(INT((118)/Setup!$B$13)+1-1)*28+(MOD(118,Setup!$B$13)+1-1)-1),"")</f>
        <v>#DIV/0!</v>
      </c>
      <c r="F123" s="66"/>
      <c r="G123" s="67"/>
      <c r="H123" s="66"/>
      <c r="I123" s="67"/>
      <c r="J123" s="66"/>
      <c r="K123" s="67"/>
      <c r="L123" s="66"/>
      <c r="M123" s="67"/>
      <c r="N123" s="66"/>
      <c r="O123" s="67"/>
      <c r="P123" s="6" t="e">
        <f>IF($A123="","",IFERROR(INDEX(Scores!$T$2:$T$225,MATCH($A123,Scores!$A$2:$A$225,0)),""))</f>
        <v>#DIV/0!</v>
      </c>
      <c r="Q123" s="6" t="e">
        <f>IF($A123="","",IFERROR(INDEX(Scores!$U$2:$U$225,MATCH($A123,Scores!$A$2:$A$225,0)),""))</f>
        <v>#DIV/0!</v>
      </c>
      <c r="R123" s="12" t="e">
        <f>IF($A123="","",IF(IFERROR(INDEX(Scores!$X$2:$X$225,MATCH($A123,Scores!$A$2:$A$225,0)),0)=1,"Complete","Waiting"))</f>
        <v>#DIV/0!</v>
      </c>
      <c r="S123" s="12" t="e">
        <f>IF($A123="","",IFERROR(INDEX(Scores!$Y$2:$Y$225,MATCH($A123,Scores!$A$2:$A$225,0)),""))</f>
        <v>#DIV/0!</v>
      </c>
    </row>
    <row r="124" spans="1:19">
      <c r="A124" s="12" t="e">
        <f>IF(INT((119)/Setup!$B$13)+1&lt;=Setup!$B$5,INDEX(Scores!$A$2:$A$225,2+(INT((119)/Setup!$B$13)+1-1)*28+(MOD(119,Setup!$B$13)+1-1)-1),"")</f>
        <v>#DIV/0!</v>
      </c>
      <c r="B124" s="12" t="e">
        <f>IF(INT((119)/Setup!$B$13)+1&lt;=Setup!$B$5,CHAR(64+INT((119)/Setup!$B$13)+1),"")</f>
        <v>#DIV/0!</v>
      </c>
      <c r="C124" s="12" t="e">
        <f>IF(INT((119)/Setup!$B$13)+1&lt;=Setup!$B$5,INDEX(Scores!$E$2:$E$225,2+(INT((119)/Setup!$B$13)+1-1)*28+(MOD(119,Setup!$B$13)+1-1)-1),"")</f>
        <v>#DIV/0!</v>
      </c>
      <c r="D124" s="12" t="e">
        <f>IF(INT((119)/Setup!$B$13)+1&lt;=Setup!$B$5,INDEX(Scores!$G$2:$G$225,2+(INT((119)/Setup!$B$13)+1-1)*28+(MOD(119,Setup!$B$13)+1-1)-1),"")</f>
        <v>#DIV/0!</v>
      </c>
      <c r="E124" s="12" t="e">
        <f>IF(INT((119)/Setup!$B$13)+1&lt;=Setup!$B$5,INDEX(Scores!$I$2:$I$225,2+(INT((119)/Setup!$B$13)+1-1)*28+(MOD(119,Setup!$B$13)+1-1)-1),"")</f>
        <v>#DIV/0!</v>
      </c>
      <c r="F124" s="66"/>
      <c r="G124" s="67"/>
      <c r="H124" s="66"/>
      <c r="I124" s="67"/>
      <c r="J124" s="66"/>
      <c r="K124" s="67"/>
      <c r="L124" s="66"/>
      <c r="M124" s="67"/>
      <c r="N124" s="66"/>
      <c r="O124" s="67"/>
      <c r="P124" s="6" t="e">
        <f>IF($A124="","",IFERROR(INDEX(Scores!$T$2:$T$225,MATCH($A124,Scores!$A$2:$A$225,0)),""))</f>
        <v>#DIV/0!</v>
      </c>
      <c r="Q124" s="6" t="e">
        <f>IF($A124="","",IFERROR(INDEX(Scores!$U$2:$U$225,MATCH($A124,Scores!$A$2:$A$225,0)),""))</f>
        <v>#DIV/0!</v>
      </c>
      <c r="R124" s="12" t="e">
        <f>IF($A124="","",IF(IFERROR(INDEX(Scores!$X$2:$X$225,MATCH($A124,Scores!$A$2:$A$225,0)),0)=1,"Complete","Waiting"))</f>
        <v>#DIV/0!</v>
      </c>
      <c r="S124" s="12" t="e">
        <f>IF($A124="","",IFERROR(INDEX(Scores!$Y$2:$Y$225,MATCH($A124,Scores!$A$2:$A$225,0)),""))</f>
        <v>#DIV/0!</v>
      </c>
    </row>
    <row r="125" spans="1:19">
      <c r="A125" s="12" t="e">
        <f>IF(INT((120)/Setup!$B$13)+1&lt;=Setup!$B$5,INDEX(Scores!$A$2:$A$225,2+(INT((120)/Setup!$B$13)+1-1)*28+(MOD(120,Setup!$B$13)+1-1)-1),"")</f>
        <v>#DIV/0!</v>
      </c>
      <c r="B125" s="12" t="e">
        <f>IF(INT((120)/Setup!$B$13)+1&lt;=Setup!$B$5,CHAR(64+INT((120)/Setup!$B$13)+1),"")</f>
        <v>#DIV/0!</v>
      </c>
      <c r="C125" s="12" t="e">
        <f>IF(INT((120)/Setup!$B$13)+1&lt;=Setup!$B$5,INDEX(Scores!$E$2:$E$225,2+(INT((120)/Setup!$B$13)+1-1)*28+(MOD(120,Setup!$B$13)+1-1)-1),"")</f>
        <v>#DIV/0!</v>
      </c>
      <c r="D125" s="12" t="e">
        <f>IF(INT((120)/Setup!$B$13)+1&lt;=Setup!$B$5,INDEX(Scores!$G$2:$G$225,2+(INT((120)/Setup!$B$13)+1-1)*28+(MOD(120,Setup!$B$13)+1-1)-1),"")</f>
        <v>#DIV/0!</v>
      </c>
      <c r="E125" s="12" t="e">
        <f>IF(INT((120)/Setup!$B$13)+1&lt;=Setup!$B$5,INDEX(Scores!$I$2:$I$225,2+(INT((120)/Setup!$B$13)+1-1)*28+(MOD(120,Setup!$B$13)+1-1)-1),"")</f>
        <v>#DIV/0!</v>
      </c>
      <c r="F125" s="66"/>
      <c r="G125" s="67"/>
      <c r="H125" s="66"/>
      <c r="I125" s="67"/>
      <c r="J125" s="66"/>
      <c r="K125" s="67"/>
      <c r="L125" s="66"/>
      <c r="M125" s="67"/>
      <c r="N125" s="66"/>
      <c r="O125" s="67"/>
      <c r="P125" s="6" t="e">
        <f>IF($A125="","",IFERROR(INDEX(Scores!$T$2:$T$225,MATCH($A125,Scores!$A$2:$A$225,0)),""))</f>
        <v>#DIV/0!</v>
      </c>
      <c r="Q125" s="6" t="e">
        <f>IF($A125="","",IFERROR(INDEX(Scores!$U$2:$U$225,MATCH($A125,Scores!$A$2:$A$225,0)),""))</f>
        <v>#DIV/0!</v>
      </c>
      <c r="R125" s="12" t="e">
        <f>IF($A125="","",IF(IFERROR(INDEX(Scores!$X$2:$X$225,MATCH($A125,Scores!$A$2:$A$225,0)),0)=1,"Complete","Waiting"))</f>
        <v>#DIV/0!</v>
      </c>
      <c r="S125" s="12" t="e">
        <f>IF($A125="","",IFERROR(INDEX(Scores!$Y$2:$Y$225,MATCH($A125,Scores!$A$2:$A$225,0)),""))</f>
        <v>#DIV/0!</v>
      </c>
    </row>
    <row r="126" spans="1:19">
      <c r="A126" s="12" t="e">
        <f>IF(INT((121)/Setup!$B$13)+1&lt;=Setup!$B$5,INDEX(Scores!$A$2:$A$225,2+(INT((121)/Setup!$B$13)+1-1)*28+(MOD(121,Setup!$B$13)+1-1)-1),"")</f>
        <v>#DIV/0!</v>
      </c>
      <c r="B126" s="12" t="e">
        <f>IF(INT((121)/Setup!$B$13)+1&lt;=Setup!$B$5,CHAR(64+INT((121)/Setup!$B$13)+1),"")</f>
        <v>#DIV/0!</v>
      </c>
      <c r="C126" s="12" t="e">
        <f>IF(INT((121)/Setup!$B$13)+1&lt;=Setup!$B$5,INDEX(Scores!$E$2:$E$225,2+(INT((121)/Setup!$B$13)+1-1)*28+(MOD(121,Setup!$B$13)+1-1)-1),"")</f>
        <v>#DIV/0!</v>
      </c>
      <c r="D126" s="12" t="e">
        <f>IF(INT((121)/Setup!$B$13)+1&lt;=Setup!$B$5,INDEX(Scores!$G$2:$G$225,2+(INT((121)/Setup!$B$13)+1-1)*28+(MOD(121,Setup!$B$13)+1-1)-1),"")</f>
        <v>#DIV/0!</v>
      </c>
      <c r="E126" s="12" t="e">
        <f>IF(INT((121)/Setup!$B$13)+1&lt;=Setup!$B$5,INDEX(Scores!$I$2:$I$225,2+(INT((121)/Setup!$B$13)+1-1)*28+(MOD(121,Setup!$B$13)+1-1)-1),"")</f>
        <v>#DIV/0!</v>
      </c>
      <c r="F126" s="66"/>
      <c r="G126" s="67"/>
      <c r="H126" s="66"/>
      <c r="I126" s="67"/>
      <c r="J126" s="66"/>
      <c r="K126" s="67"/>
      <c r="L126" s="66"/>
      <c r="M126" s="67"/>
      <c r="N126" s="66"/>
      <c r="O126" s="67"/>
      <c r="P126" s="6" t="e">
        <f>IF($A126="","",IFERROR(INDEX(Scores!$T$2:$T$225,MATCH($A126,Scores!$A$2:$A$225,0)),""))</f>
        <v>#DIV/0!</v>
      </c>
      <c r="Q126" s="6" t="e">
        <f>IF($A126="","",IFERROR(INDEX(Scores!$U$2:$U$225,MATCH($A126,Scores!$A$2:$A$225,0)),""))</f>
        <v>#DIV/0!</v>
      </c>
      <c r="R126" s="12" t="e">
        <f>IF($A126="","",IF(IFERROR(INDEX(Scores!$X$2:$X$225,MATCH($A126,Scores!$A$2:$A$225,0)),0)=1,"Complete","Waiting"))</f>
        <v>#DIV/0!</v>
      </c>
      <c r="S126" s="12" t="e">
        <f>IF($A126="","",IFERROR(INDEX(Scores!$Y$2:$Y$225,MATCH($A126,Scores!$A$2:$A$225,0)),""))</f>
        <v>#DIV/0!</v>
      </c>
    </row>
    <row r="127" spans="1:19">
      <c r="A127" s="12" t="e">
        <f>IF(INT((122)/Setup!$B$13)+1&lt;=Setup!$B$5,INDEX(Scores!$A$2:$A$225,2+(INT((122)/Setup!$B$13)+1-1)*28+(MOD(122,Setup!$B$13)+1-1)-1),"")</f>
        <v>#DIV/0!</v>
      </c>
      <c r="B127" s="12" t="e">
        <f>IF(INT((122)/Setup!$B$13)+1&lt;=Setup!$B$5,CHAR(64+INT((122)/Setup!$B$13)+1),"")</f>
        <v>#DIV/0!</v>
      </c>
      <c r="C127" s="12" t="e">
        <f>IF(INT((122)/Setup!$B$13)+1&lt;=Setup!$B$5,INDEX(Scores!$E$2:$E$225,2+(INT((122)/Setup!$B$13)+1-1)*28+(MOD(122,Setup!$B$13)+1-1)-1),"")</f>
        <v>#DIV/0!</v>
      </c>
      <c r="D127" s="12" t="e">
        <f>IF(INT((122)/Setup!$B$13)+1&lt;=Setup!$B$5,INDEX(Scores!$G$2:$G$225,2+(INT((122)/Setup!$B$13)+1-1)*28+(MOD(122,Setup!$B$13)+1-1)-1),"")</f>
        <v>#DIV/0!</v>
      </c>
      <c r="E127" s="12" t="e">
        <f>IF(INT((122)/Setup!$B$13)+1&lt;=Setup!$B$5,INDEX(Scores!$I$2:$I$225,2+(INT((122)/Setup!$B$13)+1-1)*28+(MOD(122,Setup!$B$13)+1-1)-1),"")</f>
        <v>#DIV/0!</v>
      </c>
      <c r="F127" s="66"/>
      <c r="G127" s="67"/>
      <c r="H127" s="66"/>
      <c r="I127" s="67"/>
      <c r="J127" s="66"/>
      <c r="K127" s="67"/>
      <c r="L127" s="66"/>
      <c r="M127" s="67"/>
      <c r="N127" s="66"/>
      <c r="O127" s="67"/>
      <c r="P127" s="6" t="e">
        <f>IF($A127="","",IFERROR(INDEX(Scores!$T$2:$T$225,MATCH($A127,Scores!$A$2:$A$225,0)),""))</f>
        <v>#DIV/0!</v>
      </c>
      <c r="Q127" s="6" t="e">
        <f>IF($A127="","",IFERROR(INDEX(Scores!$U$2:$U$225,MATCH($A127,Scores!$A$2:$A$225,0)),""))</f>
        <v>#DIV/0!</v>
      </c>
      <c r="R127" s="12" t="e">
        <f>IF($A127="","",IF(IFERROR(INDEX(Scores!$X$2:$X$225,MATCH($A127,Scores!$A$2:$A$225,0)),0)=1,"Complete","Waiting"))</f>
        <v>#DIV/0!</v>
      </c>
      <c r="S127" s="12" t="e">
        <f>IF($A127="","",IFERROR(INDEX(Scores!$Y$2:$Y$225,MATCH($A127,Scores!$A$2:$A$225,0)),""))</f>
        <v>#DIV/0!</v>
      </c>
    </row>
    <row r="128" spans="1:19">
      <c r="A128" s="12" t="e">
        <f>IF(INT((123)/Setup!$B$13)+1&lt;=Setup!$B$5,INDEX(Scores!$A$2:$A$225,2+(INT((123)/Setup!$B$13)+1-1)*28+(MOD(123,Setup!$B$13)+1-1)-1),"")</f>
        <v>#DIV/0!</v>
      </c>
      <c r="B128" s="12" t="e">
        <f>IF(INT((123)/Setup!$B$13)+1&lt;=Setup!$B$5,CHAR(64+INT((123)/Setup!$B$13)+1),"")</f>
        <v>#DIV/0!</v>
      </c>
      <c r="C128" s="12" t="e">
        <f>IF(INT((123)/Setup!$B$13)+1&lt;=Setup!$B$5,INDEX(Scores!$E$2:$E$225,2+(INT((123)/Setup!$B$13)+1-1)*28+(MOD(123,Setup!$B$13)+1-1)-1),"")</f>
        <v>#DIV/0!</v>
      </c>
      <c r="D128" s="12" t="e">
        <f>IF(INT((123)/Setup!$B$13)+1&lt;=Setup!$B$5,INDEX(Scores!$G$2:$G$225,2+(INT((123)/Setup!$B$13)+1-1)*28+(MOD(123,Setup!$B$13)+1-1)-1),"")</f>
        <v>#DIV/0!</v>
      </c>
      <c r="E128" s="12" t="e">
        <f>IF(INT((123)/Setup!$B$13)+1&lt;=Setup!$B$5,INDEX(Scores!$I$2:$I$225,2+(INT((123)/Setup!$B$13)+1-1)*28+(MOD(123,Setup!$B$13)+1-1)-1),"")</f>
        <v>#DIV/0!</v>
      </c>
      <c r="F128" s="66"/>
      <c r="G128" s="67"/>
      <c r="H128" s="66"/>
      <c r="I128" s="67"/>
      <c r="J128" s="66"/>
      <c r="K128" s="67"/>
      <c r="L128" s="66"/>
      <c r="M128" s="67"/>
      <c r="N128" s="66"/>
      <c r="O128" s="67"/>
      <c r="P128" s="6" t="e">
        <f>IF($A128="","",IFERROR(INDEX(Scores!$T$2:$T$225,MATCH($A128,Scores!$A$2:$A$225,0)),""))</f>
        <v>#DIV/0!</v>
      </c>
      <c r="Q128" s="6" t="e">
        <f>IF($A128="","",IFERROR(INDEX(Scores!$U$2:$U$225,MATCH($A128,Scores!$A$2:$A$225,0)),""))</f>
        <v>#DIV/0!</v>
      </c>
      <c r="R128" s="12" t="e">
        <f>IF($A128="","",IF(IFERROR(INDEX(Scores!$X$2:$X$225,MATCH($A128,Scores!$A$2:$A$225,0)),0)=1,"Complete","Waiting"))</f>
        <v>#DIV/0!</v>
      </c>
      <c r="S128" s="12" t="e">
        <f>IF($A128="","",IFERROR(INDEX(Scores!$Y$2:$Y$225,MATCH($A128,Scores!$A$2:$A$225,0)),""))</f>
        <v>#DIV/0!</v>
      </c>
    </row>
    <row r="129" spans="1:19">
      <c r="A129" s="12" t="e">
        <f>IF(INT((124)/Setup!$B$13)+1&lt;=Setup!$B$5,INDEX(Scores!$A$2:$A$225,2+(INT((124)/Setup!$B$13)+1-1)*28+(MOD(124,Setup!$B$13)+1-1)-1),"")</f>
        <v>#DIV/0!</v>
      </c>
      <c r="B129" s="12" t="e">
        <f>IF(INT((124)/Setup!$B$13)+1&lt;=Setup!$B$5,CHAR(64+INT((124)/Setup!$B$13)+1),"")</f>
        <v>#DIV/0!</v>
      </c>
      <c r="C129" s="12" t="e">
        <f>IF(INT((124)/Setup!$B$13)+1&lt;=Setup!$B$5,INDEX(Scores!$E$2:$E$225,2+(INT((124)/Setup!$B$13)+1-1)*28+(MOD(124,Setup!$B$13)+1-1)-1),"")</f>
        <v>#DIV/0!</v>
      </c>
      <c r="D129" s="12" t="e">
        <f>IF(INT((124)/Setup!$B$13)+1&lt;=Setup!$B$5,INDEX(Scores!$G$2:$G$225,2+(INT((124)/Setup!$B$13)+1-1)*28+(MOD(124,Setup!$B$13)+1-1)-1),"")</f>
        <v>#DIV/0!</v>
      </c>
      <c r="E129" s="12" t="e">
        <f>IF(INT((124)/Setup!$B$13)+1&lt;=Setup!$B$5,INDEX(Scores!$I$2:$I$225,2+(INT((124)/Setup!$B$13)+1-1)*28+(MOD(124,Setup!$B$13)+1-1)-1),"")</f>
        <v>#DIV/0!</v>
      </c>
      <c r="F129" s="66"/>
      <c r="G129" s="67"/>
      <c r="H129" s="66"/>
      <c r="I129" s="67"/>
      <c r="J129" s="66"/>
      <c r="K129" s="67"/>
      <c r="L129" s="66"/>
      <c r="M129" s="67"/>
      <c r="N129" s="66"/>
      <c r="O129" s="67"/>
      <c r="P129" s="6" t="e">
        <f>IF($A129="","",IFERROR(INDEX(Scores!$T$2:$T$225,MATCH($A129,Scores!$A$2:$A$225,0)),""))</f>
        <v>#DIV/0!</v>
      </c>
      <c r="Q129" s="6" t="e">
        <f>IF($A129="","",IFERROR(INDEX(Scores!$U$2:$U$225,MATCH($A129,Scores!$A$2:$A$225,0)),""))</f>
        <v>#DIV/0!</v>
      </c>
      <c r="R129" s="12" t="e">
        <f>IF($A129="","",IF(IFERROR(INDEX(Scores!$X$2:$X$225,MATCH($A129,Scores!$A$2:$A$225,0)),0)=1,"Complete","Waiting"))</f>
        <v>#DIV/0!</v>
      </c>
      <c r="S129" s="12" t="e">
        <f>IF($A129="","",IFERROR(INDEX(Scores!$Y$2:$Y$225,MATCH($A129,Scores!$A$2:$A$225,0)),""))</f>
        <v>#DIV/0!</v>
      </c>
    </row>
    <row r="130" spans="1:19">
      <c r="A130" s="12" t="e">
        <f>IF(INT((125)/Setup!$B$13)+1&lt;=Setup!$B$5,INDEX(Scores!$A$2:$A$225,2+(INT((125)/Setup!$B$13)+1-1)*28+(MOD(125,Setup!$B$13)+1-1)-1),"")</f>
        <v>#DIV/0!</v>
      </c>
      <c r="B130" s="12" t="e">
        <f>IF(INT((125)/Setup!$B$13)+1&lt;=Setup!$B$5,CHAR(64+INT((125)/Setup!$B$13)+1),"")</f>
        <v>#DIV/0!</v>
      </c>
      <c r="C130" s="12" t="e">
        <f>IF(INT((125)/Setup!$B$13)+1&lt;=Setup!$B$5,INDEX(Scores!$E$2:$E$225,2+(INT((125)/Setup!$B$13)+1-1)*28+(MOD(125,Setup!$B$13)+1-1)-1),"")</f>
        <v>#DIV/0!</v>
      </c>
      <c r="D130" s="12" t="e">
        <f>IF(INT((125)/Setup!$B$13)+1&lt;=Setup!$B$5,INDEX(Scores!$G$2:$G$225,2+(INT((125)/Setup!$B$13)+1-1)*28+(MOD(125,Setup!$B$13)+1-1)-1),"")</f>
        <v>#DIV/0!</v>
      </c>
      <c r="E130" s="12" t="e">
        <f>IF(INT((125)/Setup!$B$13)+1&lt;=Setup!$B$5,INDEX(Scores!$I$2:$I$225,2+(INT((125)/Setup!$B$13)+1-1)*28+(MOD(125,Setup!$B$13)+1-1)-1),"")</f>
        <v>#DIV/0!</v>
      </c>
      <c r="F130" s="66"/>
      <c r="G130" s="67"/>
      <c r="H130" s="66"/>
      <c r="I130" s="67"/>
      <c r="J130" s="66"/>
      <c r="K130" s="67"/>
      <c r="L130" s="66"/>
      <c r="M130" s="67"/>
      <c r="N130" s="66"/>
      <c r="O130" s="67"/>
      <c r="P130" s="6" t="e">
        <f>IF($A130="","",IFERROR(INDEX(Scores!$T$2:$T$225,MATCH($A130,Scores!$A$2:$A$225,0)),""))</f>
        <v>#DIV/0!</v>
      </c>
      <c r="Q130" s="6" t="e">
        <f>IF($A130="","",IFERROR(INDEX(Scores!$U$2:$U$225,MATCH($A130,Scores!$A$2:$A$225,0)),""))</f>
        <v>#DIV/0!</v>
      </c>
      <c r="R130" s="12" t="e">
        <f>IF($A130="","",IF(IFERROR(INDEX(Scores!$X$2:$X$225,MATCH($A130,Scores!$A$2:$A$225,0)),0)=1,"Complete","Waiting"))</f>
        <v>#DIV/0!</v>
      </c>
      <c r="S130" s="12" t="e">
        <f>IF($A130="","",IFERROR(INDEX(Scores!$Y$2:$Y$225,MATCH($A130,Scores!$A$2:$A$225,0)),""))</f>
        <v>#DIV/0!</v>
      </c>
    </row>
    <row r="131" spans="1:19">
      <c r="A131" s="12" t="e">
        <f>IF(INT((126)/Setup!$B$13)+1&lt;=Setup!$B$5,INDEX(Scores!$A$2:$A$225,2+(INT((126)/Setup!$B$13)+1-1)*28+(MOD(126,Setup!$B$13)+1-1)-1),"")</f>
        <v>#DIV/0!</v>
      </c>
      <c r="B131" s="12" t="e">
        <f>IF(INT((126)/Setup!$B$13)+1&lt;=Setup!$B$5,CHAR(64+INT((126)/Setup!$B$13)+1),"")</f>
        <v>#DIV/0!</v>
      </c>
      <c r="C131" s="12" t="e">
        <f>IF(INT((126)/Setup!$B$13)+1&lt;=Setup!$B$5,INDEX(Scores!$E$2:$E$225,2+(INT((126)/Setup!$B$13)+1-1)*28+(MOD(126,Setup!$B$13)+1-1)-1),"")</f>
        <v>#DIV/0!</v>
      </c>
      <c r="D131" s="12" t="e">
        <f>IF(INT((126)/Setup!$B$13)+1&lt;=Setup!$B$5,INDEX(Scores!$G$2:$G$225,2+(INT((126)/Setup!$B$13)+1-1)*28+(MOD(126,Setup!$B$13)+1-1)-1),"")</f>
        <v>#DIV/0!</v>
      </c>
      <c r="E131" s="12" t="e">
        <f>IF(INT((126)/Setup!$B$13)+1&lt;=Setup!$B$5,INDEX(Scores!$I$2:$I$225,2+(INT((126)/Setup!$B$13)+1-1)*28+(MOD(126,Setup!$B$13)+1-1)-1),"")</f>
        <v>#DIV/0!</v>
      </c>
      <c r="F131" s="66"/>
      <c r="G131" s="67"/>
      <c r="H131" s="66"/>
      <c r="I131" s="67"/>
      <c r="J131" s="66"/>
      <c r="K131" s="67"/>
      <c r="L131" s="66"/>
      <c r="M131" s="67"/>
      <c r="N131" s="66"/>
      <c r="O131" s="67"/>
      <c r="P131" s="6" t="e">
        <f>IF($A131="","",IFERROR(INDEX(Scores!$T$2:$T$225,MATCH($A131,Scores!$A$2:$A$225,0)),""))</f>
        <v>#DIV/0!</v>
      </c>
      <c r="Q131" s="6" t="e">
        <f>IF($A131="","",IFERROR(INDEX(Scores!$U$2:$U$225,MATCH($A131,Scores!$A$2:$A$225,0)),""))</f>
        <v>#DIV/0!</v>
      </c>
      <c r="R131" s="12" t="e">
        <f>IF($A131="","",IF(IFERROR(INDEX(Scores!$X$2:$X$225,MATCH($A131,Scores!$A$2:$A$225,0)),0)=1,"Complete","Waiting"))</f>
        <v>#DIV/0!</v>
      </c>
      <c r="S131" s="12" t="e">
        <f>IF($A131="","",IFERROR(INDEX(Scores!$Y$2:$Y$225,MATCH($A131,Scores!$A$2:$A$225,0)),""))</f>
        <v>#DIV/0!</v>
      </c>
    </row>
    <row r="132" spans="1:19">
      <c r="A132" s="12" t="e">
        <f>IF(INT((127)/Setup!$B$13)+1&lt;=Setup!$B$5,INDEX(Scores!$A$2:$A$225,2+(INT((127)/Setup!$B$13)+1-1)*28+(MOD(127,Setup!$B$13)+1-1)-1),"")</f>
        <v>#DIV/0!</v>
      </c>
      <c r="B132" s="12" t="e">
        <f>IF(INT((127)/Setup!$B$13)+1&lt;=Setup!$B$5,CHAR(64+INT((127)/Setup!$B$13)+1),"")</f>
        <v>#DIV/0!</v>
      </c>
      <c r="C132" s="12" t="e">
        <f>IF(INT((127)/Setup!$B$13)+1&lt;=Setup!$B$5,INDEX(Scores!$E$2:$E$225,2+(INT((127)/Setup!$B$13)+1-1)*28+(MOD(127,Setup!$B$13)+1-1)-1),"")</f>
        <v>#DIV/0!</v>
      </c>
      <c r="D132" s="12" t="e">
        <f>IF(INT((127)/Setup!$B$13)+1&lt;=Setup!$B$5,INDEX(Scores!$G$2:$G$225,2+(INT((127)/Setup!$B$13)+1-1)*28+(MOD(127,Setup!$B$13)+1-1)-1),"")</f>
        <v>#DIV/0!</v>
      </c>
      <c r="E132" s="12" t="e">
        <f>IF(INT((127)/Setup!$B$13)+1&lt;=Setup!$B$5,INDEX(Scores!$I$2:$I$225,2+(INT((127)/Setup!$B$13)+1-1)*28+(MOD(127,Setup!$B$13)+1-1)-1),"")</f>
        <v>#DIV/0!</v>
      </c>
      <c r="F132" s="66"/>
      <c r="G132" s="67"/>
      <c r="H132" s="66"/>
      <c r="I132" s="67"/>
      <c r="J132" s="66"/>
      <c r="K132" s="67"/>
      <c r="L132" s="66"/>
      <c r="M132" s="67"/>
      <c r="N132" s="66"/>
      <c r="O132" s="67"/>
      <c r="P132" s="6" t="e">
        <f>IF($A132="","",IFERROR(INDEX(Scores!$T$2:$T$225,MATCH($A132,Scores!$A$2:$A$225,0)),""))</f>
        <v>#DIV/0!</v>
      </c>
      <c r="Q132" s="6" t="e">
        <f>IF($A132="","",IFERROR(INDEX(Scores!$U$2:$U$225,MATCH($A132,Scores!$A$2:$A$225,0)),""))</f>
        <v>#DIV/0!</v>
      </c>
      <c r="R132" s="12" t="e">
        <f>IF($A132="","",IF(IFERROR(INDEX(Scores!$X$2:$X$225,MATCH($A132,Scores!$A$2:$A$225,0)),0)=1,"Complete","Waiting"))</f>
        <v>#DIV/0!</v>
      </c>
      <c r="S132" s="12" t="e">
        <f>IF($A132="","",IFERROR(INDEX(Scores!$Y$2:$Y$225,MATCH($A132,Scores!$A$2:$A$225,0)),""))</f>
        <v>#DIV/0!</v>
      </c>
    </row>
    <row r="133" spans="1:19">
      <c r="A133" s="12" t="e">
        <f>IF(INT((128)/Setup!$B$13)+1&lt;=Setup!$B$5,INDEX(Scores!$A$2:$A$225,2+(INT((128)/Setup!$B$13)+1-1)*28+(MOD(128,Setup!$B$13)+1-1)-1),"")</f>
        <v>#DIV/0!</v>
      </c>
      <c r="B133" s="12" t="e">
        <f>IF(INT((128)/Setup!$B$13)+1&lt;=Setup!$B$5,CHAR(64+INT((128)/Setup!$B$13)+1),"")</f>
        <v>#DIV/0!</v>
      </c>
      <c r="C133" s="12" t="e">
        <f>IF(INT((128)/Setup!$B$13)+1&lt;=Setup!$B$5,INDEX(Scores!$E$2:$E$225,2+(INT((128)/Setup!$B$13)+1-1)*28+(MOD(128,Setup!$B$13)+1-1)-1),"")</f>
        <v>#DIV/0!</v>
      </c>
      <c r="D133" s="12" t="e">
        <f>IF(INT((128)/Setup!$B$13)+1&lt;=Setup!$B$5,INDEX(Scores!$G$2:$G$225,2+(INT((128)/Setup!$B$13)+1-1)*28+(MOD(128,Setup!$B$13)+1-1)-1),"")</f>
        <v>#DIV/0!</v>
      </c>
      <c r="E133" s="12" t="e">
        <f>IF(INT((128)/Setup!$B$13)+1&lt;=Setup!$B$5,INDEX(Scores!$I$2:$I$225,2+(INT((128)/Setup!$B$13)+1-1)*28+(MOD(128,Setup!$B$13)+1-1)-1),"")</f>
        <v>#DIV/0!</v>
      </c>
      <c r="F133" s="66"/>
      <c r="G133" s="67"/>
      <c r="H133" s="66"/>
      <c r="I133" s="67"/>
      <c r="J133" s="66"/>
      <c r="K133" s="67"/>
      <c r="L133" s="66"/>
      <c r="M133" s="67"/>
      <c r="N133" s="66"/>
      <c r="O133" s="67"/>
      <c r="P133" s="6" t="e">
        <f>IF($A133="","",IFERROR(INDEX(Scores!$T$2:$T$225,MATCH($A133,Scores!$A$2:$A$225,0)),""))</f>
        <v>#DIV/0!</v>
      </c>
      <c r="Q133" s="6" t="e">
        <f>IF($A133="","",IFERROR(INDEX(Scores!$U$2:$U$225,MATCH($A133,Scores!$A$2:$A$225,0)),""))</f>
        <v>#DIV/0!</v>
      </c>
      <c r="R133" s="12" t="e">
        <f>IF($A133="","",IF(IFERROR(INDEX(Scores!$X$2:$X$225,MATCH($A133,Scores!$A$2:$A$225,0)),0)=1,"Complete","Waiting"))</f>
        <v>#DIV/0!</v>
      </c>
      <c r="S133" s="12" t="e">
        <f>IF($A133="","",IFERROR(INDEX(Scores!$Y$2:$Y$225,MATCH($A133,Scores!$A$2:$A$225,0)),""))</f>
        <v>#DIV/0!</v>
      </c>
    </row>
    <row r="134" spans="1:19">
      <c r="A134" s="12" t="e">
        <f>IF(INT((129)/Setup!$B$13)+1&lt;=Setup!$B$5,INDEX(Scores!$A$2:$A$225,2+(INT((129)/Setup!$B$13)+1-1)*28+(MOD(129,Setup!$B$13)+1-1)-1),"")</f>
        <v>#DIV/0!</v>
      </c>
      <c r="B134" s="12" t="e">
        <f>IF(INT((129)/Setup!$B$13)+1&lt;=Setup!$B$5,CHAR(64+INT((129)/Setup!$B$13)+1),"")</f>
        <v>#DIV/0!</v>
      </c>
      <c r="C134" s="12" t="e">
        <f>IF(INT((129)/Setup!$B$13)+1&lt;=Setup!$B$5,INDEX(Scores!$E$2:$E$225,2+(INT((129)/Setup!$B$13)+1-1)*28+(MOD(129,Setup!$B$13)+1-1)-1),"")</f>
        <v>#DIV/0!</v>
      </c>
      <c r="D134" s="12" t="e">
        <f>IF(INT((129)/Setup!$B$13)+1&lt;=Setup!$B$5,INDEX(Scores!$G$2:$G$225,2+(INT((129)/Setup!$B$13)+1-1)*28+(MOD(129,Setup!$B$13)+1-1)-1),"")</f>
        <v>#DIV/0!</v>
      </c>
      <c r="E134" s="12" t="e">
        <f>IF(INT((129)/Setup!$B$13)+1&lt;=Setup!$B$5,INDEX(Scores!$I$2:$I$225,2+(INT((129)/Setup!$B$13)+1-1)*28+(MOD(129,Setup!$B$13)+1-1)-1),"")</f>
        <v>#DIV/0!</v>
      </c>
      <c r="F134" s="66"/>
      <c r="G134" s="67"/>
      <c r="H134" s="66"/>
      <c r="I134" s="67"/>
      <c r="J134" s="66"/>
      <c r="K134" s="67"/>
      <c r="L134" s="66"/>
      <c r="M134" s="67"/>
      <c r="N134" s="66"/>
      <c r="O134" s="67"/>
      <c r="P134" s="6" t="e">
        <f>IF($A134="","",IFERROR(INDEX(Scores!$T$2:$T$225,MATCH($A134,Scores!$A$2:$A$225,0)),""))</f>
        <v>#DIV/0!</v>
      </c>
      <c r="Q134" s="6" t="e">
        <f>IF($A134="","",IFERROR(INDEX(Scores!$U$2:$U$225,MATCH($A134,Scores!$A$2:$A$225,0)),""))</f>
        <v>#DIV/0!</v>
      </c>
      <c r="R134" s="12" t="e">
        <f>IF($A134="","",IF(IFERROR(INDEX(Scores!$X$2:$X$225,MATCH($A134,Scores!$A$2:$A$225,0)),0)=1,"Complete","Waiting"))</f>
        <v>#DIV/0!</v>
      </c>
      <c r="S134" s="12" t="e">
        <f>IF($A134="","",IFERROR(INDEX(Scores!$Y$2:$Y$225,MATCH($A134,Scores!$A$2:$A$225,0)),""))</f>
        <v>#DIV/0!</v>
      </c>
    </row>
    <row r="135" spans="1:19">
      <c r="A135" s="12" t="e">
        <f>IF(INT((130)/Setup!$B$13)+1&lt;=Setup!$B$5,INDEX(Scores!$A$2:$A$225,2+(INT((130)/Setup!$B$13)+1-1)*28+(MOD(130,Setup!$B$13)+1-1)-1),"")</f>
        <v>#DIV/0!</v>
      </c>
      <c r="B135" s="12" t="e">
        <f>IF(INT((130)/Setup!$B$13)+1&lt;=Setup!$B$5,CHAR(64+INT((130)/Setup!$B$13)+1),"")</f>
        <v>#DIV/0!</v>
      </c>
      <c r="C135" s="12" t="e">
        <f>IF(INT((130)/Setup!$B$13)+1&lt;=Setup!$B$5,INDEX(Scores!$E$2:$E$225,2+(INT((130)/Setup!$B$13)+1-1)*28+(MOD(130,Setup!$B$13)+1-1)-1),"")</f>
        <v>#DIV/0!</v>
      </c>
      <c r="D135" s="12" t="e">
        <f>IF(INT((130)/Setup!$B$13)+1&lt;=Setup!$B$5,INDEX(Scores!$G$2:$G$225,2+(INT((130)/Setup!$B$13)+1-1)*28+(MOD(130,Setup!$B$13)+1-1)-1),"")</f>
        <v>#DIV/0!</v>
      </c>
      <c r="E135" s="12" t="e">
        <f>IF(INT((130)/Setup!$B$13)+1&lt;=Setup!$B$5,INDEX(Scores!$I$2:$I$225,2+(INT((130)/Setup!$B$13)+1-1)*28+(MOD(130,Setup!$B$13)+1-1)-1),"")</f>
        <v>#DIV/0!</v>
      </c>
      <c r="F135" s="66"/>
      <c r="G135" s="67"/>
      <c r="H135" s="66"/>
      <c r="I135" s="67"/>
      <c r="J135" s="66"/>
      <c r="K135" s="67"/>
      <c r="L135" s="66"/>
      <c r="M135" s="67"/>
      <c r="N135" s="66"/>
      <c r="O135" s="67"/>
      <c r="P135" s="6" t="e">
        <f>IF($A135="","",IFERROR(INDEX(Scores!$T$2:$T$225,MATCH($A135,Scores!$A$2:$A$225,0)),""))</f>
        <v>#DIV/0!</v>
      </c>
      <c r="Q135" s="6" t="e">
        <f>IF($A135="","",IFERROR(INDEX(Scores!$U$2:$U$225,MATCH($A135,Scores!$A$2:$A$225,0)),""))</f>
        <v>#DIV/0!</v>
      </c>
      <c r="R135" s="12" t="e">
        <f>IF($A135="","",IF(IFERROR(INDEX(Scores!$X$2:$X$225,MATCH($A135,Scores!$A$2:$A$225,0)),0)=1,"Complete","Waiting"))</f>
        <v>#DIV/0!</v>
      </c>
      <c r="S135" s="12" t="e">
        <f>IF($A135="","",IFERROR(INDEX(Scores!$Y$2:$Y$225,MATCH($A135,Scores!$A$2:$A$225,0)),""))</f>
        <v>#DIV/0!</v>
      </c>
    </row>
    <row r="136" spans="1:19">
      <c r="A136" s="12" t="e">
        <f>IF(INT((131)/Setup!$B$13)+1&lt;=Setup!$B$5,INDEX(Scores!$A$2:$A$225,2+(INT((131)/Setup!$B$13)+1-1)*28+(MOD(131,Setup!$B$13)+1-1)-1),"")</f>
        <v>#DIV/0!</v>
      </c>
      <c r="B136" s="12" t="e">
        <f>IF(INT((131)/Setup!$B$13)+1&lt;=Setup!$B$5,CHAR(64+INT((131)/Setup!$B$13)+1),"")</f>
        <v>#DIV/0!</v>
      </c>
      <c r="C136" s="12" t="e">
        <f>IF(INT((131)/Setup!$B$13)+1&lt;=Setup!$B$5,INDEX(Scores!$E$2:$E$225,2+(INT((131)/Setup!$B$13)+1-1)*28+(MOD(131,Setup!$B$13)+1-1)-1),"")</f>
        <v>#DIV/0!</v>
      </c>
      <c r="D136" s="12" t="e">
        <f>IF(INT((131)/Setup!$B$13)+1&lt;=Setup!$B$5,INDEX(Scores!$G$2:$G$225,2+(INT((131)/Setup!$B$13)+1-1)*28+(MOD(131,Setup!$B$13)+1-1)-1),"")</f>
        <v>#DIV/0!</v>
      </c>
      <c r="E136" s="12" t="e">
        <f>IF(INT((131)/Setup!$B$13)+1&lt;=Setup!$B$5,INDEX(Scores!$I$2:$I$225,2+(INT((131)/Setup!$B$13)+1-1)*28+(MOD(131,Setup!$B$13)+1-1)-1),"")</f>
        <v>#DIV/0!</v>
      </c>
      <c r="F136" s="66"/>
      <c r="G136" s="67"/>
      <c r="H136" s="66"/>
      <c r="I136" s="67"/>
      <c r="J136" s="66"/>
      <c r="K136" s="67"/>
      <c r="L136" s="66"/>
      <c r="M136" s="67"/>
      <c r="N136" s="66"/>
      <c r="O136" s="67"/>
      <c r="P136" s="6" t="e">
        <f>IF($A136="","",IFERROR(INDEX(Scores!$T$2:$T$225,MATCH($A136,Scores!$A$2:$A$225,0)),""))</f>
        <v>#DIV/0!</v>
      </c>
      <c r="Q136" s="6" t="e">
        <f>IF($A136="","",IFERROR(INDEX(Scores!$U$2:$U$225,MATCH($A136,Scores!$A$2:$A$225,0)),""))</f>
        <v>#DIV/0!</v>
      </c>
      <c r="R136" s="12" t="e">
        <f>IF($A136="","",IF(IFERROR(INDEX(Scores!$X$2:$X$225,MATCH($A136,Scores!$A$2:$A$225,0)),0)=1,"Complete","Waiting"))</f>
        <v>#DIV/0!</v>
      </c>
      <c r="S136" s="12" t="e">
        <f>IF($A136="","",IFERROR(INDEX(Scores!$Y$2:$Y$225,MATCH($A136,Scores!$A$2:$A$225,0)),""))</f>
        <v>#DIV/0!</v>
      </c>
    </row>
    <row r="137" spans="1:19">
      <c r="A137" s="12" t="e">
        <f>IF(INT((132)/Setup!$B$13)+1&lt;=Setup!$B$5,INDEX(Scores!$A$2:$A$225,2+(INT((132)/Setup!$B$13)+1-1)*28+(MOD(132,Setup!$B$13)+1-1)-1),"")</f>
        <v>#DIV/0!</v>
      </c>
      <c r="B137" s="12" t="e">
        <f>IF(INT((132)/Setup!$B$13)+1&lt;=Setup!$B$5,CHAR(64+INT((132)/Setup!$B$13)+1),"")</f>
        <v>#DIV/0!</v>
      </c>
      <c r="C137" s="12" t="e">
        <f>IF(INT((132)/Setup!$B$13)+1&lt;=Setup!$B$5,INDEX(Scores!$E$2:$E$225,2+(INT((132)/Setup!$B$13)+1-1)*28+(MOD(132,Setup!$B$13)+1-1)-1),"")</f>
        <v>#DIV/0!</v>
      </c>
      <c r="D137" s="12" t="e">
        <f>IF(INT((132)/Setup!$B$13)+1&lt;=Setup!$B$5,INDEX(Scores!$G$2:$G$225,2+(INT((132)/Setup!$B$13)+1-1)*28+(MOD(132,Setup!$B$13)+1-1)-1),"")</f>
        <v>#DIV/0!</v>
      </c>
      <c r="E137" s="12" t="e">
        <f>IF(INT((132)/Setup!$B$13)+1&lt;=Setup!$B$5,INDEX(Scores!$I$2:$I$225,2+(INT((132)/Setup!$B$13)+1-1)*28+(MOD(132,Setup!$B$13)+1-1)-1),"")</f>
        <v>#DIV/0!</v>
      </c>
      <c r="F137" s="66"/>
      <c r="G137" s="67"/>
      <c r="H137" s="66"/>
      <c r="I137" s="67"/>
      <c r="J137" s="66"/>
      <c r="K137" s="67"/>
      <c r="L137" s="66"/>
      <c r="M137" s="67"/>
      <c r="N137" s="66"/>
      <c r="O137" s="67"/>
      <c r="P137" s="6" t="e">
        <f>IF($A137="","",IFERROR(INDEX(Scores!$T$2:$T$225,MATCH($A137,Scores!$A$2:$A$225,0)),""))</f>
        <v>#DIV/0!</v>
      </c>
      <c r="Q137" s="6" t="e">
        <f>IF($A137="","",IFERROR(INDEX(Scores!$U$2:$U$225,MATCH($A137,Scores!$A$2:$A$225,0)),""))</f>
        <v>#DIV/0!</v>
      </c>
      <c r="R137" s="12" t="e">
        <f>IF($A137="","",IF(IFERROR(INDEX(Scores!$X$2:$X$225,MATCH($A137,Scores!$A$2:$A$225,0)),0)=1,"Complete","Waiting"))</f>
        <v>#DIV/0!</v>
      </c>
      <c r="S137" s="12" t="e">
        <f>IF($A137="","",IFERROR(INDEX(Scores!$Y$2:$Y$225,MATCH($A137,Scores!$A$2:$A$225,0)),""))</f>
        <v>#DIV/0!</v>
      </c>
    </row>
    <row r="138" spans="1:19">
      <c r="A138" s="12" t="e">
        <f>IF(INT((133)/Setup!$B$13)+1&lt;=Setup!$B$5,INDEX(Scores!$A$2:$A$225,2+(INT((133)/Setup!$B$13)+1-1)*28+(MOD(133,Setup!$B$13)+1-1)-1),"")</f>
        <v>#DIV/0!</v>
      </c>
      <c r="B138" s="12" t="e">
        <f>IF(INT((133)/Setup!$B$13)+1&lt;=Setup!$B$5,CHAR(64+INT((133)/Setup!$B$13)+1),"")</f>
        <v>#DIV/0!</v>
      </c>
      <c r="C138" s="12" t="e">
        <f>IF(INT((133)/Setup!$B$13)+1&lt;=Setup!$B$5,INDEX(Scores!$E$2:$E$225,2+(INT((133)/Setup!$B$13)+1-1)*28+(MOD(133,Setup!$B$13)+1-1)-1),"")</f>
        <v>#DIV/0!</v>
      </c>
      <c r="D138" s="12" t="e">
        <f>IF(INT((133)/Setup!$B$13)+1&lt;=Setup!$B$5,INDEX(Scores!$G$2:$G$225,2+(INT((133)/Setup!$B$13)+1-1)*28+(MOD(133,Setup!$B$13)+1-1)-1),"")</f>
        <v>#DIV/0!</v>
      </c>
      <c r="E138" s="12" t="e">
        <f>IF(INT((133)/Setup!$B$13)+1&lt;=Setup!$B$5,INDEX(Scores!$I$2:$I$225,2+(INT((133)/Setup!$B$13)+1-1)*28+(MOD(133,Setup!$B$13)+1-1)-1),"")</f>
        <v>#DIV/0!</v>
      </c>
      <c r="F138" s="66"/>
      <c r="G138" s="67"/>
      <c r="H138" s="66"/>
      <c r="I138" s="67"/>
      <c r="J138" s="66"/>
      <c r="K138" s="67"/>
      <c r="L138" s="66"/>
      <c r="M138" s="67"/>
      <c r="N138" s="66"/>
      <c r="O138" s="67"/>
      <c r="P138" s="6" t="e">
        <f>IF($A138="","",IFERROR(INDEX(Scores!$T$2:$T$225,MATCH($A138,Scores!$A$2:$A$225,0)),""))</f>
        <v>#DIV/0!</v>
      </c>
      <c r="Q138" s="6" t="e">
        <f>IF($A138="","",IFERROR(INDEX(Scores!$U$2:$U$225,MATCH($A138,Scores!$A$2:$A$225,0)),""))</f>
        <v>#DIV/0!</v>
      </c>
      <c r="R138" s="12" t="e">
        <f>IF($A138="","",IF(IFERROR(INDEX(Scores!$X$2:$X$225,MATCH($A138,Scores!$A$2:$A$225,0)),0)=1,"Complete","Waiting"))</f>
        <v>#DIV/0!</v>
      </c>
      <c r="S138" s="12" t="e">
        <f>IF($A138="","",IFERROR(INDEX(Scores!$Y$2:$Y$225,MATCH($A138,Scores!$A$2:$A$225,0)),""))</f>
        <v>#DIV/0!</v>
      </c>
    </row>
    <row r="139" spans="1:19">
      <c r="A139" s="12" t="e">
        <f>IF(INT((134)/Setup!$B$13)+1&lt;=Setup!$B$5,INDEX(Scores!$A$2:$A$225,2+(INT((134)/Setup!$B$13)+1-1)*28+(MOD(134,Setup!$B$13)+1-1)-1),"")</f>
        <v>#DIV/0!</v>
      </c>
      <c r="B139" s="12" t="e">
        <f>IF(INT((134)/Setup!$B$13)+1&lt;=Setup!$B$5,CHAR(64+INT((134)/Setup!$B$13)+1),"")</f>
        <v>#DIV/0!</v>
      </c>
      <c r="C139" s="12" t="e">
        <f>IF(INT((134)/Setup!$B$13)+1&lt;=Setup!$B$5,INDEX(Scores!$E$2:$E$225,2+(INT((134)/Setup!$B$13)+1-1)*28+(MOD(134,Setup!$B$13)+1-1)-1),"")</f>
        <v>#DIV/0!</v>
      </c>
      <c r="D139" s="12" t="e">
        <f>IF(INT((134)/Setup!$B$13)+1&lt;=Setup!$B$5,INDEX(Scores!$G$2:$G$225,2+(INT((134)/Setup!$B$13)+1-1)*28+(MOD(134,Setup!$B$13)+1-1)-1),"")</f>
        <v>#DIV/0!</v>
      </c>
      <c r="E139" s="12" t="e">
        <f>IF(INT((134)/Setup!$B$13)+1&lt;=Setup!$B$5,INDEX(Scores!$I$2:$I$225,2+(INT((134)/Setup!$B$13)+1-1)*28+(MOD(134,Setup!$B$13)+1-1)-1),"")</f>
        <v>#DIV/0!</v>
      </c>
      <c r="F139" s="66"/>
      <c r="G139" s="67"/>
      <c r="H139" s="66"/>
      <c r="I139" s="67"/>
      <c r="J139" s="66"/>
      <c r="K139" s="67"/>
      <c r="L139" s="66"/>
      <c r="M139" s="67"/>
      <c r="N139" s="66"/>
      <c r="O139" s="67"/>
      <c r="P139" s="6" t="e">
        <f>IF($A139="","",IFERROR(INDEX(Scores!$T$2:$T$225,MATCH($A139,Scores!$A$2:$A$225,0)),""))</f>
        <v>#DIV/0!</v>
      </c>
      <c r="Q139" s="6" t="e">
        <f>IF($A139="","",IFERROR(INDEX(Scores!$U$2:$U$225,MATCH($A139,Scores!$A$2:$A$225,0)),""))</f>
        <v>#DIV/0!</v>
      </c>
      <c r="R139" s="12" t="e">
        <f>IF($A139="","",IF(IFERROR(INDEX(Scores!$X$2:$X$225,MATCH($A139,Scores!$A$2:$A$225,0)),0)=1,"Complete","Waiting"))</f>
        <v>#DIV/0!</v>
      </c>
      <c r="S139" s="12" t="e">
        <f>IF($A139="","",IFERROR(INDEX(Scores!$Y$2:$Y$225,MATCH($A139,Scores!$A$2:$A$225,0)),""))</f>
        <v>#DIV/0!</v>
      </c>
    </row>
    <row r="140" spans="1:19">
      <c r="A140" s="12" t="e">
        <f>IF(INT((135)/Setup!$B$13)+1&lt;=Setup!$B$5,INDEX(Scores!$A$2:$A$225,2+(INT((135)/Setup!$B$13)+1-1)*28+(MOD(135,Setup!$B$13)+1-1)-1),"")</f>
        <v>#DIV/0!</v>
      </c>
      <c r="B140" s="12" t="e">
        <f>IF(INT((135)/Setup!$B$13)+1&lt;=Setup!$B$5,CHAR(64+INT((135)/Setup!$B$13)+1),"")</f>
        <v>#DIV/0!</v>
      </c>
      <c r="C140" s="12" t="e">
        <f>IF(INT((135)/Setup!$B$13)+1&lt;=Setup!$B$5,INDEX(Scores!$E$2:$E$225,2+(INT((135)/Setup!$B$13)+1-1)*28+(MOD(135,Setup!$B$13)+1-1)-1),"")</f>
        <v>#DIV/0!</v>
      </c>
      <c r="D140" s="12" t="e">
        <f>IF(INT((135)/Setup!$B$13)+1&lt;=Setup!$B$5,INDEX(Scores!$G$2:$G$225,2+(INT((135)/Setup!$B$13)+1-1)*28+(MOD(135,Setup!$B$13)+1-1)-1),"")</f>
        <v>#DIV/0!</v>
      </c>
      <c r="E140" s="12" t="e">
        <f>IF(INT((135)/Setup!$B$13)+1&lt;=Setup!$B$5,INDEX(Scores!$I$2:$I$225,2+(INT((135)/Setup!$B$13)+1-1)*28+(MOD(135,Setup!$B$13)+1-1)-1),"")</f>
        <v>#DIV/0!</v>
      </c>
      <c r="F140" s="66"/>
      <c r="G140" s="67"/>
      <c r="H140" s="66"/>
      <c r="I140" s="67"/>
      <c r="J140" s="66"/>
      <c r="K140" s="67"/>
      <c r="L140" s="66"/>
      <c r="M140" s="67"/>
      <c r="N140" s="66"/>
      <c r="O140" s="67"/>
      <c r="P140" s="6" t="e">
        <f>IF($A140="","",IFERROR(INDEX(Scores!$T$2:$T$225,MATCH($A140,Scores!$A$2:$A$225,0)),""))</f>
        <v>#DIV/0!</v>
      </c>
      <c r="Q140" s="6" t="e">
        <f>IF($A140="","",IFERROR(INDEX(Scores!$U$2:$U$225,MATCH($A140,Scores!$A$2:$A$225,0)),""))</f>
        <v>#DIV/0!</v>
      </c>
      <c r="R140" s="12" t="e">
        <f>IF($A140="","",IF(IFERROR(INDEX(Scores!$X$2:$X$225,MATCH($A140,Scores!$A$2:$A$225,0)),0)=1,"Complete","Waiting"))</f>
        <v>#DIV/0!</v>
      </c>
      <c r="S140" s="12" t="e">
        <f>IF($A140="","",IFERROR(INDEX(Scores!$Y$2:$Y$225,MATCH($A140,Scores!$A$2:$A$225,0)),""))</f>
        <v>#DIV/0!</v>
      </c>
    </row>
    <row r="141" spans="1:19">
      <c r="A141" s="12" t="e">
        <f>IF(INT((136)/Setup!$B$13)+1&lt;=Setup!$B$5,INDEX(Scores!$A$2:$A$225,2+(INT((136)/Setup!$B$13)+1-1)*28+(MOD(136,Setup!$B$13)+1-1)-1),"")</f>
        <v>#DIV/0!</v>
      </c>
      <c r="B141" s="12" t="e">
        <f>IF(INT((136)/Setup!$B$13)+1&lt;=Setup!$B$5,CHAR(64+INT((136)/Setup!$B$13)+1),"")</f>
        <v>#DIV/0!</v>
      </c>
      <c r="C141" s="12" t="e">
        <f>IF(INT((136)/Setup!$B$13)+1&lt;=Setup!$B$5,INDEX(Scores!$E$2:$E$225,2+(INT((136)/Setup!$B$13)+1-1)*28+(MOD(136,Setup!$B$13)+1-1)-1),"")</f>
        <v>#DIV/0!</v>
      </c>
      <c r="D141" s="12" t="e">
        <f>IF(INT((136)/Setup!$B$13)+1&lt;=Setup!$B$5,INDEX(Scores!$G$2:$G$225,2+(INT((136)/Setup!$B$13)+1-1)*28+(MOD(136,Setup!$B$13)+1-1)-1),"")</f>
        <v>#DIV/0!</v>
      </c>
      <c r="E141" s="12" t="e">
        <f>IF(INT((136)/Setup!$B$13)+1&lt;=Setup!$B$5,INDEX(Scores!$I$2:$I$225,2+(INT((136)/Setup!$B$13)+1-1)*28+(MOD(136,Setup!$B$13)+1-1)-1),"")</f>
        <v>#DIV/0!</v>
      </c>
      <c r="F141" s="66"/>
      <c r="G141" s="67"/>
      <c r="H141" s="66"/>
      <c r="I141" s="67"/>
      <c r="J141" s="66"/>
      <c r="K141" s="67"/>
      <c r="L141" s="66"/>
      <c r="M141" s="67"/>
      <c r="N141" s="66"/>
      <c r="O141" s="67"/>
      <c r="P141" s="6" t="e">
        <f>IF($A141="","",IFERROR(INDEX(Scores!$T$2:$T$225,MATCH($A141,Scores!$A$2:$A$225,0)),""))</f>
        <v>#DIV/0!</v>
      </c>
      <c r="Q141" s="6" t="e">
        <f>IF($A141="","",IFERROR(INDEX(Scores!$U$2:$U$225,MATCH($A141,Scores!$A$2:$A$225,0)),""))</f>
        <v>#DIV/0!</v>
      </c>
      <c r="R141" s="12" t="e">
        <f>IF($A141="","",IF(IFERROR(INDEX(Scores!$X$2:$X$225,MATCH($A141,Scores!$A$2:$A$225,0)),0)=1,"Complete","Waiting"))</f>
        <v>#DIV/0!</v>
      </c>
      <c r="S141" s="12" t="e">
        <f>IF($A141="","",IFERROR(INDEX(Scores!$Y$2:$Y$225,MATCH($A141,Scores!$A$2:$A$225,0)),""))</f>
        <v>#DIV/0!</v>
      </c>
    </row>
    <row r="142" spans="1:19">
      <c r="A142" s="12" t="e">
        <f>IF(INT((137)/Setup!$B$13)+1&lt;=Setup!$B$5,INDEX(Scores!$A$2:$A$225,2+(INT((137)/Setup!$B$13)+1-1)*28+(MOD(137,Setup!$B$13)+1-1)-1),"")</f>
        <v>#DIV/0!</v>
      </c>
      <c r="B142" s="12" t="e">
        <f>IF(INT((137)/Setup!$B$13)+1&lt;=Setup!$B$5,CHAR(64+INT((137)/Setup!$B$13)+1),"")</f>
        <v>#DIV/0!</v>
      </c>
      <c r="C142" s="12" t="e">
        <f>IF(INT((137)/Setup!$B$13)+1&lt;=Setup!$B$5,INDEX(Scores!$E$2:$E$225,2+(INT((137)/Setup!$B$13)+1-1)*28+(MOD(137,Setup!$B$13)+1-1)-1),"")</f>
        <v>#DIV/0!</v>
      </c>
      <c r="D142" s="12" t="e">
        <f>IF(INT((137)/Setup!$B$13)+1&lt;=Setup!$B$5,INDEX(Scores!$G$2:$G$225,2+(INT((137)/Setup!$B$13)+1-1)*28+(MOD(137,Setup!$B$13)+1-1)-1),"")</f>
        <v>#DIV/0!</v>
      </c>
      <c r="E142" s="12" t="e">
        <f>IF(INT((137)/Setup!$B$13)+1&lt;=Setup!$B$5,INDEX(Scores!$I$2:$I$225,2+(INT((137)/Setup!$B$13)+1-1)*28+(MOD(137,Setup!$B$13)+1-1)-1),"")</f>
        <v>#DIV/0!</v>
      </c>
      <c r="F142" s="66"/>
      <c r="G142" s="67"/>
      <c r="H142" s="66"/>
      <c r="I142" s="67"/>
      <c r="J142" s="66"/>
      <c r="K142" s="67"/>
      <c r="L142" s="66"/>
      <c r="M142" s="67"/>
      <c r="N142" s="66"/>
      <c r="O142" s="67"/>
      <c r="P142" s="6" t="e">
        <f>IF($A142="","",IFERROR(INDEX(Scores!$T$2:$T$225,MATCH($A142,Scores!$A$2:$A$225,0)),""))</f>
        <v>#DIV/0!</v>
      </c>
      <c r="Q142" s="6" t="e">
        <f>IF($A142="","",IFERROR(INDEX(Scores!$U$2:$U$225,MATCH($A142,Scores!$A$2:$A$225,0)),""))</f>
        <v>#DIV/0!</v>
      </c>
      <c r="R142" s="12" t="e">
        <f>IF($A142="","",IF(IFERROR(INDEX(Scores!$X$2:$X$225,MATCH($A142,Scores!$A$2:$A$225,0)),0)=1,"Complete","Waiting"))</f>
        <v>#DIV/0!</v>
      </c>
      <c r="S142" s="12" t="e">
        <f>IF($A142="","",IFERROR(INDEX(Scores!$Y$2:$Y$225,MATCH($A142,Scores!$A$2:$A$225,0)),""))</f>
        <v>#DIV/0!</v>
      </c>
    </row>
    <row r="143" spans="1:19">
      <c r="A143" s="12" t="e">
        <f>IF(INT((138)/Setup!$B$13)+1&lt;=Setup!$B$5,INDEX(Scores!$A$2:$A$225,2+(INT((138)/Setup!$B$13)+1-1)*28+(MOD(138,Setup!$B$13)+1-1)-1),"")</f>
        <v>#DIV/0!</v>
      </c>
      <c r="B143" s="12" t="e">
        <f>IF(INT((138)/Setup!$B$13)+1&lt;=Setup!$B$5,CHAR(64+INT((138)/Setup!$B$13)+1),"")</f>
        <v>#DIV/0!</v>
      </c>
      <c r="C143" s="12" t="e">
        <f>IF(INT((138)/Setup!$B$13)+1&lt;=Setup!$B$5,INDEX(Scores!$E$2:$E$225,2+(INT((138)/Setup!$B$13)+1-1)*28+(MOD(138,Setup!$B$13)+1-1)-1),"")</f>
        <v>#DIV/0!</v>
      </c>
      <c r="D143" s="12" t="e">
        <f>IF(INT((138)/Setup!$B$13)+1&lt;=Setup!$B$5,INDEX(Scores!$G$2:$G$225,2+(INT((138)/Setup!$B$13)+1-1)*28+(MOD(138,Setup!$B$13)+1-1)-1),"")</f>
        <v>#DIV/0!</v>
      </c>
      <c r="E143" s="12" t="e">
        <f>IF(INT((138)/Setup!$B$13)+1&lt;=Setup!$B$5,INDEX(Scores!$I$2:$I$225,2+(INT((138)/Setup!$B$13)+1-1)*28+(MOD(138,Setup!$B$13)+1-1)-1),"")</f>
        <v>#DIV/0!</v>
      </c>
      <c r="F143" s="66"/>
      <c r="G143" s="67"/>
      <c r="H143" s="66"/>
      <c r="I143" s="67"/>
      <c r="J143" s="66"/>
      <c r="K143" s="67"/>
      <c r="L143" s="66"/>
      <c r="M143" s="67"/>
      <c r="N143" s="66"/>
      <c r="O143" s="67"/>
      <c r="P143" s="6" t="e">
        <f>IF($A143="","",IFERROR(INDEX(Scores!$T$2:$T$225,MATCH($A143,Scores!$A$2:$A$225,0)),""))</f>
        <v>#DIV/0!</v>
      </c>
      <c r="Q143" s="6" t="e">
        <f>IF($A143="","",IFERROR(INDEX(Scores!$U$2:$U$225,MATCH($A143,Scores!$A$2:$A$225,0)),""))</f>
        <v>#DIV/0!</v>
      </c>
      <c r="R143" s="12" t="e">
        <f>IF($A143="","",IF(IFERROR(INDEX(Scores!$X$2:$X$225,MATCH($A143,Scores!$A$2:$A$225,0)),0)=1,"Complete","Waiting"))</f>
        <v>#DIV/0!</v>
      </c>
      <c r="S143" s="12" t="e">
        <f>IF($A143="","",IFERROR(INDEX(Scores!$Y$2:$Y$225,MATCH($A143,Scores!$A$2:$A$225,0)),""))</f>
        <v>#DIV/0!</v>
      </c>
    </row>
    <row r="144" spans="1:19">
      <c r="A144" s="12" t="e">
        <f>IF(INT((139)/Setup!$B$13)+1&lt;=Setup!$B$5,INDEX(Scores!$A$2:$A$225,2+(INT((139)/Setup!$B$13)+1-1)*28+(MOD(139,Setup!$B$13)+1-1)-1),"")</f>
        <v>#DIV/0!</v>
      </c>
      <c r="B144" s="12" t="e">
        <f>IF(INT((139)/Setup!$B$13)+1&lt;=Setup!$B$5,CHAR(64+INT((139)/Setup!$B$13)+1),"")</f>
        <v>#DIV/0!</v>
      </c>
      <c r="C144" s="12" t="e">
        <f>IF(INT((139)/Setup!$B$13)+1&lt;=Setup!$B$5,INDEX(Scores!$E$2:$E$225,2+(INT((139)/Setup!$B$13)+1-1)*28+(MOD(139,Setup!$B$13)+1-1)-1),"")</f>
        <v>#DIV/0!</v>
      </c>
      <c r="D144" s="12" t="e">
        <f>IF(INT((139)/Setup!$B$13)+1&lt;=Setup!$B$5,INDEX(Scores!$G$2:$G$225,2+(INT((139)/Setup!$B$13)+1-1)*28+(MOD(139,Setup!$B$13)+1-1)-1),"")</f>
        <v>#DIV/0!</v>
      </c>
      <c r="E144" s="12" t="e">
        <f>IF(INT((139)/Setup!$B$13)+1&lt;=Setup!$B$5,INDEX(Scores!$I$2:$I$225,2+(INT((139)/Setup!$B$13)+1-1)*28+(MOD(139,Setup!$B$13)+1-1)-1),"")</f>
        <v>#DIV/0!</v>
      </c>
      <c r="F144" s="66"/>
      <c r="G144" s="67"/>
      <c r="H144" s="66"/>
      <c r="I144" s="67"/>
      <c r="J144" s="66"/>
      <c r="K144" s="67"/>
      <c r="L144" s="66"/>
      <c r="M144" s="67"/>
      <c r="N144" s="66"/>
      <c r="O144" s="67"/>
      <c r="P144" s="6" t="e">
        <f>IF($A144="","",IFERROR(INDEX(Scores!$T$2:$T$225,MATCH($A144,Scores!$A$2:$A$225,0)),""))</f>
        <v>#DIV/0!</v>
      </c>
      <c r="Q144" s="6" t="e">
        <f>IF($A144="","",IFERROR(INDEX(Scores!$U$2:$U$225,MATCH($A144,Scores!$A$2:$A$225,0)),""))</f>
        <v>#DIV/0!</v>
      </c>
      <c r="R144" s="12" t="e">
        <f>IF($A144="","",IF(IFERROR(INDEX(Scores!$X$2:$X$225,MATCH($A144,Scores!$A$2:$A$225,0)),0)=1,"Complete","Waiting"))</f>
        <v>#DIV/0!</v>
      </c>
      <c r="S144" s="12" t="e">
        <f>IF($A144="","",IFERROR(INDEX(Scores!$Y$2:$Y$225,MATCH($A144,Scores!$A$2:$A$225,0)),""))</f>
        <v>#DIV/0!</v>
      </c>
    </row>
    <row r="145" spans="1:19">
      <c r="A145" s="12" t="e">
        <f>IF(INT((140)/Setup!$B$13)+1&lt;=Setup!$B$5,INDEX(Scores!$A$2:$A$225,2+(INT((140)/Setup!$B$13)+1-1)*28+(MOD(140,Setup!$B$13)+1-1)-1),"")</f>
        <v>#DIV/0!</v>
      </c>
      <c r="B145" s="12" t="e">
        <f>IF(INT((140)/Setup!$B$13)+1&lt;=Setup!$B$5,CHAR(64+INT((140)/Setup!$B$13)+1),"")</f>
        <v>#DIV/0!</v>
      </c>
      <c r="C145" s="12" t="e">
        <f>IF(INT((140)/Setup!$B$13)+1&lt;=Setup!$B$5,INDEX(Scores!$E$2:$E$225,2+(INT((140)/Setup!$B$13)+1-1)*28+(MOD(140,Setup!$B$13)+1-1)-1),"")</f>
        <v>#DIV/0!</v>
      </c>
      <c r="D145" s="12" t="e">
        <f>IF(INT((140)/Setup!$B$13)+1&lt;=Setup!$B$5,INDEX(Scores!$G$2:$G$225,2+(INT((140)/Setup!$B$13)+1-1)*28+(MOD(140,Setup!$B$13)+1-1)-1),"")</f>
        <v>#DIV/0!</v>
      </c>
      <c r="E145" s="12" t="e">
        <f>IF(INT((140)/Setup!$B$13)+1&lt;=Setup!$B$5,INDEX(Scores!$I$2:$I$225,2+(INT((140)/Setup!$B$13)+1-1)*28+(MOD(140,Setup!$B$13)+1-1)-1),"")</f>
        <v>#DIV/0!</v>
      </c>
      <c r="F145" s="66"/>
      <c r="G145" s="67"/>
      <c r="H145" s="66"/>
      <c r="I145" s="67"/>
      <c r="J145" s="66"/>
      <c r="K145" s="67"/>
      <c r="L145" s="66"/>
      <c r="M145" s="67"/>
      <c r="N145" s="66"/>
      <c r="O145" s="67"/>
      <c r="P145" s="6" t="e">
        <f>IF($A145="","",IFERROR(INDEX(Scores!$T$2:$T$225,MATCH($A145,Scores!$A$2:$A$225,0)),""))</f>
        <v>#DIV/0!</v>
      </c>
      <c r="Q145" s="6" t="e">
        <f>IF($A145="","",IFERROR(INDEX(Scores!$U$2:$U$225,MATCH($A145,Scores!$A$2:$A$225,0)),""))</f>
        <v>#DIV/0!</v>
      </c>
      <c r="R145" s="12" t="e">
        <f>IF($A145="","",IF(IFERROR(INDEX(Scores!$X$2:$X$225,MATCH($A145,Scores!$A$2:$A$225,0)),0)=1,"Complete","Waiting"))</f>
        <v>#DIV/0!</v>
      </c>
      <c r="S145" s="12" t="e">
        <f>IF($A145="","",IFERROR(INDEX(Scores!$Y$2:$Y$225,MATCH($A145,Scores!$A$2:$A$225,0)),""))</f>
        <v>#DIV/0!</v>
      </c>
    </row>
    <row r="146" spans="1:19">
      <c r="A146" s="12" t="e">
        <f>IF(INT((141)/Setup!$B$13)+1&lt;=Setup!$B$5,INDEX(Scores!$A$2:$A$225,2+(INT((141)/Setup!$B$13)+1-1)*28+(MOD(141,Setup!$B$13)+1-1)-1),"")</f>
        <v>#DIV/0!</v>
      </c>
      <c r="B146" s="12" t="e">
        <f>IF(INT((141)/Setup!$B$13)+1&lt;=Setup!$B$5,CHAR(64+INT((141)/Setup!$B$13)+1),"")</f>
        <v>#DIV/0!</v>
      </c>
      <c r="C146" s="12" t="e">
        <f>IF(INT((141)/Setup!$B$13)+1&lt;=Setup!$B$5,INDEX(Scores!$E$2:$E$225,2+(INT((141)/Setup!$B$13)+1-1)*28+(MOD(141,Setup!$B$13)+1-1)-1),"")</f>
        <v>#DIV/0!</v>
      </c>
      <c r="D146" s="12" t="e">
        <f>IF(INT((141)/Setup!$B$13)+1&lt;=Setup!$B$5,INDEX(Scores!$G$2:$G$225,2+(INT((141)/Setup!$B$13)+1-1)*28+(MOD(141,Setup!$B$13)+1-1)-1),"")</f>
        <v>#DIV/0!</v>
      </c>
      <c r="E146" s="12" t="e">
        <f>IF(INT((141)/Setup!$B$13)+1&lt;=Setup!$B$5,INDEX(Scores!$I$2:$I$225,2+(INT((141)/Setup!$B$13)+1-1)*28+(MOD(141,Setup!$B$13)+1-1)-1),"")</f>
        <v>#DIV/0!</v>
      </c>
      <c r="F146" s="66"/>
      <c r="G146" s="67"/>
      <c r="H146" s="66"/>
      <c r="I146" s="67"/>
      <c r="J146" s="66"/>
      <c r="K146" s="67"/>
      <c r="L146" s="66"/>
      <c r="M146" s="67"/>
      <c r="N146" s="66"/>
      <c r="O146" s="67"/>
      <c r="P146" s="6" t="e">
        <f>IF($A146="","",IFERROR(INDEX(Scores!$T$2:$T$225,MATCH($A146,Scores!$A$2:$A$225,0)),""))</f>
        <v>#DIV/0!</v>
      </c>
      <c r="Q146" s="6" t="e">
        <f>IF($A146="","",IFERROR(INDEX(Scores!$U$2:$U$225,MATCH($A146,Scores!$A$2:$A$225,0)),""))</f>
        <v>#DIV/0!</v>
      </c>
      <c r="R146" s="12" t="e">
        <f>IF($A146="","",IF(IFERROR(INDEX(Scores!$X$2:$X$225,MATCH($A146,Scores!$A$2:$A$225,0)),0)=1,"Complete","Waiting"))</f>
        <v>#DIV/0!</v>
      </c>
      <c r="S146" s="12" t="e">
        <f>IF($A146="","",IFERROR(INDEX(Scores!$Y$2:$Y$225,MATCH($A146,Scores!$A$2:$A$225,0)),""))</f>
        <v>#DIV/0!</v>
      </c>
    </row>
    <row r="147" spans="1:19">
      <c r="A147" s="12" t="e">
        <f>IF(INT((142)/Setup!$B$13)+1&lt;=Setup!$B$5,INDEX(Scores!$A$2:$A$225,2+(INT((142)/Setup!$B$13)+1-1)*28+(MOD(142,Setup!$B$13)+1-1)-1),"")</f>
        <v>#DIV/0!</v>
      </c>
      <c r="B147" s="12" t="e">
        <f>IF(INT((142)/Setup!$B$13)+1&lt;=Setup!$B$5,CHAR(64+INT((142)/Setup!$B$13)+1),"")</f>
        <v>#DIV/0!</v>
      </c>
      <c r="C147" s="12" t="e">
        <f>IF(INT((142)/Setup!$B$13)+1&lt;=Setup!$B$5,INDEX(Scores!$E$2:$E$225,2+(INT((142)/Setup!$B$13)+1-1)*28+(MOD(142,Setup!$B$13)+1-1)-1),"")</f>
        <v>#DIV/0!</v>
      </c>
      <c r="D147" s="12" t="e">
        <f>IF(INT((142)/Setup!$B$13)+1&lt;=Setup!$B$5,INDEX(Scores!$G$2:$G$225,2+(INT((142)/Setup!$B$13)+1-1)*28+(MOD(142,Setup!$B$13)+1-1)-1),"")</f>
        <v>#DIV/0!</v>
      </c>
      <c r="E147" s="12" t="e">
        <f>IF(INT((142)/Setup!$B$13)+1&lt;=Setup!$B$5,INDEX(Scores!$I$2:$I$225,2+(INT((142)/Setup!$B$13)+1-1)*28+(MOD(142,Setup!$B$13)+1-1)-1),"")</f>
        <v>#DIV/0!</v>
      </c>
      <c r="F147" s="66"/>
      <c r="G147" s="67"/>
      <c r="H147" s="66"/>
      <c r="I147" s="67"/>
      <c r="J147" s="66"/>
      <c r="K147" s="67"/>
      <c r="L147" s="66"/>
      <c r="M147" s="67"/>
      <c r="N147" s="66"/>
      <c r="O147" s="67"/>
      <c r="P147" s="6" t="e">
        <f>IF($A147="","",IFERROR(INDEX(Scores!$T$2:$T$225,MATCH($A147,Scores!$A$2:$A$225,0)),""))</f>
        <v>#DIV/0!</v>
      </c>
      <c r="Q147" s="6" t="e">
        <f>IF($A147="","",IFERROR(INDEX(Scores!$U$2:$U$225,MATCH($A147,Scores!$A$2:$A$225,0)),""))</f>
        <v>#DIV/0!</v>
      </c>
      <c r="R147" s="12" t="e">
        <f>IF($A147="","",IF(IFERROR(INDEX(Scores!$X$2:$X$225,MATCH($A147,Scores!$A$2:$A$225,0)),0)=1,"Complete","Waiting"))</f>
        <v>#DIV/0!</v>
      </c>
      <c r="S147" s="12" t="e">
        <f>IF($A147="","",IFERROR(INDEX(Scores!$Y$2:$Y$225,MATCH($A147,Scores!$A$2:$A$225,0)),""))</f>
        <v>#DIV/0!</v>
      </c>
    </row>
    <row r="148" spans="1:19">
      <c r="A148" s="12" t="e">
        <f>IF(INT((143)/Setup!$B$13)+1&lt;=Setup!$B$5,INDEX(Scores!$A$2:$A$225,2+(INT((143)/Setup!$B$13)+1-1)*28+(MOD(143,Setup!$B$13)+1-1)-1),"")</f>
        <v>#DIV/0!</v>
      </c>
      <c r="B148" s="12" t="e">
        <f>IF(INT((143)/Setup!$B$13)+1&lt;=Setup!$B$5,CHAR(64+INT((143)/Setup!$B$13)+1),"")</f>
        <v>#DIV/0!</v>
      </c>
      <c r="C148" s="12" t="e">
        <f>IF(INT((143)/Setup!$B$13)+1&lt;=Setup!$B$5,INDEX(Scores!$E$2:$E$225,2+(INT((143)/Setup!$B$13)+1-1)*28+(MOD(143,Setup!$B$13)+1-1)-1),"")</f>
        <v>#DIV/0!</v>
      </c>
      <c r="D148" s="12" t="e">
        <f>IF(INT((143)/Setup!$B$13)+1&lt;=Setup!$B$5,INDEX(Scores!$G$2:$G$225,2+(INT((143)/Setup!$B$13)+1-1)*28+(MOD(143,Setup!$B$13)+1-1)-1),"")</f>
        <v>#DIV/0!</v>
      </c>
      <c r="E148" s="12" t="e">
        <f>IF(INT((143)/Setup!$B$13)+1&lt;=Setup!$B$5,INDEX(Scores!$I$2:$I$225,2+(INT((143)/Setup!$B$13)+1-1)*28+(MOD(143,Setup!$B$13)+1-1)-1),"")</f>
        <v>#DIV/0!</v>
      </c>
      <c r="F148" s="66"/>
      <c r="G148" s="67"/>
      <c r="H148" s="66"/>
      <c r="I148" s="67"/>
      <c r="J148" s="66"/>
      <c r="K148" s="67"/>
      <c r="L148" s="66"/>
      <c r="M148" s="67"/>
      <c r="N148" s="66"/>
      <c r="O148" s="67"/>
      <c r="P148" s="6" t="e">
        <f>IF($A148="","",IFERROR(INDEX(Scores!$T$2:$T$225,MATCH($A148,Scores!$A$2:$A$225,0)),""))</f>
        <v>#DIV/0!</v>
      </c>
      <c r="Q148" s="6" t="e">
        <f>IF($A148="","",IFERROR(INDEX(Scores!$U$2:$U$225,MATCH($A148,Scores!$A$2:$A$225,0)),""))</f>
        <v>#DIV/0!</v>
      </c>
      <c r="R148" s="12" t="e">
        <f>IF($A148="","",IF(IFERROR(INDEX(Scores!$X$2:$X$225,MATCH($A148,Scores!$A$2:$A$225,0)),0)=1,"Complete","Waiting"))</f>
        <v>#DIV/0!</v>
      </c>
      <c r="S148" s="12" t="e">
        <f>IF($A148="","",IFERROR(INDEX(Scores!$Y$2:$Y$225,MATCH($A148,Scores!$A$2:$A$225,0)),""))</f>
        <v>#DIV/0!</v>
      </c>
    </row>
    <row r="149" spans="1:19">
      <c r="A149" s="12" t="e">
        <f>IF(INT((144)/Setup!$B$13)+1&lt;=Setup!$B$5,INDEX(Scores!$A$2:$A$225,2+(INT((144)/Setup!$B$13)+1-1)*28+(MOD(144,Setup!$B$13)+1-1)-1),"")</f>
        <v>#DIV/0!</v>
      </c>
      <c r="B149" s="12" t="e">
        <f>IF(INT((144)/Setup!$B$13)+1&lt;=Setup!$B$5,CHAR(64+INT((144)/Setup!$B$13)+1),"")</f>
        <v>#DIV/0!</v>
      </c>
      <c r="C149" s="12" t="e">
        <f>IF(INT((144)/Setup!$B$13)+1&lt;=Setup!$B$5,INDEX(Scores!$E$2:$E$225,2+(INT((144)/Setup!$B$13)+1-1)*28+(MOD(144,Setup!$B$13)+1-1)-1),"")</f>
        <v>#DIV/0!</v>
      </c>
      <c r="D149" s="12" t="e">
        <f>IF(INT((144)/Setup!$B$13)+1&lt;=Setup!$B$5,INDEX(Scores!$G$2:$G$225,2+(INT((144)/Setup!$B$13)+1-1)*28+(MOD(144,Setup!$B$13)+1-1)-1),"")</f>
        <v>#DIV/0!</v>
      </c>
      <c r="E149" s="12" t="e">
        <f>IF(INT((144)/Setup!$B$13)+1&lt;=Setup!$B$5,INDEX(Scores!$I$2:$I$225,2+(INT((144)/Setup!$B$13)+1-1)*28+(MOD(144,Setup!$B$13)+1-1)-1),"")</f>
        <v>#DIV/0!</v>
      </c>
      <c r="F149" s="66"/>
      <c r="G149" s="67"/>
      <c r="H149" s="66"/>
      <c r="I149" s="67"/>
      <c r="J149" s="66"/>
      <c r="K149" s="67"/>
      <c r="L149" s="66"/>
      <c r="M149" s="67"/>
      <c r="N149" s="66"/>
      <c r="O149" s="67"/>
      <c r="P149" s="6" t="e">
        <f>IF($A149="","",IFERROR(INDEX(Scores!$T$2:$T$225,MATCH($A149,Scores!$A$2:$A$225,0)),""))</f>
        <v>#DIV/0!</v>
      </c>
      <c r="Q149" s="6" t="e">
        <f>IF($A149="","",IFERROR(INDEX(Scores!$U$2:$U$225,MATCH($A149,Scores!$A$2:$A$225,0)),""))</f>
        <v>#DIV/0!</v>
      </c>
      <c r="R149" s="12" t="e">
        <f>IF($A149="","",IF(IFERROR(INDEX(Scores!$X$2:$X$225,MATCH($A149,Scores!$A$2:$A$225,0)),0)=1,"Complete","Waiting"))</f>
        <v>#DIV/0!</v>
      </c>
      <c r="S149" s="12" t="e">
        <f>IF($A149="","",IFERROR(INDEX(Scores!$Y$2:$Y$225,MATCH($A149,Scores!$A$2:$A$225,0)),""))</f>
        <v>#DIV/0!</v>
      </c>
    </row>
    <row r="150" spans="1:19">
      <c r="A150" s="12" t="e">
        <f>IF(INT((145)/Setup!$B$13)+1&lt;=Setup!$B$5,INDEX(Scores!$A$2:$A$225,2+(INT((145)/Setup!$B$13)+1-1)*28+(MOD(145,Setup!$B$13)+1-1)-1),"")</f>
        <v>#DIV/0!</v>
      </c>
      <c r="B150" s="12" t="e">
        <f>IF(INT((145)/Setup!$B$13)+1&lt;=Setup!$B$5,CHAR(64+INT((145)/Setup!$B$13)+1),"")</f>
        <v>#DIV/0!</v>
      </c>
      <c r="C150" s="12" t="e">
        <f>IF(INT((145)/Setup!$B$13)+1&lt;=Setup!$B$5,INDEX(Scores!$E$2:$E$225,2+(INT((145)/Setup!$B$13)+1-1)*28+(MOD(145,Setup!$B$13)+1-1)-1),"")</f>
        <v>#DIV/0!</v>
      </c>
      <c r="D150" s="12" t="e">
        <f>IF(INT((145)/Setup!$B$13)+1&lt;=Setup!$B$5,INDEX(Scores!$G$2:$G$225,2+(INT((145)/Setup!$B$13)+1-1)*28+(MOD(145,Setup!$B$13)+1-1)-1),"")</f>
        <v>#DIV/0!</v>
      </c>
      <c r="E150" s="12" t="e">
        <f>IF(INT((145)/Setup!$B$13)+1&lt;=Setup!$B$5,INDEX(Scores!$I$2:$I$225,2+(INT((145)/Setup!$B$13)+1-1)*28+(MOD(145,Setup!$B$13)+1-1)-1),"")</f>
        <v>#DIV/0!</v>
      </c>
      <c r="F150" s="66"/>
      <c r="G150" s="67"/>
      <c r="H150" s="66"/>
      <c r="I150" s="67"/>
      <c r="J150" s="66"/>
      <c r="K150" s="67"/>
      <c r="L150" s="66"/>
      <c r="M150" s="67"/>
      <c r="N150" s="66"/>
      <c r="O150" s="67"/>
      <c r="P150" s="6" t="e">
        <f>IF($A150="","",IFERROR(INDEX(Scores!$T$2:$T$225,MATCH($A150,Scores!$A$2:$A$225,0)),""))</f>
        <v>#DIV/0!</v>
      </c>
      <c r="Q150" s="6" t="e">
        <f>IF($A150="","",IFERROR(INDEX(Scores!$U$2:$U$225,MATCH($A150,Scores!$A$2:$A$225,0)),""))</f>
        <v>#DIV/0!</v>
      </c>
      <c r="R150" s="12" t="e">
        <f>IF($A150="","",IF(IFERROR(INDEX(Scores!$X$2:$X$225,MATCH($A150,Scores!$A$2:$A$225,0)),0)=1,"Complete","Waiting"))</f>
        <v>#DIV/0!</v>
      </c>
      <c r="S150" s="12" t="e">
        <f>IF($A150="","",IFERROR(INDEX(Scores!$Y$2:$Y$225,MATCH($A150,Scores!$A$2:$A$225,0)),""))</f>
        <v>#DIV/0!</v>
      </c>
    </row>
    <row r="151" spans="1:19">
      <c r="A151" s="12" t="e">
        <f>IF(INT((146)/Setup!$B$13)+1&lt;=Setup!$B$5,INDEX(Scores!$A$2:$A$225,2+(INT((146)/Setup!$B$13)+1-1)*28+(MOD(146,Setup!$B$13)+1-1)-1),"")</f>
        <v>#DIV/0!</v>
      </c>
      <c r="B151" s="12" t="e">
        <f>IF(INT((146)/Setup!$B$13)+1&lt;=Setup!$B$5,CHAR(64+INT((146)/Setup!$B$13)+1),"")</f>
        <v>#DIV/0!</v>
      </c>
      <c r="C151" s="12" t="e">
        <f>IF(INT((146)/Setup!$B$13)+1&lt;=Setup!$B$5,INDEX(Scores!$E$2:$E$225,2+(INT((146)/Setup!$B$13)+1-1)*28+(MOD(146,Setup!$B$13)+1-1)-1),"")</f>
        <v>#DIV/0!</v>
      </c>
      <c r="D151" s="12" t="e">
        <f>IF(INT((146)/Setup!$B$13)+1&lt;=Setup!$B$5,INDEX(Scores!$G$2:$G$225,2+(INT((146)/Setup!$B$13)+1-1)*28+(MOD(146,Setup!$B$13)+1-1)-1),"")</f>
        <v>#DIV/0!</v>
      </c>
      <c r="E151" s="12" t="e">
        <f>IF(INT((146)/Setup!$B$13)+1&lt;=Setup!$B$5,INDEX(Scores!$I$2:$I$225,2+(INT((146)/Setup!$B$13)+1-1)*28+(MOD(146,Setup!$B$13)+1-1)-1),"")</f>
        <v>#DIV/0!</v>
      </c>
      <c r="F151" s="66"/>
      <c r="G151" s="67"/>
      <c r="H151" s="66"/>
      <c r="I151" s="67"/>
      <c r="J151" s="66"/>
      <c r="K151" s="67"/>
      <c r="L151" s="66"/>
      <c r="M151" s="67"/>
      <c r="N151" s="66"/>
      <c r="O151" s="67"/>
      <c r="P151" s="6" t="e">
        <f>IF($A151="","",IFERROR(INDEX(Scores!$T$2:$T$225,MATCH($A151,Scores!$A$2:$A$225,0)),""))</f>
        <v>#DIV/0!</v>
      </c>
      <c r="Q151" s="6" t="e">
        <f>IF($A151="","",IFERROR(INDEX(Scores!$U$2:$U$225,MATCH($A151,Scores!$A$2:$A$225,0)),""))</f>
        <v>#DIV/0!</v>
      </c>
      <c r="R151" s="12" t="e">
        <f>IF($A151="","",IF(IFERROR(INDEX(Scores!$X$2:$X$225,MATCH($A151,Scores!$A$2:$A$225,0)),0)=1,"Complete","Waiting"))</f>
        <v>#DIV/0!</v>
      </c>
      <c r="S151" s="12" t="e">
        <f>IF($A151="","",IFERROR(INDEX(Scores!$Y$2:$Y$225,MATCH($A151,Scores!$A$2:$A$225,0)),""))</f>
        <v>#DIV/0!</v>
      </c>
    </row>
    <row r="152" spans="1:19">
      <c r="A152" s="12" t="e">
        <f>IF(INT((147)/Setup!$B$13)+1&lt;=Setup!$B$5,INDEX(Scores!$A$2:$A$225,2+(INT((147)/Setup!$B$13)+1-1)*28+(MOD(147,Setup!$B$13)+1-1)-1),"")</f>
        <v>#DIV/0!</v>
      </c>
      <c r="B152" s="12" t="e">
        <f>IF(INT((147)/Setup!$B$13)+1&lt;=Setup!$B$5,CHAR(64+INT((147)/Setup!$B$13)+1),"")</f>
        <v>#DIV/0!</v>
      </c>
      <c r="C152" s="12" t="e">
        <f>IF(INT((147)/Setup!$B$13)+1&lt;=Setup!$B$5,INDEX(Scores!$E$2:$E$225,2+(INT((147)/Setup!$B$13)+1-1)*28+(MOD(147,Setup!$B$13)+1-1)-1),"")</f>
        <v>#DIV/0!</v>
      </c>
      <c r="D152" s="12" t="e">
        <f>IF(INT((147)/Setup!$B$13)+1&lt;=Setup!$B$5,INDEX(Scores!$G$2:$G$225,2+(INT((147)/Setup!$B$13)+1-1)*28+(MOD(147,Setup!$B$13)+1-1)-1),"")</f>
        <v>#DIV/0!</v>
      </c>
      <c r="E152" s="12" t="e">
        <f>IF(INT((147)/Setup!$B$13)+1&lt;=Setup!$B$5,INDEX(Scores!$I$2:$I$225,2+(INT((147)/Setup!$B$13)+1-1)*28+(MOD(147,Setup!$B$13)+1-1)-1),"")</f>
        <v>#DIV/0!</v>
      </c>
      <c r="F152" s="66"/>
      <c r="G152" s="67"/>
      <c r="H152" s="66"/>
      <c r="I152" s="67"/>
      <c r="J152" s="66"/>
      <c r="K152" s="67"/>
      <c r="L152" s="66"/>
      <c r="M152" s="67"/>
      <c r="N152" s="66"/>
      <c r="O152" s="67"/>
      <c r="P152" s="6" t="e">
        <f>IF($A152="","",IFERROR(INDEX(Scores!$T$2:$T$225,MATCH($A152,Scores!$A$2:$A$225,0)),""))</f>
        <v>#DIV/0!</v>
      </c>
      <c r="Q152" s="6" t="e">
        <f>IF($A152="","",IFERROR(INDEX(Scores!$U$2:$U$225,MATCH($A152,Scores!$A$2:$A$225,0)),""))</f>
        <v>#DIV/0!</v>
      </c>
      <c r="R152" s="12" t="e">
        <f>IF($A152="","",IF(IFERROR(INDEX(Scores!$X$2:$X$225,MATCH($A152,Scores!$A$2:$A$225,0)),0)=1,"Complete","Waiting"))</f>
        <v>#DIV/0!</v>
      </c>
      <c r="S152" s="12" t="e">
        <f>IF($A152="","",IFERROR(INDEX(Scores!$Y$2:$Y$225,MATCH($A152,Scores!$A$2:$A$225,0)),""))</f>
        <v>#DIV/0!</v>
      </c>
    </row>
    <row r="153" spans="1:19">
      <c r="A153" s="12" t="e">
        <f>IF(INT((148)/Setup!$B$13)+1&lt;=Setup!$B$5,INDEX(Scores!$A$2:$A$225,2+(INT((148)/Setup!$B$13)+1-1)*28+(MOD(148,Setup!$B$13)+1-1)-1),"")</f>
        <v>#DIV/0!</v>
      </c>
      <c r="B153" s="12" t="e">
        <f>IF(INT((148)/Setup!$B$13)+1&lt;=Setup!$B$5,CHAR(64+INT((148)/Setup!$B$13)+1),"")</f>
        <v>#DIV/0!</v>
      </c>
      <c r="C153" s="12" t="e">
        <f>IF(INT((148)/Setup!$B$13)+1&lt;=Setup!$B$5,INDEX(Scores!$E$2:$E$225,2+(INT((148)/Setup!$B$13)+1-1)*28+(MOD(148,Setup!$B$13)+1-1)-1),"")</f>
        <v>#DIV/0!</v>
      </c>
      <c r="D153" s="12" t="e">
        <f>IF(INT((148)/Setup!$B$13)+1&lt;=Setup!$B$5,INDEX(Scores!$G$2:$G$225,2+(INT((148)/Setup!$B$13)+1-1)*28+(MOD(148,Setup!$B$13)+1-1)-1),"")</f>
        <v>#DIV/0!</v>
      </c>
      <c r="E153" s="12" t="e">
        <f>IF(INT((148)/Setup!$B$13)+1&lt;=Setup!$B$5,INDEX(Scores!$I$2:$I$225,2+(INT((148)/Setup!$B$13)+1-1)*28+(MOD(148,Setup!$B$13)+1-1)-1),"")</f>
        <v>#DIV/0!</v>
      </c>
      <c r="F153" s="66"/>
      <c r="G153" s="67"/>
      <c r="H153" s="66"/>
      <c r="I153" s="67"/>
      <c r="J153" s="66"/>
      <c r="K153" s="67"/>
      <c r="L153" s="66"/>
      <c r="M153" s="67"/>
      <c r="N153" s="66"/>
      <c r="O153" s="67"/>
      <c r="P153" s="6" t="e">
        <f>IF($A153="","",IFERROR(INDEX(Scores!$T$2:$T$225,MATCH($A153,Scores!$A$2:$A$225,0)),""))</f>
        <v>#DIV/0!</v>
      </c>
      <c r="Q153" s="6" t="e">
        <f>IF($A153="","",IFERROR(INDEX(Scores!$U$2:$U$225,MATCH($A153,Scores!$A$2:$A$225,0)),""))</f>
        <v>#DIV/0!</v>
      </c>
      <c r="R153" s="12" t="e">
        <f>IF($A153="","",IF(IFERROR(INDEX(Scores!$X$2:$X$225,MATCH($A153,Scores!$A$2:$A$225,0)),0)=1,"Complete","Waiting"))</f>
        <v>#DIV/0!</v>
      </c>
      <c r="S153" s="12" t="e">
        <f>IF($A153="","",IFERROR(INDEX(Scores!$Y$2:$Y$225,MATCH($A153,Scores!$A$2:$A$225,0)),""))</f>
        <v>#DIV/0!</v>
      </c>
    </row>
    <row r="154" spans="1:19">
      <c r="A154" s="12" t="e">
        <f>IF(INT((149)/Setup!$B$13)+1&lt;=Setup!$B$5,INDEX(Scores!$A$2:$A$225,2+(INT((149)/Setup!$B$13)+1-1)*28+(MOD(149,Setup!$B$13)+1-1)-1),"")</f>
        <v>#DIV/0!</v>
      </c>
      <c r="B154" s="12" t="e">
        <f>IF(INT((149)/Setup!$B$13)+1&lt;=Setup!$B$5,CHAR(64+INT((149)/Setup!$B$13)+1),"")</f>
        <v>#DIV/0!</v>
      </c>
      <c r="C154" s="12" t="e">
        <f>IF(INT((149)/Setup!$B$13)+1&lt;=Setup!$B$5,INDEX(Scores!$E$2:$E$225,2+(INT((149)/Setup!$B$13)+1-1)*28+(MOD(149,Setup!$B$13)+1-1)-1),"")</f>
        <v>#DIV/0!</v>
      </c>
      <c r="D154" s="12" t="e">
        <f>IF(INT((149)/Setup!$B$13)+1&lt;=Setup!$B$5,INDEX(Scores!$G$2:$G$225,2+(INT((149)/Setup!$B$13)+1-1)*28+(MOD(149,Setup!$B$13)+1-1)-1),"")</f>
        <v>#DIV/0!</v>
      </c>
      <c r="E154" s="12" t="e">
        <f>IF(INT((149)/Setup!$B$13)+1&lt;=Setup!$B$5,INDEX(Scores!$I$2:$I$225,2+(INT((149)/Setup!$B$13)+1-1)*28+(MOD(149,Setup!$B$13)+1-1)-1),"")</f>
        <v>#DIV/0!</v>
      </c>
      <c r="F154" s="66"/>
      <c r="G154" s="67"/>
      <c r="H154" s="66"/>
      <c r="I154" s="67"/>
      <c r="J154" s="66"/>
      <c r="K154" s="67"/>
      <c r="L154" s="66"/>
      <c r="M154" s="67"/>
      <c r="N154" s="66"/>
      <c r="O154" s="67"/>
      <c r="P154" s="6" t="e">
        <f>IF($A154="","",IFERROR(INDEX(Scores!$T$2:$T$225,MATCH($A154,Scores!$A$2:$A$225,0)),""))</f>
        <v>#DIV/0!</v>
      </c>
      <c r="Q154" s="6" t="e">
        <f>IF($A154="","",IFERROR(INDEX(Scores!$U$2:$U$225,MATCH($A154,Scores!$A$2:$A$225,0)),""))</f>
        <v>#DIV/0!</v>
      </c>
      <c r="R154" s="12" t="e">
        <f>IF($A154="","",IF(IFERROR(INDEX(Scores!$X$2:$X$225,MATCH($A154,Scores!$A$2:$A$225,0)),0)=1,"Complete","Waiting"))</f>
        <v>#DIV/0!</v>
      </c>
      <c r="S154" s="12" t="e">
        <f>IF($A154="","",IFERROR(INDEX(Scores!$Y$2:$Y$225,MATCH($A154,Scores!$A$2:$A$225,0)),""))</f>
        <v>#DIV/0!</v>
      </c>
    </row>
    <row r="155" spans="1:19">
      <c r="A155" s="12" t="e">
        <f>IF(INT((150)/Setup!$B$13)+1&lt;=Setup!$B$5,INDEX(Scores!$A$2:$A$225,2+(INT((150)/Setup!$B$13)+1-1)*28+(MOD(150,Setup!$B$13)+1-1)-1),"")</f>
        <v>#DIV/0!</v>
      </c>
      <c r="B155" s="12" t="e">
        <f>IF(INT((150)/Setup!$B$13)+1&lt;=Setup!$B$5,CHAR(64+INT((150)/Setup!$B$13)+1),"")</f>
        <v>#DIV/0!</v>
      </c>
      <c r="C155" s="12" t="e">
        <f>IF(INT((150)/Setup!$B$13)+1&lt;=Setup!$B$5,INDEX(Scores!$E$2:$E$225,2+(INT((150)/Setup!$B$13)+1-1)*28+(MOD(150,Setup!$B$13)+1-1)-1),"")</f>
        <v>#DIV/0!</v>
      </c>
      <c r="D155" s="12" t="e">
        <f>IF(INT((150)/Setup!$B$13)+1&lt;=Setup!$B$5,INDEX(Scores!$G$2:$G$225,2+(INT((150)/Setup!$B$13)+1-1)*28+(MOD(150,Setup!$B$13)+1-1)-1),"")</f>
        <v>#DIV/0!</v>
      </c>
      <c r="E155" s="12" t="e">
        <f>IF(INT((150)/Setup!$B$13)+1&lt;=Setup!$B$5,INDEX(Scores!$I$2:$I$225,2+(INT((150)/Setup!$B$13)+1-1)*28+(MOD(150,Setup!$B$13)+1-1)-1),"")</f>
        <v>#DIV/0!</v>
      </c>
      <c r="F155" s="66"/>
      <c r="G155" s="67"/>
      <c r="H155" s="66"/>
      <c r="I155" s="67"/>
      <c r="J155" s="66"/>
      <c r="K155" s="67"/>
      <c r="L155" s="66"/>
      <c r="M155" s="67"/>
      <c r="N155" s="66"/>
      <c r="O155" s="67"/>
      <c r="P155" s="6" t="e">
        <f>IF($A155="","",IFERROR(INDEX(Scores!$T$2:$T$225,MATCH($A155,Scores!$A$2:$A$225,0)),""))</f>
        <v>#DIV/0!</v>
      </c>
      <c r="Q155" s="6" t="e">
        <f>IF($A155="","",IFERROR(INDEX(Scores!$U$2:$U$225,MATCH($A155,Scores!$A$2:$A$225,0)),""))</f>
        <v>#DIV/0!</v>
      </c>
      <c r="R155" s="12" t="e">
        <f>IF($A155="","",IF(IFERROR(INDEX(Scores!$X$2:$X$225,MATCH($A155,Scores!$A$2:$A$225,0)),0)=1,"Complete","Waiting"))</f>
        <v>#DIV/0!</v>
      </c>
      <c r="S155" s="12" t="e">
        <f>IF($A155="","",IFERROR(INDEX(Scores!$Y$2:$Y$225,MATCH($A155,Scores!$A$2:$A$225,0)),""))</f>
        <v>#DIV/0!</v>
      </c>
    </row>
    <row r="156" spans="1:19">
      <c r="A156" s="12" t="e">
        <f>IF(INT((151)/Setup!$B$13)+1&lt;=Setup!$B$5,INDEX(Scores!$A$2:$A$225,2+(INT((151)/Setup!$B$13)+1-1)*28+(MOD(151,Setup!$B$13)+1-1)-1),"")</f>
        <v>#DIV/0!</v>
      </c>
      <c r="B156" s="12" t="e">
        <f>IF(INT((151)/Setup!$B$13)+1&lt;=Setup!$B$5,CHAR(64+INT((151)/Setup!$B$13)+1),"")</f>
        <v>#DIV/0!</v>
      </c>
      <c r="C156" s="12" t="e">
        <f>IF(INT((151)/Setup!$B$13)+1&lt;=Setup!$B$5,INDEX(Scores!$E$2:$E$225,2+(INT((151)/Setup!$B$13)+1-1)*28+(MOD(151,Setup!$B$13)+1-1)-1),"")</f>
        <v>#DIV/0!</v>
      </c>
      <c r="D156" s="12" t="e">
        <f>IF(INT((151)/Setup!$B$13)+1&lt;=Setup!$B$5,INDEX(Scores!$G$2:$G$225,2+(INT((151)/Setup!$B$13)+1-1)*28+(MOD(151,Setup!$B$13)+1-1)-1),"")</f>
        <v>#DIV/0!</v>
      </c>
      <c r="E156" s="12" t="e">
        <f>IF(INT((151)/Setup!$B$13)+1&lt;=Setup!$B$5,INDEX(Scores!$I$2:$I$225,2+(INT((151)/Setup!$B$13)+1-1)*28+(MOD(151,Setup!$B$13)+1-1)-1),"")</f>
        <v>#DIV/0!</v>
      </c>
      <c r="F156" s="66"/>
      <c r="G156" s="67"/>
      <c r="H156" s="66"/>
      <c r="I156" s="67"/>
      <c r="J156" s="66"/>
      <c r="K156" s="67"/>
      <c r="L156" s="66"/>
      <c r="M156" s="67"/>
      <c r="N156" s="66"/>
      <c r="O156" s="67"/>
      <c r="P156" s="6" t="e">
        <f>IF($A156="","",IFERROR(INDEX(Scores!$T$2:$T$225,MATCH($A156,Scores!$A$2:$A$225,0)),""))</f>
        <v>#DIV/0!</v>
      </c>
      <c r="Q156" s="6" t="e">
        <f>IF($A156="","",IFERROR(INDEX(Scores!$U$2:$U$225,MATCH($A156,Scores!$A$2:$A$225,0)),""))</f>
        <v>#DIV/0!</v>
      </c>
      <c r="R156" s="12" t="e">
        <f>IF($A156="","",IF(IFERROR(INDEX(Scores!$X$2:$X$225,MATCH($A156,Scores!$A$2:$A$225,0)),0)=1,"Complete","Waiting"))</f>
        <v>#DIV/0!</v>
      </c>
      <c r="S156" s="12" t="e">
        <f>IF($A156="","",IFERROR(INDEX(Scores!$Y$2:$Y$225,MATCH($A156,Scores!$A$2:$A$225,0)),""))</f>
        <v>#DIV/0!</v>
      </c>
    </row>
    <row r="157" spans="1:19">
      <c r="A157" s="12" t="e">
        <f>IF(INT((152)/Setup!$B$13)+1&lt;=Setup!$B$5,INDEX(Scores!$A$2:$A$225,2+(INT((152)/Setup!$B$13)+1-1)*28+(MOD(152,Setup!$B$13)+1-1)-1),"")</f>
        <v>#DIV/0!</v>
      </c>
      <c r="B157" s="12" t="e">
        <f>IF(INT((152)/Setup!$B$13)+1&lt;=Setup!$B$5,CHAR(64+INT((152)/Setup!$B$13)+1),"")</f>
        <v>#DIV/0!</v>
      </c>
      <c r="C157" s="12" t="e">
        <f>IF(INT((152)/Setup!$B$13)+1&lt;=Setup!$B$5,INDEX(Scores!$E$2:$E$225,2+(INT((152)/Setup!$B$13)+1-1)*28+(MOD(152,Setup!$B$13)+1-1)-1),"")</f>
        <v>#DIV/0!</v>
      </c>
      <c r="D157" s="12" t="e">
        <f>IF(INT((152)/Setup!$B$13)+1&lt;=Setup!$B$5,INDEX(Scores!$G$2:$G$225,2+(INT((152)/Setup!$B$13)+1-1)*28+(MOD(152,Setup!$B$13)+1-1)-1),"")</f>
        <v>#DIV/0!</v>
      </c>
      <c r="E157" s="12" t="e">
        <f>IF(INT((152)/Setup!$B$13)+1&lt;=Setup!$B$5,INDEX(Scores!$I$2:$I$225,2+(INT((152)/Setup!$B$13)+1-1)*28+(MOD(152,Setup!$B$13)+1-1)-1),"")</f>
        <v>#DIV/0!</v>
      </c>
      <c r="F157" s="66"/>
      <c r="G157" s="67"/>
      <c r="H157" s="66"/>
      <c r="I157" s="67"/>
      <c r="J157" s="66"/>
      <c r="K157" s="67"/>
      <c r="L157" s="66"/>
      <c r="M157" s="67"/>
      <c r="N157" s="66"/>
      <c r="O157" s="67"/>
      <c r="P157" s="6" t="e">
        <f>IF($A157="","",IFERROR(INDEX(Scores!$T$2:$T$225,MATCH($A157,Scores!$A$2:$A$225,0)),""))</f>
        <v>#DIV/0!</v>
      </c>
      <c r="Q157" s="6" t="e">
        <f>IF($A157="","",IFERROR(INDEX(Scores!$U$2:$U$225,MATCH($A157,Scores!$A$2:$A$225,0)),""))</f>
        <v>#DIV/0!</v>
      </c>
      <c r="R157" s="12" t="e">
        <f>IF($A157="","",IF(IFERROR(INDEX(Scores!$X$2:$X$225,MATCH($A157,Scores!$A$2:$A$225,0)),0)=1,"Complete","Waiting"))</f>
        <v>#DIV/0!</v>
      </c>
      <c r="S157" s="12" t="e">
        <f>IF($A157="","",IFERROR(INDEX(Scores!$Y$2:$Y$225,MATCH($A157,Scores!$A$2:$A$225,0)),""))</f>
        <v>#DIV/0!</v>
      </c>
    </row>
    <row r="158" spans="1:19">
      <c r="A158" s="12" t="e">
        <f>IF(INT((153)/Setup!$B$13)+1&lt;=Setup!$B$5,INDEX(Scores!$A$2:$A$225,2+(INT((153)/Setup!$B$13)+1-1)*28+(MOD(153,Setup!$B$13)+1-1)-1),"")</f>
        <v>#DIV/0!</v>
      </c>
      <c r="B158" s="12" t="e">
        <f>IF(INT((153)/Setup!$B$13)+1&lt;=Setup!$B$5,CHAR(64+INT((153)/Setup!$B$13)+1),"")</f>
        <v>#DIV/0!</v>
      </c>
      <c r="C158" s="12" t="e">
        <f>IF(INT((153)/Setup!$B$13)+1&lt;=Setup!$B$5,INDEX(Scores!$E$2:$E$225,2+(INT((153)/Setup!$B$13)+1-1)*28+(MOD(153,Setup!$B$13)+1-1)-1),"")</f>
        <v>#DIV/0!</v>
      </c>
      <c r="D158" s="12" t="e">
        <f>IF(INT((153)/Setup!$B$13)+1&lt;=Setup!$B$5,INDEX(Scores!$G$2:$G$225,2+(INT((153)/Setup!$B$13)+1-1)*28+(MOD(153,Setup!$B$13)+1-1)-1),"")</f>
        <v>#DIV/0!</v>
      </c>
      <c r="E158" s="12" t="e">
        <f>IF(INT((153)/Setup!$B$13)+1&lt;=Setup!$B$5,INDEX(Scores!$I$2:$I$225,2+(INT((153)/Setup!$B$13)+1-1)*28+(MOD(153,Setup!$B$13)+1-1)-1),"")</f>
        <v>#DIV/0!</v>
      </c>
      <c r="F158" s="66"/>
      <c r="G158" s="67"/>
      <c r="H158" s="66"/>
      <c r="I158" s="67"/>
      <c r="J158" s="66"/>
      <c r="K158" s="67"/>
      <c r="L158" s="66"/>
      <c r="M158" s="67"/>
      <c r="N158" s="66"/>
      <c r="O158" s="67"/>
      <c r="P158" s="6" t="e">
        <f>IF($A158="","",IFERROR(INDEX(Scores!$T$2:$T$225,MATCH($A158,Scores!$A$2:$A$225,0)),""))</f>
        <v>#DIV/0!</v>
      </c>
      <c r="Q158" s="6" t="e">
        <f>IF($A158="","",IFERROR(INDEX(Scores!$U$2:$U$225,MATCH($A158,Scores!$A$2:$A$225,0)),""))</f>
        <v>#DIV/0!</v>
      </c>
      <c r="R158" s="12" t="e">
        <f>IF($A158="","",IF(IFERROR(INDEX(Scores!$X$2:$X$225,MATCH($A158,Scores!$A$2:$A$225,0)),0)=1,"Complete","Waiting"))</f>
        <v>#DIV/0!</v>
      </c>
      <c r="S158" s="12" t="e">
        <f>IF($A158="","",IFERROR(INDEX(Scores!$Y$2:$Y$225,MATCH($A158,Scores!$A$2:$A$225,0)),""))</f>
        <v>#DIV/0!</v>
      </c>
    </row>
    <row r="159" spans="1:19">
      <c r="A159" s="12" t="e">
        <f>IF(INT((154)/Setup!$B$13)+1&lt;=Setup!$B$5,INDEX(Scores!$A$2:$A$225,2+(INT((154)/Setup!$B$13)+1-1)*28+(MOD(154,Setup!$B$13)+1-1)-1),"")</f>
        <v>#DIV/0!</v>
      </c>
      <c r="B159" s="12" t="e">
        <f>IF(INT((154)/Setup!$B$13)+1&lt;=Setup!$B$5,CHAR(64+INT((154)/Setup!$B$13)+1),"")</f>
        <v>#DIV/0!</v>
      </c>
      <c r="C159" s="12" t="e">
        <f>IF(INT((154)/Setup!$B$13)+1&lt;=Setup!$B$5,INDEX(Scores!$E$2:$E$225,2+(INT((154)/Setup!$B$13)+1-1)*28+(MOD(154,Setup!$B$13)+1-1)-1),"")</f>
        <v>#DIV/0!</v>
      </c>
      <c r="D159" s="12" t="e">
        <f>IF(INT((154)/Setup!$B$13)+1&lt;=Setup!$B$5,INDEX(Scores!$G$2:$G$225,2+(INT((154)/Setup!$B$13)+1-1)*28+(MOD(154,Setup!$B$13)+1-1)-1),"")</f>
        <v>#DIV/0!</v>
      </c>
      <c r="E159" s="12" t="e">
        <f>IF(INT((154)/Setup!$B$13)+1&lt;=Setup!$B$5,INDEX(Scores!$I$2:$I$225,2+(INT((154)/Setup!$B$13)+1-1)*28+(MOD(154,Setup!$B$13)+1-1)-1),"")</f>
        <v>#DIV/0!</v>
      </c>
      <c r="F159" s="66"/>
      <c r="G159" s="67"/>
      <c r="H159" s="66"/>
      <c r="I159" s="67"/>
      <c r="J159" s="66"/>
      <c r="K159" s="67"/>
      <c r="L159" s="66"/>
      <c r="M159" s="67"/>
      <c r="N159" s="66"/>
      <c r="O159" s="67"/>
      <c r="P159" s="6" t="e">
        <f>IF($A159="","",IFERROR(INDEX(Scores!$T$2:$T$225,MATCH($A159,Scores!$A$2:$A$225,0)),""))</f>
        <v>#DIV/0!</v>
      </c>
      <c r="Q159" s="6" t="e">
        <f>IF($A159="","",IFERROR(INDEX(Scores!$U$2:$U$225,MATCH($A159,Scores!$A$2:$A$225,0)),""))</f>
        <v>#DIV/0!</v>
      </c>
      <c r="R159" s="12" t="e">
        <f>IF($A159="","",IF(IFERROR(INDEX(Scores!$X$2:$X$225,MATCH($A159,Scores!$A$2:$A$225,0)),0)=1,"Complete","Waiting"))</f>
        <v>#DIV/0!</v>
      </c>
      <c r="S159" s="12" t="e">
        <f>IF($A159="","",IFERROR(INDEX(Scores!$Y$2:$Y$225,MATCH($A159,Scores!$A$2:$A$225,0)),""))</f>
        <v>#DIV/0!</v>
      </c>
    </row>
    <row r="160" spans="1:19">
      <c r="A160" s="12" t="e">
        <f>IF(INT((155)/Setup!$B$13)+1&lt;=Setup!$B$5,INDEX(Scores!$A$2:$A$225,2+(INT((155)/Setup!$B$13)+1-1)*28+(MOD(155,Setup!$B$13)+1-1)-1),"")</f>
        <v>#DIV/0!</v>
      </c>
      <c r="B160" s="12" t="e">
        <f>IF(INT((155)/Setup!$B$13)+1&lt;=Setup!$B$5,CHAR(64+INT((155)/Setup!$B$13)+1),"")</f>
        <v>#DIV/0!</v>
      </c>
      <c r="C160" s="12" t="e">
        <f>IF(INT((155)/Setup!$B$13)+1&lt;=Setup!$B$5,INDEX(Scores!$E$2:$E$225,2+(INT((155)/Setup!$B$13)+1-1)*28+(MOD(155,Setup!$B$13)+1-1)-1),"")</f>
        <v>#DIV/0!</v>
      </c>
      <c r="D160" s="12" t="e">
        <f>IF(INT((155)/Setup!$B$13)+1&lt;=Setup!$B$5,INDEX(Scores!$G$2:$G$225,2+(INT((155)/Setup!$B$13)+1-1)*28+(MOD(155,Setup!$B$13)+1-1)-1),"")</f>
        <v>#DIV/0!</v>
      </c>
      <c r="E160" s="12" t="e">
        <f>IF(INT((155)/Setup!$B$13)+1&lt;=Setup!$B$5,INDEX(Scores!$I$2:$I$225,2+(INT((155)/Setup!$B$13)+1-1)*28+(MOD(155,Setup!$B$13)+1-1)-1),"")</f>
        <v>#DIV/0!</v>
      </c>
      <c r="F160" s="66"/>
      <c r="G160" s="67"/>
      <c r="H160" s="66"/>
      <c r="I160" s="67"/>
      <c r="J160" s="66"/>
      <c r="K160" s="67"/>
      <c r="L160" s="66"/>
      <c r="M160" s="67"/>
      <c r="N160" s="66"/>
      <c r="O160" s="67"/>
      <c r="P160" s="6" t="e">
        <f>IF($A160="","",IFERROR(INDEX(Scores!$T$2:$T$225,MATCH($A160,Scores!$A$2:$A$225,0)),""))</f>
        <v>#DIV/0!</v>
      </c>
      <c r="Q160" s="6" t="e">
        <f>IF($A160="","",IFERROR(INDEX(Scores!$U$2:$U$225,MATCH($A160,Scores!$A$2:$A$225,0)),""))</f>
        <v>#DIV/0!</v>
      </c>
      <c r="R160" s="12" t="e">
        <f>IF($A160="","",IF(IFERROR(INDEX(Scores!$X$2:$X$225,MATCH($A160,Scores!$A$2:$A$225,0)),0)=1,"Complete","Waiting"))</f>
        <v>#DIV/0!</v>
      </c>
      <c r="S160" s="12" t="e">
        <f>IF($A160="","",IFERROR(INDEX(Scores!$Y$2:$Y$225,MATCH($A160,Scores!$A$2:$A$225,0)),""))</f>
        <v>#DIV/0!</v>
      </c>
    </row>
    <row r="161" spans="1:19">
      <c r="A161" s="12" t="e">
        <f>IF(INT((156)/Setup!$B$13)+1&lt;=Setup!$B$5,INDEX(Scores!$A$2:$A$225,2+(INT((156)/Setup!$B$13)+1-1)*28+(MOD(156,Setup!$B$13)+1-1)-1),"")</f>
        <v>#DIV/0!</v>
      </c>
      <c r="B161" s="12" t="e">
        <f>IF(INT((156)/Setup!$B$13)+1&lt;=Setup!$B$5,CHAR(64+INT((156)/Setup!$B$13)+1),"")</f>
        <v>#DIV/0!</v>
      </c>
      <c r="C161" s="12" t="e">
        <f>IF(INT((156)/Setup!$B$13)+1&lt;=Setup!$B$5,INDEX(Scores!$E$2:$E$225,2+(INT((156)/Setup!$B$13)+1-1)*28+(MOD(156,Setup!$B$13)+1-1)-1),"")</f>
        <v>#DIV/0!</v>
      </c>
      <c r="D161" s="12" t="e">
        <f>IF(INT((156)/Setup!$B$13)+1&lt;=Setup!$B$5,INDEX(Scores!$G$2:$G$225,2+(INT((156)/Setup!$B$13)+1-1)*28+(MOD(156,Setup!$B$13)+1-1)-1),"")</f>
        <v>#DIV/0!</v>
      </c>
      <c r="E161" s="12" t="e">
        <f>IF(INT((156)/Setup!$B$13)+1&lt;=Setup!$B$5,INDEX(Scores!$I$2:$I$225,2+(INT((156)/Setup!$B$13)+1-1)*28+(MOD(156,Setup!$B$13)+1-1)-1),"")</f>
        <v>#DIV/0!</v>
      </c>
      <c r="F161" s="66"/>
      <c r="G161" s="67"/>
      <c r="H161" s="66"/>
      <c r="I161" s="67"/>
      <c r="J161" s="66"/>
      <c r="K161" s="67"/>
      <c r="L161" s="66"/>
      <c r="M161" s="67"/>
      <c r="N161" s="66"/>
      <c r="O161" s="67"/>
      <c r="P161" s="6" t="e">
        <f>IF($A161="","",IFERROR(INDEX(Scores!$T$2:$T$225,MATCH($A161,Scores!$A$2:$A$225,0)),""))</f>
        <v>#DIV/0!</v>
      </c>
      <c r="Q161" s="6" t="e">
        <f>IF($A161="","",IFERROR(INDEX(Scores!$U$2:$U$225,MATCH($A161,Scores!$A$2:$A$225,0)),""))</f>
        <v>#DIV/0!</v>
      </c>
      <c r="R161" s="12" t="e">
        <f>IF($A161="","",IF(IFERROR(INDEX(Scores!$X$2:$X$225,MATCH($A161,Scores!$A$2:$A$225,0)),0)=1,"Complete","Waiting"))</f>
        <v>#DIV/0!</v>
      </c>
      <c r="S161" s="12" t="e">
        <f>IF($A161="","",IFERROR(INDEX(Scores!$Y$2:$Y$225,MATCH($A161,Scores!$A$2:$A$225,0)),""))</f>
        <v>#DIV/0!</v>
      </c>
    </row>
    <row r="162" spans="1:19">
      <c r="A162" s="12" t="e">
        <f>IF(INT((157)/Setup!$B$13)+1&lt;=Setup!$B$5,INDEX(Scores!$A$2:$A$225,2+(INT((157)/Setup!$B$13)+1-1)*28+(MOD(157,Setup!$B$13)+1-1)-1),"")</f>
        <v>#DIV/0!</v>
      </c>
      <c r="B162" s="12" t="e">
        <f>IF(INT((157)/Setup!$B$13)+1&lt;=Setup!$B$5,CHAR(64+INT((157)/Setup!$B$13)+1),"")</f>
        <v>#DIV/0!</v>
      </c>
      <c r="C162" s="12" t="e">
        <f>IF(INT((157)/Setup!$B$13)+1&lt;=Setup!$B$5,INDEX(Scores!$E$2:$E$225,2+(INT((157)/Setup!$B$13)+1-1)*28+(MOD(157,Setup!$B$13)+1-1)-1),"")</f>
        <v>#DIV/0!</v>
      </c>
      <c r="D162" s="12" t="e">
        <f>IF(INT((157)/Setup!$B$13)+1&lt;=Setup!$B$5,INDEX(Scores!$G$2:$G$225,2+(INT((157)/Setup!$B$13)+1-1)*28+(MOD(157,Setup!$B$13)+1-1)-1),"")</f>
        <v>#DIV/0!</v>
      </c>
      <c r="E162" s="12" t="e">
        <f>IF(INT((157)/Setup!$B$13)+1&lt;=Setup!$B$5,INDEX(Scores!$I$2:$I$225,2+(INT((157)/Setup!$B$13)+1-1)*28+(MOD(157,Setup!$B$13)+1-1)-1),"")</f>
        <v>#DIV/0!</v>
      </c>
      <c r="F162" s="66"/>
      <c r="G162" s="67"/>
      <c r="H162" s="66"/>
      <c r="I162" s="67"/>
      <c r="J162" s="66"/>
      <c r="K162" s="67"/>
      <c r="L162" s="66"/>
      <c r="M162" s="67"/>
      <c r="N162" s="66"/>
      <c r="O162" s="67"/>
      <c r="P162" s="6" t="e">
        <f>IF($A162="","",IFERROR(INDEX(Scores!$T$2:$T$225,MATCH($A162,Scores!$A$2:$A$225,0)),""))</f>
        <v>#DIV/0!</v>
      </c>
      <c r="Q162" s="6" t="e">
        <f>IF($A162="","",IFERROR(INDEX(Scores!$U$2:$U$225,MATCH($A162,Scores!$A$2:$A$225,0)),""))</f>
        <v>#DIV/0!</v>
      </c>
      <c r="R162" s="12" t="e">
        <f>IF($A162="","",IF(IFERROR(INDEX(Scores!$X$2:$X$225,MATCH($A162,Scores!$A$2:$A$225,0)),0)=1,"Complete","Waiting"))</f>
        <v>#DIV/0!</v>
      </c>
      <c r="S162" s="12" t="e">
        <f>IF($A162="","",IFERROR(INDEX(Scores!$Y$2:$Y$225,MATCH($A162,Scores!$A$2:$A$225,0)),""))</f>
        <v>#DIV/0!</v>
      </c>
    </row>
    <row r="163" spans="1:19">
      <c r="A163" s="12" t="e">
        <f>IF(INT((158)/Setup!$B$13)+1&lt;=Setup!$B$5,INDEX(Scores!$A$2:$A$225,2+(INT((158)/Setup!$B$13)+1-1)*28+(MOD(158,Setup!$B$13)+1-1)-1),"")</f>
        <v>#DIV/0!</v>
      </c>
      <c r="B163" s="12" t="e">
        <f>IF(INT((158)/Setup!$B$13)+1&lt;=Setup!$B$5,CHAR(64+INT((158)/Setup!$B$13)+1),"")</f>
        <v>#DIV/0!</v>
      </c>
      <c r="C163" s="12" t="e">
        <f>IF(INT((158)/Setup!$B$13)+1&lt;=Setup!$B$5,INDEX(Scores!$E$2:$E$225,2+(INT((158)/Setup!$B$13)+1-1)*28+(MOD(158,Setup!$B$13)+1-1)-1),"")</f>
        <v>#DIV/0!</v>
      </c>
      <c r="D163" s="12" t="e">
        <f>IF(INT((158)/Setup!$B$13)+1&lt;=Setup!$B$5,INDEX(Scores!$G$2:$G$225,2+(INT((158)/Setup!$B$13)+1-1)*28+(MOD(158,Setup!$B$13)+1-1)-1),"")</f>
        <v>#DIV/0!</v>
      </c>
      <c r="E163" s="12" t="e">
        <f>IF(INT((158)/Setup!$B$13)+1&lt;=Setup!$B$5,INDEX(Scores!$I$2:$I$225,2+(INT((158)/Setup!$B$13)+1-1)*28+(MOD(158,Setup!$B$13)+1-1)-1),"")</f>
        <v>#DIV/0!</v>
      </c>
      <c r="F163" s="66"/>
      <c r="G163" s="67"/>
      <c r="H163" s="66"/>
      <c r="I163" s="67"/>
      <c r="J163" s="66"/>
      <c r="K163" s="67"/>
      <c r="L163" s="66"/>
      <c r="M163" s="67"/>
      <c r="N163" s="66"/>
      <c r="O163" s="67"/>
      <c r="P163" s="6" t="e">
        <f>IF($A163="","",IFERROR(INDEX(Scores!$T$2:$T$225,MATCH($A163,Scores!$A$2:$A$225,0)),""))</f>
        <v>#DIV/0!</v>
      </c>
      <c r="Q163" s="6" t="e">
        <f>IF($A163="","",IFERROR(INDEX(Scores!$U$2:$U$225,MATCH($A163,Scores!$A$2:$A$225,0)),""))</f>
        <v>#DIV/0!</v>
      </c>
      <c r="R163" s="12" t="e">
        <f>IF($A163="","",IF(IFERROR(INDEX(Scores!$X$2:$X$225,MATCH($A163,Scores!$A$2:$A$225,0)),0)=1,"Complete","Waiting"))</f>
        <v>#DIV/0!</v>
      </c>
      <c r="S163" s="12" t="e">
        <f>IF($A163="","",IFERROR(INDEX(Scores!$Y$2:$Y$225,MATCH($A163,Scores!$A$2:$A$225,0)),""))</f>
        <v>#DIV/0!</v>
      </c>
    </row>
    <row r="164" spans="1:19">
      <c r="A164" s="12" t="e">
        <f>IF(INT((159)/Setup!$B$13)+1&lt;=Setup!$B$5,INDEX(Scores!$A$2:$A$225,2+(INT((159)/Setup!$B$13)+1-1)*28+(MOD(159,Setup!$B$13)+1-1)-1),"")</f>
        <v>#DIV/0!</v>
      </c>
      <c r="B164" s="12" t="e">
        <f>IF(INT((159)/Setup!$B$13)+1&lt;=Setup!$B$5,CHAR(64+INT((159)/Setup!$B$13)+1),"")</f>
        <v>#DIV/0!</v>
      </c>
      <c r="C164" s="12" t="e">
        <f>IF(INT((159)/Setup!$B$13)+1&lt;=Setup!$B$5,INDEX(Scores!$E$2:$E$225,2+(INT((159)/Setup!$B$13)+1-1)*28+(MOD(159,Setup!$B$13)+1-1)-1),"")</f>
        <v>#DIV/0!</v>
      </c>
      <c r="D164" s="12" t="e">
        <f>IF(INT((159)/Setup!$B$13)+1&lt;=Setup!$B$5,INDEX(Scores!$G$2:$G$225,2+(INT((159)/Setup!$B$13)+1-1)*28+(MOD(159,Setup!$B$13)+1-1)-1),"")</f>
        <v>#DIV/0!</v>
      </c>
      <c r="E164" s="12" t="e">
        <f>IF(INT((159)/Setup!$B$13)+1&lt;=Setup!$B$5,INDEX(Scores!$I$2:$I$225,2+(INT((159)/Setup!$B$13)+1-1)*28+(MOD(159,Setup!$B$13)+1-1)-1),"")</f>
        <v>#DIV/0!</v>
      </c>
      <c r="F164" s="66"/>
      <c r="G164" s="67"/>
      <c r="H164" s="66"/>
      <c r="I164" s="67"/>
      <c r="J164" s="66"/>
      <c r="K164" s="67"/>
      <c r="L164" s="66"/>
      <c r="M164" s="67"/>
      <c r="N164" s="66"/>
      <c r="O164" s="67"/>
      <c r="P164" s="6" t="e">
        <f>IF($A164="","",IFERROR(INDEX(Scores!$T$2:$T$225,MATCH($A164,Scores!$A$2:$A$225,0)),""))</f>
        <v>#DIV/0!</v>
      </c>
      <c r="Q164" s="6" t="e">
        <f>IF($A164="","",IFERROR(INDEX(Scores!$U$2:$U$225,MATCH($A164,Scores!$A$2:$A$225,0)),""))</f>
        <v>#DIV/0!</v>
      </c>
      <c r="R164" s="12" t="e">
        <f>IF($A164="","",IF(IFERROR(INDEX(Scores!$X$2:$X$225,MATCH($A164,Scores!$A$2:$A$225,0)),0)=1,"Complete","Waiting"))</f>
        <v>#DIV/0!</v>
      </c>
      <c r="S164" s="12" t="e">
        <f>IF($A164="","",IFERROR(INDEX(Scores!$Y$2:$Y$225,MATCH($A164,Scores!$A$2:$A$225,0)),""))</f>
        <v>#DIV/0!</v>
      </c>
    </row>
    <row r="165" spans="1:19">
      <c r="A165" s="12" t="e">
        <f>IF(INT((160)/Setup!$B$13)+1&lt;=Setup!$B$5,INDEX(Scores!$A$2:$A$225,2+(INT((160)/Setup!$B$13)+1-1)*28+(MOD(160,Setup!$B$13)+1-1)-1),"")</f>
        <v>#DIV/0!</v>
      </c>
      <c r="B165" s="12" t="e">
        <f>IF(INT((160)/Setup!$B$13)+1&lt;=Setup!$B$5,CHAR(64+INT((160)/Setup!$B$13)+1),"")</f>
        <v>#DIV/0!</v>
      </c>
      <c r="C165" s="12" t="e">
        <f>IF(INT((160)/Setup!$B$13)+1&lt;=Setup!$B$5,INDEX(Scores!$E$2:$E$225,2+(INT((160)/Setup!$B$13)+1-1)*28+(MOD(160,Setup!$B$13)+1-1)-1),"")</f>
        <v>#DIV/0!</v>
      </c>
      <c r="D165" s="12" t="e">
        <f>IF(INT((160)/Setup!$B$13)+1&lt;=Setup!$B$5,INDEX(Scores!$G$2:$G$225,2+(INT((160)/Setup!$B$13)+1-1)*28+(MOD(160,Setup!$B$13)+1-1)-1),"")</f>
        <v>#DIV/0!</v>
      </c>
      <c r="E165" s="12" t="e">
        <f>IF(INT((160)/Setup!$B$13)+1&lt;=Setup!$B$5,INDEX(Scores!$I$2:$I$225,2+(INT((160)/Setup!$B$13)+1-1)*28+(MOD(160,Setup!$B$13)+1-1)-1),"")</f>
        <v>#DIV/0!</v>
      </c>
      <c r="F165" s="66"/>
      <c r="G165" s="67"/>
      <c r="H165" s="66"/>
      <c r="I165" s="67"/>
      <c r="J165" s="66"/>
      <c r="K165" s="67"/>
      <c r="L165" s="66"/>
      <c r="M165" s="67"/>
      <c r="N165" s="66"/>
      <c r="O165" s="67"/>
      <c r="P165" s="6" t="e">
        <f>IF($A165="","",IFERROR(INDEX(Scores!$T$2:$T$225,MATCH($A165,Scores!$A$2:$A$225,0)),""))</f>
        <v>#DIV/0!</v>
      </c>
      <c r="Q165" s="6" t="e">
        <f>IF($A165="","",IFERROR(INDEX(Scores!$U$2:$U$225,MATCH($A165,Scores!$A$2:$A$225,0)),""))</f>
        <v>#DIV/0!</v>
      </c>
      <c r="R165" s="12" t="e">
        <f>IF($A165="","",IF(IFERROR(INDEX(Scores!$X$2:$X$225,MATCH($A165,Scores!$A$2:$A$225,0)),0)=1,"Complete","Waiting"))</f>
        <v>#DIV/0!</v>
      </c>
      <c r="S165" s="12" t="e">
        <f>IF($A165="","",IFERROR(INDEX(Scores!$Y$2:$Y$225,MATCH($A165,Scores!$A$2:$A$225,0)),""))</f>
        <v>#DIV/0!</v>
      </c>
    </row>
    <row r="166" spans="1:19">
      <c r="A166" s="12" t="e">
        <f>IF(INT((161)/Setup!$B$13)+1&lt;=Setup!$B$5,INDEX(Scores!$A$2:$A$225,2+(INT((161)/Setup!$B$13)+1-1)*28+(MOD(161,Setup!$B$13)+1-1)-1),"")</f>
        <v>#DIV/0!</v>
      </c>
      <c r="B166" s="12" t="e">
        <f>IF(INT((161)/Setup!$B$13)+1&lt;=Setup!$B$5,CHAR(64+INT((161)/Setup!$B$13)+1),"")</f>
        <v>#DIV/0!</v>
      </c>
      <c r="C166" s="12" t="e">
        <f>IF(INT((161)/Setup!$B$13)+1&lt;=Setup!$B$5,INDEX(Scores!$E$2:$E$225,2+(INT((161)/Setup!$B$13)+1-1)*28+(MOD(161,Setup!$B$13)+1-1)-1),"")</f>
        <v>#DIV/0!</v>
      </c>
      <c r="D166" s="12" t="e">
        <f>IF(INT((161)/Setup!$B$13)+1&lt;=Setup!$B$5,INDEX(Scores!$G$2:$G$225,2+(INT((161)/Setup!$B$13)+1-1)*28+(MOD(161,Setup!$B$13)+1-1)-1),"")</f>
        <v>#DIV/0!</v>
      </c>
      <c r="E166" s="12" t="e">
        <f>IF(INT((161)/Setup!$B$13)+1&lt;=Setup!$B$5,INDEX(Scores!$I$2:$I$225,2+(INT((161)/Setup!$B$13)+1-1)*28+(MOD(161,Setup!$B$13)+1-1)-1),"")</f>
        <v>#DIV/0!</v>
      </c>
      <c r="F166" s="66"/>
      <c r="G166" s="67"/>
      <c r="H166" s="66"/>
      <c r="I166" s="67"/>
      <c r="J166" s="66"/>
      <c r="K166" s="67"/>
      <c r="L166" s="66"/>
      <c r="M166" s="67"/>
      <c r="N166" s="66"/>
      <c r="O166" s="67"/>
      <c r="P166" s="6" t="e">
        <f>IF($A166="","",IFERROR(INDEX(Scores!$T$2:$T$225,MATCH($A166,Scores!$A$2:$A$225,0)),""))</f>
        <v>#DIV/0!</v>
      </c>
      <c r="Q166" s="6" t="e">
        <f>IF($A166="","",IFERROR(INDEX(Scores!$U$2:$U$225,MATCH($A166,Scores!$A$2:$A$225,0)),""))</f>
        <v>#DIV/0!</v>
      </c>
      <c r="R166" s="12" t="e">
        <f>IF($A166="","",IF(IFERROR(INDEX(Scores!$X$2:$X$225,MATCH($A166,Scores!$A$2:$A$225,0)),0)=1,"Complete","Waiting"))</f>
        <v>#DIV/0!</v>
      </c>
      <c r="S166" s="12" t="e">
        <f>IF($A166="","",IFERROR(INDEX(Scores!$Y$2:$Y$225,MATCH($A166,Scores!$A$2:$A$225,0)),""))</f>
        <v>#DIV/0!</v>
      </c>
    </row>
    <row r="167" spans="1:19">
      <c r="A167" s="12" t="e">
        <f>IF(INT((162)/Setup!$B$13)+1&lt;=Setup!$B$5,INDEX(Scores!$A$2:$A$225,2+(INT((162)/Setup!$B$13)+1-1)*28+(MOD(162,Setup!$B$13)+1-1)-1),"")</f>
        <v>#DIV/0!</v>
      </c>
      <c r="B167" s="12" t="e">
        <f>IF(INT((162)/Setup!$B$13)+1&lt;=Setup!$B$5,CHAR(64+INT((162)/Setup!$B$13)+1),"")</f>
        <v>#DIV/0!</v>
      </c>
      <c r="C167" s="12" t="e">
        <f>IF(INT((162)/Setup!$B$13)+1&lt;=Setup!$B$5,INDEX(Scores!$E$2:$E$225,2+(INT((162)/Setup!$B$13)+1-1)*28+(MOD(162,Setup!$B$13)+1-1)-1),"")</f>
        <v>#DIV/0!</v>
      </c>
      <c r="D167" s="12" t="e">
        <f>IF(INT((162)/Setup!$B$13)+1&lt;=Setup!$B$5,INDEX(Scores!$G$2:$G$225,2+(INT((162)/Setup!$B$13)+1-1)*28+(MOD(162,Setup!$B$13)+1-1)-1),"")</f>
        <v>#DIV/0!</v>
      </c>
      <c r="E167" s="12" t="e">
        <f>IF(INT((162)/Setup!$B$13)+1&lt;=Setup!$B$5,INDEX(Scores!$I$2:$I$225,2+(INT((162)/Setup!$B$13)+1-1)*28+(MOD(162,Setup!$B$13)+1-1)-1),"")</f>
        <v>#DIV/0!</v>
      </c>
      <c r="F167" s="66"/>
      <c r="G167" s="67"/>
      <c r="H167" s="66"/>
      <c r="I167" s="67"/>
      <c r="J167" s="66"/>
      <c r="K167" s="67"/>
      <c r="L167" s="66"/>
      <c r="M167" s="67"/>
      <c r="N167" s="66"/>
      <c r="O167" s="67"/>
      <c r="P167" s="6" t="e">
        <f>IF($A167="","",IFERROR(INDEX(Scores!$T$2:$T$225,MATCH($A167,Scores!$A$2:$A$225,0)),""))</f>
        <v>#DIV/0!</v>
      </c>
      <c r="Q167" s="6" t="e">
        <f>IF($A167="","",IFERROR(INDEX(Scores!$U$2:$U$225,MATCH($A167,Scores!$A$2:$A$225,0)),""))</f>
        <v>#DIV/0!</v>
      </c>
      <c r="R167" s="12" t="e">
        <f>IF($A167="","",IF(IFERROR(INDEX(Scores!$X$2:$X$225,MATCH($A167,Scores!$A$2:$A$225,0)),0)=1,"Complete","Waiting"))</f>
        <v>#DIV/0!</v>
      </c>
      <c r="S167" s="12" t="e">
        <f>IF($A167="","",IFERROR(INDEX(Scores!$Y$2:$Y$225,MATCH($A167,Scores!$A$2:$A$225,0)),""))</f>
        <v>#DIV/0!</v>
      </c>
    </row>
    <row r="168" spans="1:19">
      <c r="A168" s="12" t="e">
        <f>IF(INT((163)/Setup!$B$13)+1&lt;=Setup!$B$5,INDEX(Scores!$A$2:$A$225,2+(INT((163)/Setup!$B$13)+1-1)*28+(MOD(163,Setup!$B$13)+1-1)-1),"")</f>
        <v>#DIV/0!</v>
      </c>
      <c r="B168" s="12" t="e">
        <f>IF(INT((163)/Setup!$B$13)+1&lt;=Setup!$B$5,CHAR(64+INT((163)/Setup!$B$13)+1),"")</f>
        <v>#DIV/0!</v>
      </c>
      <c r="C168" s="12" t="e">
        <f>IF(INT((163)/Setup!$B$13)+1&lt;=Setup!$B$5,INDEX(Scores!$E$2:$E$225,2+(INT((163)/Setup!$B$13)+1-1)*28+(MOD(163,Setup!$B$13)+1-1)-1),"")</f>
        <v>#DIV/0!</v>
      </c>
      <c r="D168" s="12" t="e">
        <f>IF(INT((163)/Setup!$B$13)+1&lt;=Setup!$B$5,INDEX(Scores!$G$2:$G$225,2+(INT((163)/Setup!$B$13)+1-1)*28+(MOD(163,Setup!$B$13)+1-1)-1),"")</f>
        <v>#DIV/0!</v>
      </c>
      <c r="E168" s="12" t="e">
        <f>IF(INT((163)/Setup!$B$13)+1&lt;=Setup!$B$5,INDEX(Scores!$I$2:$I$225,2+(INT((163)/Setup!$B$13)+1-1)*28+(MOD(163,Setup!$B$13)+1-1)-1),"")</f>
        <v>#DIV/0!</v>
      </c>
      <c r="F168" s="66"/>
      <c r="G168" s="67"/>
      <c r="H168" s="66"/>
      <c r="I168" s="67"/>
      <c r="J168" s="66"/>
      <c r="K168" s="67"/>
      <c r="L168" s="66"/>
      <c r="M168" s="67"/>
      <c r="N168" s="66"/>
      <c r="O168" s="67"/>
      <c r="P168" s="6" t="e">
        <f>IF($A168="","",IFERROR(INDEX(Scores!$T$2:$T$225,MATCH($A168,Scores!$A$2:$A$225,0)),""))</f>
        <v>#DIV/0!</v>
      </c>
      <c r="Q168" s="6" t="e">
        <f>IF($A168="","",IFERROR(INDEX(Scores!$U$2:$U$225,MATCH($A168,Scores!$A$2:$A$225,0)),""))</f>
        <v>#DIV/0!</v>
      </c>
      <c r="R168" s="12" t="e">
        <f>IF($A168="","",IF(IFERROR(INDEX(Scores!$X$2:$X$225,MATCH($A168,Scores!$A$2:$A$225,0)),0)=1,"Complete","Waiting"))</f>
        <v>#DIV/0!</v>
      </c>
      <c r="S168" s="12" t="e">
        <f>IF($A168="","",IFERROR(INDEX(Scores!$Y$2:$Y$225,MATCH($A168,Scores!$A$2:$A$225,0)),""))</f>
        <v>#DIV/0!</v>
      </c>
    </row>
    <row r="169" spans="1:19">
      <c r="A169" s="12" t="e">
        <f>IF(INT((164)/Setup!$B$13)+1&lt;=Setup!$B$5,INDEX(Scores!$A$2:$A$225,2+(INT((164)/Setup!$B$13)+1-1)*28+(MOD(164,Setup!$B$13)+1-1)-1),"")</f>
        <v>#DIV/0!</v>
      </c>
      <c r="B169" s="12" t="e">
        <f>IF(INT((164)/Setup!$B$13)+1&lt;=Setup!$B$5,CHAR(64+INT((164)/Setup!$B$13)+1),"")</f>
        <v>#DIV/0!</v>
      </c>
      <c r="C169" s="12" t="e">
        <f>IF(INT((164)/Setup!$B$13)+1&lt;=Setup!$B$5,INDEX(Scores!$E$2:$E$225,2+(INT((164)/Setup!$B$13)+1-1)*28+(MOD(164,Setup!$B$13)+1-1)-1),"")</f>
        <v>#DIV/0!</v>
      </c>
      <c r="D169" s="12" t="e">
        <f>IF(INT((164)/Setup!$B$13)+1&lt;=Setup!$B$5,INDEX(Scores!$G$2:$G$225,2+(INT((164)/Setup!$B$13)+1-1)*28+(MOD(164,Setup!$B$13)+1-1)-1),"")</f>
        <v>#DIV/0!</v>
      </c>
      <c r="E169" s="12" t="e">
        <f>IF(INT((164)/Setup!$B$13)+1&lt;=Setup!$B$5,INDEX(Scores!$I$2:$I$225,2+(INT((164)/Setup!$B$13)+1-1)*28+(MOD(164,Setup!$B$13)+1-1)-1),"")</f>
        <v>#DIV/0!</v>
      </c>
      <c r="F169" s="66"/>
      <c r="G169" s="67"/>
      <c r="H169" s="66"/>
      <c r="I169" s="67"/>
      <c r="J169" s="66"/>
      <c r="K169" s="67"/>
      <c r="L169" s="66"/>
      <c r="M169" s="67"/>
      <c r="N169" s="66"/>
      <c r="O169" s="67"/>
      <c r="P169" s="6" t="e">
        <f>IF($A169="","",IFERROR(INDEX(Scores!$T$2:$T$225,MATCH($A169,Scores!$A$2:$A$225,0)),""))</f>
        <v>#DIV/0!</v>
      </c>
      <c r="Q169" s="6" t="e">
        <f>IF($A169="","",IFERROR(INDEX(Scores!$U$2:$U$225,MATCH($A169,Scores!$A$2:$A$225,0)),""))</f>
        <v>#DIV/0!</v>
      </c>
      <c r="R169" s="12" t="e">
        <f>IF($A169="","",IF(IFERROR(INDEX(Scores!$X$2:$X$225,MATCH($A169,Scores!$A$2:$A$225,0)),0)=1,"Complete","Waiting"))</f>
        <v>#DIV/0!</v>
      </c>
      <c r="S169" s="12" t="e">
        <f>IF($A169="","",IFERROR(INDEX(Scores!$Y$2:$Y$225,MATCH($A169,Scores!$A$2:$A$225,0)),""))</f>
        <v>#DIV/0!</v>
      </c>
    </row>
    <row r="170" spans="1:19">
      <c r="A170" s="12" t="e">
        <f>IF(INT((165)/Setup!$B$13)+1&lt;=Setup!$B$5,INDEX(Scores!$A$2:$A$225,2+(INT((165)/Setup!$B$13)+1-1)*28+(MOD(165,Setup!$B$13)+1-1)-1),"")</f>
        <v>#DIV/0!</v>
      </c>
      <c r="B170" s="12" t="e">
        <f>IF(INT((165)/Setup!$B$13)+1&lt;=Setup!$B$5,CHAR(64+INT((165)/Setup!$B$13)+1),"")</f>
        <v>#DIV/0!</v>
      </c>
      <c r="C170" s="12" t="e">
        <f>IF(INT((165)/Setup!$B$13)+1&lt;=Setup!$B$5,INDEX(Scores!$E$2:$E$225,2+(INT((165)/Setup!$B$13)+1-1)*28+(MOD(165,Setup!$B$13)+1-1)-1),"")</f>
        <v>#DIV/0!</v>
      </c>
      <c r="D170" s="12" t="e">
        <f>IF(INT((165)/Setup!$B$13)+1&lt;=Setup!$B$5,INDEX(Scores!$G$2:$G$225,2+(INT((165)/Setup!$B$13)+1-1)*28+(MOD(165,Setup!$B$13)+1-1)-1),"")</f>
        <v>#DIV/0!</v>
      </c>
      <c r="E170" s="12" t="e">
        <f>IF(INT((165)/Setup!$B$13)+1&lt;=Setup!$B$5,INDEX(Scores!$I$2:$I$225,2+(INT((165)/Setup!$B$13)+1-1)*28+(MOD(165,Setup!$B$13)+1-1)-1),"")</f>
        <v>#DIV/0!</v>
      </c>
      <c r="F170" s="66"/>
      <c r="G170" s="67"/>
      <c r="H170" s="66"/>
      <c r="I170" s="67"/>
      <c r="J170" s="66"/>
      <c r="K170" s="67"/>
      <c r="L170" s="66"/>
      <c r="M170" s="67"/>
      <c r="N170" s="66"/>
      <c r="O170" s="67"/>
      <c r="P170" s="6" t="e">
        <f>IF($A170="","",IFERROR(INDEX(Scores!$T$2:$T$225,MATCH($A170,Scores!$A$2:$A$225,0)),""))</f>
        <v>#DIV/0!</v>
      </c>
      <c r="Q170" s="6" t="e">
        <f>IF($A170="","",IFERROR(INDEX(Scores!$U$2:$U$225,MATCH($A170,Scores!$A$2:$A$225,0)),""))</f>
        <v>#DIV/0!</v>
      </c>
      <c r="R170" s="12" t="e">
        <f>IF($A170="","",IF(IFERROR(INDEX(Scores!$X$2:$X$225,MATCH($A170,Scores!$A$2:$A$225,0)),0)=1,"Complete","Waiting"))</f>
        <v>#DIV/0!</v>
      </c>
      <c r="S170" s="12" t="e">
        <f>IF($A170="","",IFERROR(INDEX(Scores!$Y$2:$Y$225,MATCH($A170,Scores!$A$2:$A$225,0)),""))</f>
        <v>#DIV/0!</v>
      </c>
    </row>
    <row r="171" spans="1:19">
      <c r="A171" s="12" t="e">
        <f>IF(INT((166)/Setup!$B$13)+1&lt;=Setup!$B$5,INDEX(Scores!$A$2:$A$225,2+(INT((166)/Setup!$B$13)+1-1)*28+(MOD(166,Setup!$B$13)+1-1)-1),"")</f>
        <v>#DIV/0!</v>
      </c>
      <c r="B171" s="12" t="e">
        <f>IF(INT((166)/Setup!$B$13)+1&lt;=Setup!$B$5,CHAR(64+INT((166)/Setup!$B$13)+1),"")</f>
        <v>#DIV/0!</v>
      </c>
      <c r="C171" s="12" t="e">
        <f>IF(INT((166)/Setup!$B$13)+1&lt;=Setup!$B$5,INDEX(Scores!$E$2:$E$225,2+(INT((166)/Setup!$B$13)+1-1)*28+(MOD(166,Setup!$B$13)+1-1)-1),"")</f>
        <v>#DIV/0!</v>
      </c>
      <c r="D171" s="12" t="e">
        <f>IF(INT((166)/Setup!$B$13)+1&lt;=Setup!$B$5,INDEX(Scores!$G$2:$G$225,2+(INT((166)/Setup!$B$13)+1-1)*28+(MOD(166,Setup!$B$13)+1-1)-1),"")</f>
        <v>#DIV/0!</v>
      </c>
      <c r="E171" s="12" t="e">
        <f>IF(INT((166)/Setup!$B$13)+1&lt;=Setup!$B$5,INDEX(Scores!$I$2:$I$225,2+(INT((166)/Setup!$B$13)+1-1)*28+(MOD(166,Setup!$B$13)+1-1)-1),"")</f>
        <v>#DIV/0!</v>
      </c>
      <c r="F171" s="66"/>
      <c r="G171" s="67"/>
      <c r="H171" s="66"/>
      <c r="I171" s="67"/>
      <c r="J171" s="66"/>
      <c r="K171" s="67"/>
      <c r="L171" s="66"/>
      <c r="M171" s="67"/>
      <c r="N171" s="66"/>
      <c r="O171" s="67"/>
      <c r="P171" s="6" t="e">
        <f>IF($A171="","",IFERROR(INDEX(Scores!$T$2:$T$225,MATCH($A171,Scores!$A$2:$A$225,0)),""))</f>
        <v>#DIV/0!</v>
      </c>
      <c r="Q171" s="6" t="e">
        <f>IF($A171="","",IFERROR(INDEX(Scores!$U$2:$U$225,MATCH($A171,Scores!$A$2:$A$225,0)),""))</f>
        <v>#DIV/0!</v>
      </c>
      <c r="R171" s="12" t="e">
        <f>IF($A171="","",IF(IFERROR(INDEX(Scores!$X$2:$X$225,MATCH($A171,Scores!$A$2:$A$225,0)),0)=1,"Complete","Waiting"))</f>
        <v>#DIV/0!</v>
      </c>
      <c r="S171" s="12" t="e">
        <f>IF($A171="","",IFERROR(INDEX(Scores!$Y$2:$Y$225,MATCH($A171,Scores!$A$2:$A$225,0)),""))</f>
        <v>#DIV/0!</v>
      </c>
    </row>
    <row r="172" spans="1:19">
      <c r="A172" s="12" t="e">
        <f>IF(INT((167)/Setup!$B$13)+1&lt;=Setup!$B$5,INDEX(Scores!$A$2:$A$225,2+(INT((167)/Setup!$B$13)+1-1)*28+(MOD(167,Setup!$B$13)+1-1)-1),"")</f>
        <v>#DIV/0!</v>
      </c>
      <c r="B172" s="12" t="e">
        <f>IF(INT((167)/Setup!$B$13)+1&lt;=Setup!$B$5,CHAR(64+INT((167)/Setup!$B$13)+1),"")</f>
        <v>#DIV/0!</v>
      </c>
      <c r="C172" s="12" t="e">
        <f>IF(INT((167)/Setup!$B$13)+1&lt;=Setup!$B$5,INDEX(Scores!$E$2:$E$225,2+(INT((167)/Setup!$B$13)+1-1)*28+(MOD(167,Setup!$B$13)+1-1)-1),"")</f>
        <v>#DIV/0!</v>
      </c>
      <c r="D172" s="12" t="e">
        <f>IF(INT((167)/Setup!$B$13)+1&lt;=Setup!$B$5,INDEX(Scores!$G$2:$G$225,2+(INT((167)/Setup!$B$13)+1-1)*28+(MOD(167,Setup!$B$13)+1-1)-1),"")</f>
        <v>#DIV/0!</v>
      </c>
      <c r="E172" s="12" t="e">
        <f>IF(INT((167)/Setup!$B$13)+1&lt;=Setup!$B$5,INDEX(Scores!$I$2:$I$225,2+(INT((167)/Setup!$B$13)+1-1)*28+(MOD(167,Setup!$B$13)+1-1)-1),"")</f>
        <v>#DIV/0!</v>
      </c>
      <c r="F172" s="66"/>
      <c r="G172" s="67"/>
      <c r="H172" s="66"/>
      <c r="I172" s="67"/>
      <c r="J172" s="66"/>
      <c r="K172" s="67"/>
      <c r="L172" s="66"/>
      <c r="M172" s="67"/>
      <c r="N172" s="66"/>
      <c r="O172" s="67"/>
      <c r="P172" s="6" t="e">
        <f>IF($A172="","",IFERROR(INDEX(Scores!$T$2:$T$225,MATCH($A172,Scores!$A$2:$A$225,0)),""))</f>
        <v>#DIV/0!</v>
      </c>
      <c r="Q172" s="6" t="e">
        <f>IF($A172="","",IFERROR(INDEX(Scores!$U$2:$U$225,MATCH($A172,Scores!$A$2:$A$225,0)),""))</f>
        <v>#DIV/0!</v>
      </c>
      <c r="R172" s="12" t="e">
        <f>IF($A172="","",IF(IFERROR(INDEX(Scores!$X$2:$X$225,MATCH($A172,Scores!$A$2:$A$225,0)),0)=1,"Complete","Waiting"))</f>
        <v>#DIV/0!</v>
      </c>
      <c r="S172" s="12" t="e">
        <f>IF($A172="","",IFERROR(INDEX(Scores!$Y$2:$Y$225,MATCH($A172,Scores!$A$2:$A$225,0)),""))</f>
        <v>#DIV/0!</v>
      </c>
    </row>
    <row r="173" spans="1:19">
      <c r="A173" s="12" t="e">
        <f>IF(INT((168)/Setup!$B$13)+1&lt;=Setup!$B$5,INDEX(Scores!$A$2:$A$225,2+(INT((168)/Setup!$B$13)+1-1)*28+(MOD(168,Setup!$B$13)+1-1)-1),"")</f>
        <v>#DIV/0!</v>
      </c>
      <c r="B173" s="12" t="e">
        <f>IF(INT((168)/Setup!$B$13)+1&lt;=Setup!$B$5,CHAR(64+INT((168)/Setup!$B$13)+1),"")</f>
        <v>#DIV/0!</v>
      </c>
      <c r="C173" s="12" t="e">
        <f>IF(INT((168)/Setup!$B$13)+1&lt;=Setup!$B$5,INDEX(Scores!$E$2:$E$225,2+(INT((168)/Setup!$B$13)+1-1)*28+(MOD(168,Setup!$B$13)+1-1)-1),"")</f>
        <v>#DIV/0!</v>
      </c>
      <c r="D173" s="12" t="e">
        <f>IF(INT((168)/Setup!$B$13)+1&lt;=Setup!$B$5,INDEX(Scores!$G$2:$G$225,2+(INT((168)/Setup!$B$13)+1-1)*28+(MOD(168,Setup!$B$13)+1-1)-1),"")</f>
        <v>#DIV/0!</v>
      </c>
      <c r="E173" s="12" t="e">
        <f>IF(INT((168)/Setup!$B$13)+1&lt;=Setup!$B$5,INDEX(Scores!$I$2:$I$225,2+(INT((168)/Setup!$B$13)+1-1)*28+(MOD(168,Setup!$B$13)+1-1)-1),"")</f>
        <v>#DIV/0!</v>
      </c>
      <c r="F173" s="66"/>
      <c r="G173" s="67"/>
      <c r="H173" s="66"/>
      <c r="I173" s="67"/>
      <c r="J173" s="66"/>
      <c r="K173" s="67"/>
      <c r="L173" s="66"/>
      <c r="M173" s="67"/>
      <c r="N173" s="66"/>
      <c r="O173" s="67"/>
      <c r="P173" s="6" t="e">
        <f>IF($A173="","",IFERROR(INDEX(Scores!$T$2:$T$225,MATCH($A173,Scores!$A$2:$A$225,0)),""))</f>
        <v>#DIV/0!</v>
      </c>
      <c r="Q173" s="6" t="e">
        <f>IF($A173="","",IFERROR(INDEX(Scores!$U$2:$U$225,MATCH($A173,Scores!$A$2:$A$225,0)),""))</f>
        <v>#DIV/0!</v>
      </c>
      <c r="R173" s="12" t="e">
        <f>IF($A173="","",IF(IFERROR(INDEX(Scores!$X$2:$X$225,MATCH($A173,Scores!$A$2:$A$225,0)),0)=1,"Complete","Waiting"))</f>
        <v>#DIV/0!</v>
      </c>
      <c r="S173" s="12" t="e">
        <f>IF($A173="","",IFERROR(INDEX(Scores!$Y$2:$Y$225,MATCH($A173,Scores!$A$2:$A$225,0)),""))</f>
        <v>#DIV/0!</v>
      </c>
    </row>
    <row r="174" spans="1:19">
      <c r="A174" s="12" t="e">
        <f>IF(INT((169)/Setup!$B$13)+1&lt;=Setup!$B$5,INDEX(Scores!$A$2:$A$225,2+(INT((169)/Setup!$B$13)+1-1)*28+(MOD(169,Setup!$B$13)+1-1)-1),"")</f>
        <v>#DIV/0!</v>
      </c>
      <c r="B174" s="12" t="e">
        <f>IF(INT((169)/Setup!$B$13)+1&lt;=Setup!$B$5,CHAR(64+INT((169)/Setup!$B$13)+1),"")</f>
        <v>#DIV/0!</v>
      </c>
      <c r="C174" s="12" t="e">
        <f>IF(INT((169)/Setup!$B$13)+1&lt;=Setup!$B$5,INDEX(Scores!$E$2:$E$225,2+(INT((169)/Setup!$B$13)+1-1)*28+(MOD(169,Setup!$B$13)+1-1)-1),"")</f>
        <v>#DIV/0!</v>
      </c>
      <c r="D174" s="12" t="e">
        <f>IF(INT((169)/Setup!$B$13)+1&lt;=Setup!$B$5,INDEX(Scores!$G$2:$G$225,2+(INT((169)/Setup!$B$13)+1-1)*28+(MOD(169,Setup!$B$13)+1-1)-1),"")</f>
        <v>#DIV/0!</v>
      </c>
      <c r="E174" s="12" t="e">
        <f>IF(INT((169)/Setup!$B$13)+1&lt;=Setup!$B$5,INDEX(Scores!$I$2:$I$225,2+(INT((169)/Setup!$B$13)+1-1)*28+(MOD(169,Setup!$B$13)+1-1)-1),"")</f>
        <v>#DIV/0!</v>
      </c>
      <c r="F174" s="66"/>
      <c r="G174" s="67"/>
      <c r="H174" s="66"/>
      <c r="I174" s="67"/>
      <c r="J174" s="66"/>
      <c r="K174" s="67"/>
      <c r="L174" s="66"/>
      <c r="M174" s="67"/>
      <c r="N174" s="66"/>
      <c r="O174" s="67"/>
      <c r="P174" s="6" t="e">
        <f>IF($A174="","",IFERROR(INDEX(Scores!$T$2:$T$225,MATCH($A174,Scores!$A$2:$A$225,0)),""))</f>
        <v>#DIV/0!</v>
      </c>
      <c r="Q174" s="6" t="e">
        <f>IF($A174="","",IFERROR(INDEX(Scores!$U$2:$U$225,MATCH($A174,Scores!$A$2:$A$225,0)),""))</f>
        <v>#DIV/0!</v>
      </c>
      <c r="R174" s="12" t="e">
        <f>IF($A174="","",IF(IFERROR(INDEX(Scores!$X$2:$X$225,MATCH($A174,Scores!$A$2:$A$225,0)),0)=1,"Complete","Waiting"))</f>
        <v>#DIV/0!</v>
      </c>
      <c r="S174" s="12" t="e">
        <f>IF($A174="","",IFERROR(INDEX(Scores!$Y$2:$Y$225,MATCH($A174,Scores!$A$2:$A$225,0)),""))</f>
        <v>#DIV/0!</v>
      </c>
    </row>
    <row r="175" spans="1:19">
      <c r="A175" s="12" t="e">
        <f>IF(INT((170)/Setup!$B$13)+1&lt;=Setup!$B$5,INDEX(Scores!$A$2:$A$225,2+(INT((170)/Setup!$B$13)+1-1)*28+(MOD(170,Setup!$B$13)+1-1)-1),"")</f>
        <v>#DIV/0!</v>
      </c>
      <c r="B175" s="12" t="e">
        <f>IF(INT((170)/Setup!$B$13)+1&lt;=Setup!$B$5,CHAR(64+INT((170)/Setup!$B$13)+1),"")</f>
        <v>#DIV/0!</v>
      </c>
      <c r="C175" s="12" t="e">
        <f>IF(INT((170)/Setup!$B$13)+1&lt;=Setup!$B$5,INDEX(Scores!$E$2:$E$225,2+(INT((170)/Setup!$B$13)+1-1)*28+(MOD(170,Setup!$B$13)+1-1)-1),"")</f>
        <v>#DIV/0!</v>
      </c>
      <c r="D175" s="12" t="e">
        <f>IF(INT((170)/Setup!$B$13)+1&lt;=Setup!$B$5,INDEX(Scores!$G$2:$G$225,2+(INT((170)/Setup!$B$13)+1-1)*28+(MOD(170,Setup!$B$13)+1-1)-1),"")</f>
        <v>#DIV/0!</v>
      </c>
      <c r="E175" s="12" t="e">
        <f>IF(INT((170)/Setup!$B$13)+1&lt;=Setup!$B$5,INDEX(Scores!$I$2:$I$225,2+(INT((170)/Setup!$B$13)+1-1)*28+(MOD(170,Setup!$B$13)+1-1)-1),"")</f>
        <v>#DIV/0!</v>
      </c>
      <c r="F175" s="66"/>
      <c r="G175" s="67"/>
      <c r="H175" s="66"/>
      <c r="I175" s="67"/>
      <c r="J175" s="66"/>
      <c r="K175" s="67"/>
      <c r="L175" s="66"/>
      <c r="M175" s="67"/>
      <c r="N175" s="66"/>
      <c r="O175" s="67"/>
      <c r="P175" s="6" t="e">
        <f>IF($A175="","",IFERROR(INDEX(Scores!$T$2:$T$225,MATCH($A175,Scores!$A$2:$A$225,0)),""))</f>
        <v>#DIV/0!</v>
      </c>
      <c r="Q175" s="6" t="e">
        <f>IF($A175="","",IFERROR(INDEX(Scores!$U$2:$U$225,MATCH($A175,Scores!$A$2:$A$225,0)),""))</f>
        <v>#DIV/0!</v>
      </c>
      <c r="R175" s="12" t="e">
        <f>IF($A175="","",IF(IFERROR(INDEX(Scores!$X$2:$X$225,MATCH($A175,Scores!$A$2:$A$225,0)),0)=1,"Complete","Waiting"))</f>
        <v>#DIV/0!</v>
      </c>
      <c r="S175" s="12" t="e">
        <f>IF($A175="","",IFERROR(INDEX(Scores!$Y$2:$Y$225,MATCH($A175,Scores!$A$2:$A$225,0)),""))</f>
        <v>#DIV/0!</v>
      </c>
    </row>
    <row r="176" spans="1:19">
      <c r="A176" s="12" t="e">
        <f>IF(INT((171)/Setup!$B$13)+1&lt;=Setup!$B$5,INDEX(Scores!$A$2:$A$225,2+(INT((171)/Setup!$B$13)+1-1)*28+(MOD(171,Setup!$B$13)+1-1)-1),"")</f>
        <v>#DIV/0!</v>
      </c>
      <c r="B176" s="12" t="e">
        <f>IF(INT((171)/Setup!$B$13)+1&lt;=Setup!$B$5,CHAR(64+INT((171)/Setup!$B$13)+1),"")</f>
        <v>#DIV/0!</v>
      </c>
      <c r="C176" s="12" t="e">
        <f>IF(INT((171)/Setup!$B$13)+1&lt;=Setup!$B$5,INDEX(Scores!$E$2:$E$225,2+(INT((171)/Setup!$B$13)+1-1)*28+(MOD(171,Setup!$B$13)+1-1)-1),"")</f>
        <v>#DIV/0!</v>
      </c>
      <c r="D176" s="12" t="e">
        <f>IF(INT((171)/Setup!$B$13)+1&lt;=Setup!$B$5,INDEX(Scores!$G$2:$G$225,2+(INT((171)/Setup!$B$13)+1-1)*28+(MOD(171,Setup!$B$13)+1-1)-1),"")</f>
        <v>#DIV/0!</v>
      </c>
      <c r="E176" s="12" t="e">
        <f>IF(INT((171)/Setup!$B$13)+1&lt;=Setup!$B$5,INDEX(Scores!$I$2:$I$225,2+(INT((171)/Setup!$B$13)+1-1)*28+(MOD(171,Setup!$B$13)+1-1)-1),"")</f>
        <v>#DIV/0!</v>
      </c>
      <c r="F176" s="66"/>
      <c r="G176" s="67"/>
      <c r="H176" s="66"/>
      <c r="I176" s="67"/>
      <c r="J176" s="66"/>
      <c r="K176" s="67"/>
      <c r="L176" s="66"/>
      <c r="M176" s="67"/>
      <c r="N176" s="66"/>
      <c r="O176" s="67"/>
      <c r="P176" s="6" t="e">
        <f>IF($A176="","",IFERROR(INDEX(Scores!$T$2:$T$225,MATCH($A176,Scores!$A$2:$A$225,0)),""))</f>
        <v>#DIV/0!</v>
      </c>
      <c r="Q176" s="6" t="e">
        <f>IF($A176="","",IFERROR(INDEX(Scores!$U$2:$U$225,MATCH($A176,Scores!$A$2:$A$225,0)),""))</f>
        <v>#DIV/0!</v>
      </c>
      <c r="R176" s="12" t="e">
        <f>IF($A176="","",IF(IFERROR(INDEX(Scores!$X$2:$X$225,MATCH($A176,Scores!$A$2:$A$225,0)),0)=1,"Complete","Waiting"))</f>
        <v>#DIV/0!</v>
      </c>
      <c r="S176" s="12" t="e">
        <f>IF($A176="","",IFERROR(INDEX(Scores!$Y$2:$Y$225,MATCH($A176,Scores!$A$2:$A$225,0)),""))</f>
        <v>#DIV/0!</v>
      </c>
    </row>
    <row r="177" spans="1:19">
      <c r="A177" s="12" t="e">
        <f>IF(INT((172)/Setup!$B$13)+1&lt;=Setup!$B$5,INDEX(Scores!$A$2:$A$225,2+(INT((172)/Setup!$B$13)+1-1)*28+(MOD(172,Setup!$B$13)+1-1)-1),"")</f>
        <v>#DIV/0!</v>
      </c>
      <c r="B177" s="12" t="e">
        <f>IF(INT((172)/Setup!$B$13)+1&lt;=Setup!$B$5,CHAR(64+INT((172)/Setup!$B$13)+1),"")</f>
        <v>#DIV/0!</v>
      </c>
      <c r="C177" s="12" t="e">
        <f>IF(INT((172)/Setup!$B$13)+1&lt;=Setup!$B$5,INDEX(Scores!$E$2:$E$225,2+(INT((172)/Setup!$B$13)+1-1)*28+(MOD(172,Setup!$B$13)+1-1)-1),"")</f>
        <v>#DIV/0!</v>
      </c>
      <c r="D177" s="12" t="e">
        <f>IF(INT((172)/Setup!$B$13)+1&lt;=Setup!$B$5,INDEX(Scores!$G$2:$G$225,2+(INT((172)/Setup!$B$13)+1-1)*28+(MOD(172,Setup!$B$13)+1-1)-1),"")</f>
        <v>#DIV/0!</v>
      </c>
      <c r="E177" s="12" t="e">
        <f>IF(INT((172)/Setup!$B$13)+1&lt;=Setup!$B$5,INDEX(Scores!$I$2:$I$225,2+(INT((172)/Setup!$B$13)+1-1)*28+(MOD(172,Setup!$B$13)+1-1)-1),"")</f>
        <v>#DIV/0!</v>
      </c>
      <c r="F177" s="66"/>
      <c r="G177" s="67"/>
      <c r="H177" s="66"/>
      <c r="I177" s="67"/>
      <c r="J177" s="66"/>
      <c r="K177" s="67"/>
      <c r="L177" s="66"/>
      <c r="M177" s="67"/>
      <c r="N177" s="66"/>
      <c r="O177" s="67"/>
      <c r="P177" s="6" t="e">
        <f>IF($A177="","",IFERROR(INDEX(Scores!$T$2:$T$225,MATCH($A177,Scores!$A$2:$A$225,0)),""))</f>
        <v>#DIV/0!</v>
      </c>
      <c r="Q177" s="6" t="e">
        <f>IF($A177="","",IFERROR(INDEX(Scores!$U$2:$U$225,MATCH($A177,Scores!$A$2:$A$225,0)),""))</f>
        <v>#DIV/0!</v>
      </c>
      <c r="R177" s="12" t="e">
        <f>IF($A177="","",IF(IFERROR(INDEX(Scores!$X$2:$X$225,MATCH($A177,Scores!$A$2:$A$225,0)),0)=1,"Complete","Waiting"))</f>
        <v>#DIV/0!</v>
      </c>
      <c r="S177" s="12" t="e">
        <f>IF($A177="","",IFERROR(INDEX(Scores!$Y$2:$Y$225,MATCH($A177,Scores!$A$2:$A$225,0)),""))</f>
        <v>#DIV/0!</v>
      </c>
    </row>
    <row r="178" spans="1:19">
      <c r="A178" s="12" t="e">
        <f>IF(INT((173)/Setup!$B$13)+1&lt;=Setup!$B$5,INDEX(Scores!$A$2:$A$225,2+(INT((173)/Setup!$B$13)+1-1)*28+(MOD(173,Setup!$B$13)+1-1)-1),"")</f>
        <v>#DIV/0!</v>
      </c>
      <c r="B178" s="12" t="e">
        <f>IF(INT((173)/Setup!$B$13)+1&lt;=Setup!$B$5,CHAR(64+INT((173)/Setup!$B$13)+1),"")</f>
        <v>#DIV/0!</v>
      </c>
      <c r="C178" s="12" t="e">
        <f>IF(INT((173)/Setup!$B$13)+1&lt;=Setup!$B$5,INDEX(Scores!$E$2:$E$225,2+(INT((173)/Setup!$B$13)+1-1)*28+(MOD(173,Setup!$B$13)+1-1)-1),"")</f>
        <v>#DIV/0!</v>
      </c>
      <c r="D178" s="12" t="e">
        <f>IF(INT((173)/Setup!$B$13)+1&lt;=Setup!$B$5,INDEX(Scores!$G$2:$G$225,2+(INT((173)/Setup!$B$13)+1-1)*28+(MOD(173,Setup!$B$13)+1-1)-1),"")</f>
        <v>#DIV/0!</v>
      </c>
      <c r="E178" s="12" t="e">
        <f>IF(INT((173)/Setup!$B$13)+1&lt;=Setup!$B$5,INDEX(Scores!$I$2:$I$225,2+(INT((173)/Setup!$B$13)+1-1)*28+(MOD(173,Setup!$B$13)+1-1)-1),"")</f>
        <v>#DIV/0!</v>
      </c>
      <c r="F178" s="66"/>
      <c r="G178" s="67"/>
      <c r="H178" s="66"/>
      <c r="I178" s="67"/>
      <c r="J178" s="66"/>
      <c r="K178" s="67"/>
      <c r="L178" s="66"/>
      <c r="M178" s="67"/>
      <c r="N178" s="66"/>
      <c r="O178" s="67"/>
      <c r="P178" s="6" t="e">
        <f>IF($A178="","",IFERROR(INDEX(Scores!$T$2:$T$225,MATCH($A178,Scores!$A$2:$A$225,0)),""))</f>
        <v>#DIV/0!</v>
      </c>
      <c r="Q178" s="6" t="e">
        <f>IF($A178="","",IFERROR(INDEX(Scores!$U$2:$U$225,MATCH($A178,Scores!$A$2:$A$225,0)),""))</f>
        <v>#DIV/0!</v>
      </c>
      <c r="R178" s="12" t="e">
        <f>IF($A178="","",IF(IFERROR(INDEX(Scores!$X$2:$X$225,MATCH($A178,Scores!$A$2:$A$225,0)),0)=1,"Complete","Waiting"))</f>
        <v>#DIV/0!</v>
      </c>
      <c r="S178" s="12" t="e">
        <f>IF($A178="","",IFERROR(INDEX(Scores!$Y$2:$Y$225,MATCH($A178,Scores!$A$2:$A$225,0)),""))</f>
        <v>#DIV/0!</v>
      </c>
    </row>
    <row r="179" spans="1:19">
      <c r="A179" s="12" t="e">
        <f>IF(INT((174)/Setup!$B$13)+1&lt;=Setup!$B$5,INDEX(Scores!$A$2:$A$225,2+(INT((174)/Setup!$B$13)+1-1)*28+(MOD(174,Setup!$B$13)+1-1)-1),"")</f>
        <v>#DIV/0!</v>
      </c>
      <c r="B179" s="12" t="e">
        <f>IF(INT((174)/Setup!$B$13)+1&lt;=Setup!$B$5,CHAR(64+INT((174)/Setup!$B$13)+1),"")</f>
        <v>#DIV/0!</v>
      </c>
      <c r="C179" s="12" t="e">
        <f>IF(INT((174)/Setup!$B$13)+1&lt;=Setup!$B$5,INDEX(Scores!$E$2:$E$225,2+(INT((174)/Setup!$B$13)+1-1)*28+(MOD(174,Setup!$B$13)+1-1)-1),"")</f>
        <v>#DIV/0!</v>
      </c>
      <c r="D179" s="12" t="e">
        <f>IF(INT((174)/Setup!$B$13)+1&lt;=Setup!$B$5,INDEX(Scores!$G$2:$G$225,2+(INT((174)/Setup!$B$13)+1-1)*28+(MOD(174,Setup!$B$13)+1-1)-1),"")</f>
        <v>#DIV/0!</v>
      </c>
      <c r="E179" s="12" t="e">
        <f>IF(INT((174)/Setup!$B$13)+1&lt;=Setup!$B$5,INDEX(Scores!$I$2:$I$225,2+(INT((174)/Setup!$B$13)+1-1)*28+(MOD(174,Setup!$B$13)+1-1)-1),"")</f>
        <v>#DIV/0!</v>
      </c>
      <c r="F179" s="66"/>
      <c r="G179" s="67"/>
      <c r="H179" s="66"/>
      <c r="I179" s="67"/>
      <c r="J179" s="66"/>
      <c r="K179" s="67"/>
      <c r="L179" s="66"/>
      <c r="M179" s="67"/>
      <c r="N179" s="66"/>
      <c r="O179" s="67"/>
      <c r="P179" s="6" t="e">
        <f>IF($A179="","",IFERROR(INDEX(Scores!$T$2:$T$225,MATCH($A179,Scores!$A$2:$A$225,0)),""))</f>
        <v>#DIV/0!</v>
      </c>
      <c r="Q179" s="6" t="e">
        <f>IF($A179="","",IFERROR(INDEX(Scores!$U$2:$U$225,MATCH($A179,Scores!$A$2:$A$225,0)),""))</f>
        <v>#DIV/0!</v>
      </c>
      <c r="R179" s="12" t="e">
        <f>IF($A179="","",IF(IFERROR(INDEX(Scores!$X$2:$X$225,MATCH($A179,Scores!$A$2:$A$225,0)),0)=1,"Complete","Waiting"))</f>
        <v>#DIV/0!</v>
      </c>
      <c r="S179" s="12" t="e">
        <f>IF($A179="","",IFERROR(INDEX(Scores!$Y$2:$Y$225,MATCH($A179,Scores!$A$2:$A$225,0)),""))</f>
        <v>#DIV/0!</v>
      </c>
    </row>
    <row r="180" spans="1:19">
      <c r="A180" s="12" t="e">
        <f>IF(INT((175)/Setup!$B$13)+1&lt;=Setup!$B$5,INDEX(Scores!$A$2:$A$225,2+(INT((175)/Setup!$B$13)+1-1)*28+(MOD(175,Setup!$B$13)+1-1)-1),"")</f>
        <v>#DIV/0!</v>
      </c>
      <c r="B180" s="12" t="e">
        <f>IF(INT((175)/Setup!$B$13)+1&lt;=Setup!$B$5,CHAR(64+INT((175)/Setup!$B$13)+1),"")</f>
        <v>#DIV/0!</v>
      </c>
      <c r="C180" s="12" t="e">
        <f>IF(INT((175)/Setup!$B$13)+1&lt;=Setup!$B$5,INDEX(Scores!$E$2:$E$225,2+(INT((175)/Setup!$B$13)+1-1)*28+(MOD(175,Setup!$B$13)+1-1)-1),"")</f>
        <v>#DIV/0!</v>
      </c>
      <c r="D180" s="12" t="e">
        <f>IF(INT((175)/Setup!$B$13)+1&lt;=Setup!$B$5,INDEX(Scores!$G$2:$G$225,2+(INT((175)/Setup!$B$13)+1-1)*28+(MOD(175,Setup!$B$13)+1-1)-1),"")</f>
        <v>#DIV/0!</v>
      </c>
      <c r="E180" s="12" t="e">
        <f>IF(INT((175)/Setup!$B$13)+1&lt;=Setup!$B$5,INDEX(Scores!$I$2:$I$225,2+(INT((175)/Setup!$B$13)+1-1)*28+(MOD(175,Setup!$B$13)+1-1)-1),"")</f>
        <v>#DIV/0!</v>
      </c>
      <c r="F180" s="66"/>
      <c r="G180" s="67"/>
      <c r="H180" s="66"/>
      <c r="I180" s="67"/>
      <c r="J180" s="66"/>
      <c r="K180" s="67"/>
      <c r="L180" s="66"/>
      <c r="M180" s="67"/>
      <c r="N180" s="66"/>
      <c r="O180" s="67"/>
      <c r="P180" s="6" t="e">
        <f>IF($A180="","",IFERROR(INDEX(Scores!$T$2:$T$225,MATCH($A180,Scores!$A$2:$A$225,0)),""))</f>
        <v>#DIV/0!</v>
      </c>
      <c r="Q180" s="6" t="e">
        <f>IF($A180="","",IFERROR(INDEX(Scores!$U$2:$U$225,MATCH($A180,Scores!$A$2:$A$225,0)),""))</f>
        <v>#DIV/0!</v>
      </c>
      <c r="R180" s="12" t="e">
        <f>IF($A180="","",IF(IFERROR(INDEX(Scores!$X$2:$X$225,MATCH($A180,Scores!$A$2:$A$225,0)),0)=1,"Complete","Waiting"))</f>
        <v>#DIV/0!</v>
      </c>
      <c r="S180" s="12" t="e">
        <f>IF($A180="","",IFERROR(INDEX(Scores!$Y$2:$Y$225,MATCH($A180,Scores!$A$2:$A$225,0)),""))</f>
        <v>#DIV/0!</v>
      </c>
    </row>
    <row r="181" spans="1:19">
      <c r="A181" s="12" t="e">
        <f>IF(INT((176)/Setup!$B$13)+1&lt;=Setup!$B$5,INDEX(Scores!$A$2:$A$225,2+(INT((176)/Setup!$B$13)+1-1)*28+(MOD(176,Setup!$B$13)+1-1)-1),"")</f>
        <v>#DIV/0!</v>
      </c>
      <c r="B181" s="12" t="e">
        <f>IF(INT((176)/Setup!$B$13)+1&lt;=Setup!$B$5,CHAR(64+INT((176)/Setup!$B$13)+1),"")</f>
        <v>#DIV/0!</v>
      </c>
      <c r="C181" s="12" t="e">
        <f>IF(INT((176)/Setup!$B$13)+1&lt;=Setup!$B$5,INDEX(Scores!$E$2:$E$225,2+(INT((176)/Setup!$B$13)+1-1)*28+(MOD(176,Setup!$B$13)+1-1)-1),"")</f>
        <v>#DIV/0!</v>
      </c>
      <c r="D181" s="12" t="e">
        <f>IF(INT((176)/Setup!$B$13)+1&lt;=Setup!$B$5,INDEX(Scores!$G$2:$G$225,2+(INT((176)/Setup!$B$13)+1-1)*28+(MOD(176,Setup!$B$13)+1-1)-1),"")</f>
        <v>#DIV/0!</v>
      </c>
      <c r="E181" s="12" t="e">
        <f>IF(INT((176)/Setup!$B$13)+1&lt;=Setup!$B$5,INDEX(Scores!$I$2:$I$225,2+(INT((176)/Setup!$B$13)+1-1)*28+(MOD(176,Setup!$B$13)+1-1)-1),"")</f>
        <v>#DIV/0!</v>
      </c>
      <c r="F181" s="66"/>
      <c r="G181" s="67"/>
      <c r="H181" s="66"/>
      <c r="I181" s="67"/>
      <c r="J181" s="66"/>
      <c r="K181" s="67"/>
      <c r="L181" s="66"/>
      <c r="M181" s="67"/>
      <c r="N181" s="66"/>
      <c r="O181" s="67"/>
      <c r="P181" s="6" t="e">
        <f>IF($A181="","",IFERROR(INDEX(Scores!$T$2:$T$225,MATCH($A181,Scores!$A$2:$A$225,0)),""))</f>
        <v>#DIV/0!</v>
      </c>
      <c r="Q181" s="6" t="e">
        <f>IF($A181="","",IFERROR(INDEX(Scores!$U$2:$U$225,MATCH($A181,Scores!$A$2:$A$225,0)),""))</f>
        <v>#DIV/0!</v>
      </c>
      <c r="R181" s="12" t="e">
        <f>IF($A181="","",IF(IFERROR(INDEX(Scores!$X$2:$X$225,MATCH($A181,Scores!$A$2:$A$225,0)),0)=1,"Complete","Waiting"))</f>
        <v>#DIV/0!</v>
      </c>
      <c r="S181" s="12" t="e">
        <f>IF($A181="","",IFERROR(INDEX(Scores!$Y$2:$Y$225,MATCH($A181,Scores!$A$2:$A$225,0)),""))</f>
        <v>#DIV/0!</v>
      </c>
    </row>
    <row r="182" spans="1:19">
      <c r="A182" s="12" t="e">
        <f>IF(INT((177)/Setup!$B$13)+1&lt;=Setup!$B$5,INDEX(Scores!$A$2:$A$225,2+(INT((177)/Setup!$B$13)+1-1)*28+(MOD(177,Setup!$B$13)+1-1)-1),"")</f>
        <v>#DIV/0!</v>
      </c>
      <c r="B182" s="12" t="e">
        <f>IF(INT((177)/Setup!$B$13)+1&lt;=Setup!$B$5,CHAR(64+INT((177)/Setup!$B$13)+1),"")</f>
        <v>#DIV/0!</v>
      </c>
      <c r="C182" s="12" t="e">
        <f>IF(INT((177)/Setup!$B$13)+1&lt;=Setup!$B$5,INDEX(Scores!$E$2:$E$225,2+(INT((177)/Setup!$B$13)+1-1)*28+(MOD(177,Setup!$B$13)+1-1)-1),"")</f>
        <v>#DIV/0!</v>
      </c>
      <c r="D182" s="12" t="e">
        <f>IF(INT((177)/Setup!$B$13)+1&lt;=Setup!$B$5,INDEX(Scores!$G$2:$G$225,2+(INT((177)/Setup!$B$13)+1-1)*28+(MOD(177,Setup!$B$13)+1-1)-1),"")</f>
        <v>#DIV/0!</v>
      </c>
      <c r="E182" s="12" t="e">
        <f>IF(INT((177)/Setup!$B$13)+1&lt;=Setup!$B$5,INDEX(Scores!$I$2:$I$225,2+(INT((177)/Setup!$B$13)+1-1)*28+(MOD(177,Setup!$B$13)+1-1)-1),"")</f>
        <v>#DIV/0!</v>
      </c>
      <c r="F182" s="66"/>
      <c r="G182" s="67"/>
      <c r="H182" s="66"/>
      <c r="I182" s="67"/>
      <c r="J182" s="66"/>
      <c r="K182" s="67"/>
      <c r="L182" s="66"/>
      <c r="M182" s="67"/>
      <c r="N182" s="66"/>
      <c r="O182" s="67"/>
      <c r="P182" s="6" t="e">
        <f>IF($A182="","",IFERROR(INDEX(Scores!$T$2:$T$225,MATCH($A182,Scores!$A$2:$A$225,0)),""))</f>
        <v>#DIV/0!</v>
      </c>
      <c r="Q182" s="6" t="e">
        <f>IF($A182="","",IFERROR(INDEX(Scores!$U$2:$U$225,MATCH($A182,Scores!$A$2:$A$225,0)),""))</f>
        <v>#DIV/0!</v>
      </c>
      <c r="R182" s="12" t="e">
        <f>IF($A182="","",IF(IFERROR(INDEX(Scores!$X$2:$X$225,MATCH($A182,Scores!$A$2:$A$225,0)),0)=1,"Complete","Waiting"))</f>
        <v>#DIV/0!</v>
      </c>
      <c r="S182" s="12" t="e">
        <f>IF($A182="","",IFERROR(INDEX(Scores!$Y$2:$Y$225,MATCH($A182,Scores!$A$2:$A$225,0)),""))</f>
        <v>#DIV/0!</v>
      </c>
    </row>
    <row r="183" spans="1:19">
      <c r="A183" s="12" t="e">
        <f>IF(INT((178)/Setup!$B$13)+1&lt;=Setup!$B$5,INDEX(Scores!$A$2:$A$225,2+(INT((178)/Setup!$B$13)+1-1)*28+(MOD(178,Setup!$B$13)+1-1)-1),"")</f>
        <v>#DIV/0!</v>
      </c>
      <c r="B183" s="12" t="e">
        <f>IF(INT((178)/Setup!$B$13)+1&lt;=Setup!$B$5,CHAR(64+INT((178)/Setup!$B$13)+1),"")</f>
        <v>#DIV/0!</v>
      </c>
      <c r="C183" s="12" t="e">
        <f>IF(INT((178)/Setup!$B$13)+1&lt;=Setup!$B$5,INDEX(Scores!$E$2:$E$225,2+(INT((178)/Setup!$B$13)+1-1)*28+(MOD(178,Setup!$B$13)+1-1)-1),"")</f>
        <v>#DIV/0!</v>
      </c>
      <c r="D183" s="12" t="e">
        <f>IF(INT((178)/Setup!$B$13)+1&lt;=Setup!$B$5,INDEX(Scores!$G$2:$G$225,2+(INT((178)/Setup!$B$13)+1-1)*28+(MOD(178,Setup!$B$13)+1-1)-1),"")</f>
        <v>#DIV/0!</v>
      </c>
      <c r="E183" s="12" t="e">
        <f>IF(INT((178)/Setup!$B$13)+1&lt;=Setup!$B$5,INDEX(Scores!$I$2:$I$225,2+(INT((178)/Setup!$B$13)+1-1)*28+(MOD(178,Setup!$B$13)+1-1)-1),"")</f>
        <v>#DIV/0!</v>
      </c>
      <c r="F183" s="66"/>
      <c r="G183" s="67"/>
      <c r="H183" s="66"/>
      <c r="I183" s="67"/>
      <c r="J183" s="66"/>
      <c r="K183" s="67"/>
      <c r="L183" s="66"/>
      <c r="M183" s="67"/>
      <c r="N183" s="66"/>
      <c r="O183" s="67"/>
      <c r="P183" s="6" t="e">
        <f>IF($A183="","",IFERROR(INDEX(Scores!$T$2:$T$225,MATCH($A183,Scores!$A$2:$A$225,0)),""))</f>
        <v>#DIV/0!</v>
      </c>
      <c r="Q183" s="6" t="e">
        <f>IF($A183="","",IFERROR(INDEX(Scores!$U$2:$U$225,MATCH($A183,Scores!$A$2:$A$225,0)),""))</f>
        <v>#DIV/0!</v>
      </c>
      <c r="R183" s="12" t="e">
        <f>IF($A183="","",IF(IFERROR(INDEX(Scores!$X$2:$X$225,MATCH($A183,Scores!$A$2:$A$225,0)),0)=1,"Complete","Waiting"))</f>
        <v>#DIV/0!</v>
      </c>
      <c r="S183" s="12" t="e">
        <f>IF($A183="","",IFERROR(INDEX(Scores!$Y$2:$Y$225,MATCH($A183,Scores!$A$2:$A$225,0)),""))</f>
        <v>#DIV/0!</v>
      </c>
    </row>
    <row r="184" spans="1:19">
      <c r="A184" s="12" t="e">
        <f>IF(INT((179)/Setup!$B$13)+1&lt;=Setup!$B$5,INDEX(Scores!$A$2:$A$225,2+(INT((179)/Setup!$B$13)+1-1)*28+(MOD(179,Setup!$B$13)+1-1)-1),"")</f>
        <v>#DIV/0!</v>
      </c>
      <c r="B184" s="12" t="e">
        <f>IF(INT((179)/Setup!$B$13)+1&lt;=Setup!$B$5,CHAR(64+INT((179)/Setup!$B$13)+1),"")</f>
        <v>#DIV/0!</v>
      </c>
      <c r="C184" s="12" t="e">
        <f>IF(INT((179)/Setup!$B$13)+1&lt;=Setup!$B$5,INDEX(Scores!$E$2:$E$225,2+(INT((179)/Setup!$B$13)+1-1)*28+(MOD(179,Setup!$B$13)+1-1)-1),"")</f>
        <v>#DIV/0!</v>
      </c>
      <c r="D184" s="12" t="e">
        <f>IF(INT((179)/Setup!$B$13)+1&lt;=Setup!$B$5,INDEX(Scores!$G$2:$G$225,2+(INT((179)/Setup!$B$13)+1-1)*28+(MOD(179,Setup!$B$13)+1-1)-1),"")</f>
        <v>#DIV/0!</v>
      </c>
      <c r="E184" s="12" t="e">
        <f>IF(INT((179)/Setup!$B$13)+1&lt;=Setup!$B$5,INDEX(Scores!$I$2:$I$225,2+(INT((179)/Setup!$B$13)+1-1)*28+(MOD(179,Setup!$B$13)+1-1)-1),"")</f>
        <v>#DIV/0!</v>
      </c>
      <c r="F184" s="66"/>
      <c r="G184" s="67"/>
      <c r="H184" s="66"/>
      <c r="I184" s="67"/>
      <c r="J184" s="66"/>
      <c r="K184" s="67"/>
      <c r="L184" s="66"/>
      <c r="M184" s="67"/>
      <c r="N184" s="66"/>
      <c r="O184" s="67"/>
      <c r="P184" s="6" t="e">
        <f>IF($A184="","",IFERROR(INDEX(Scores!$T$2:$T$225,MATCH($A184,Scores!$A$2:$A$225,0)),""))</f>
        <v>#DIV/0!</v>
      </c>
      <c r="Q184" s="6" t="e">
        <f>IF($A184="","",IFERROR(INDEX(Scores!$U$2:$U$225,MATCH($A184,Scores!$A$2:$A$225,0)),""))</f>
        <v>#DIV/0!</v>
      </c>
      <c r="R184" s="12" t="e">
        <f>IF($A184="","",IF(IFERROR(INDEX(Scores!$X$2:$X$225,MATCH($A184,Scores!$A$2:$A$225,0)),0)=1,"Complete","Waiting"))</f>
        <v>#DIV/0!</v>
      </c>
      <c r="S184" s="12" t="e">
        <f>IF($A184="","",IFERROR(INDEX(Scores!$Y$2:$Y$225,MATCH($A184,Scores!$A$2:$A$225,0)),""))</f>
        <v>#DIV/0!</v>
      </c>
    </row>
    <row r="185" spans="1:19">
      <c r="A185" s="12" t="e">
        <f>IF(INT((180)/Setup!$B$13)+1&lt;=Setup!$B$5,INDEX(Scores!$A$2:$A$225,2+(INT((180)/Setup!$B$13)+1-1)*28+(MOD(180,Setup!$B$13)+1-1)-1),"")</f>
        <v>#DIV/0!</v>
      </c>
      <c r="B185" s="12" t="e">
        <f>IF(INT((180)/Setup!$B$13)+1&lt;=Setup!$B$5,CHAR(64+INT((180)/Setup!$B$13)+1),"")</f>
        <v>#DIV/0!</v>
      </c>
      <c r="C185" s="12" t="e">
        <f>IF(INT((180)/Setup!$B$13)+1&lt;=Setup!$B$5,INDEX(Scores!$E$2:$E$225,2+(INT((180)/Setup!$B$13)+1-1)*28+(MOD(180,Setup!$B$13)+1-1)-1),"")</f>
        <v>#DIV/0!</v>
      </c>
      <c r="D185" s="12" t="e">
        <f>IF(INT((180)/Setup!$B$13)+1&lt;=Setup!$B$5,INDEX(Scores!$G$2:$G$225,2+(INT((180)/Setup!$B$13)+1-1)*28+(MOD(180,Setup!$B$13)+1-1)-1),"")</f>
        <v>#DIV/0!</v>
      </c>
      <c r="E185" s="12" t="e">
        <f>IF(INT((180)/Setup!$B$13)+1&lt;=Setup!$B$5,INDEX(Scores!$I$2:$I$225,2+(INT((180)/Setup!$B$13)+1-1)*28+(MOD(180,Setup!$B$13)+1-1)-1),"")</f>
        <v>#DIV/0!</v>
      </c>
      <c r="F185" s="66"/>
      <c r="G185" s="67"/>
      <c r="H185" s="66"/>
      <c r="I185" s="67"/>
      <c r="J185" s="66"/>
      <c r="K185" s="67"/>
      <c r="L185" s="66"/>
      <c r="M185" s="67"/>
      <c r="N185" s="66"/>
      <c r="O185" s="67"/>
      <c r="P185" s="6" t="e">
        <f>IF($A185="","",IFERROR(INDEX(Scores!$T$2:$T$225,MATCH($A185,Scores!$A$2:$A$225,0)),""))</f>
        <v>#DIV/0!</v>
      </c>
      <c r="Q185" s="6" t="e">
        <f>IF($A185="","",IFERROR(INDEX(Scores!$U$2:$U$225,MATCH($A185,Scores!$A$2:$A$225,0)),""))</f>
        <v>#DIV/0!</v>
      </c>
      <c r="R185" s="12" t="e">
        <f>IF($A185="","",IF(IFERROR(INDEX(Scores!$X$2:$X$225,MATCH($A185,Scores!$A$2:$A$225,0)),0)=1,"Complete","Waiting"))</f>
        <v>#DIV/0!</v>
      </c>
      <c r="S185" s="12" t="e">
        <f>IF($A185="","",IFERROR(INDEX(Scores!$Y$2:$Y$225,MATCH($A185,Scores!$A$2:$A$225,0)),""))</f>
        <v>#DIV/0!</v>
      </c>
    </row>
    <row r="186" spans="1:19">
      <c r="A186" s="12" t="e">
        <f>IF(INT((181)/Setup!$B$13)+1&lt;=Setup!$B$5,INDEX(Scores!$A$2:$A$225,2+(INT((181)/Setup!$B$13)+1-1)*28+(MOD(181,Setup!$B$13)+1-1)-1),"")</f>
        <v>#DIV/0!</v>
      </c>
      <c r="B186" s="12" t="e">
        <f>IF(INT((181)/Setup!$B$13)+1&lt;=Setup!$B$5,CHAR(64+INT((181)/Setup!$B$13)+1),"")</f>
        <v>#DIV/0!</v>
      </c>
      <c r="C186" s="12" t="e">
        <f>IF(INT((181)/Setup!$B$13)+1&lt;=Setup!$B$5,INDEX(Scores!$E$2:$E$225,2+(INT((181)/Setup!$B$13)+1-1)*28+(MOD(181,Setup!$B$13)+1-1)-1),"")</f>
        <v>#DIV/0!</v>
      </c>
      <c r="D186" s="12" t="e">
        <f>IF(INT((181)/Setup!$B$13)+1&lt;=Setup!$B$5,INDEX(Scores!$G$2:$G$225,2+(INT((181)/Setup!$B$13)+1-1)*28+(MOD(181,Setup!$B$13)+1-1)-1),"")</f>
        <v>#DIV/0!</v>
      </c>
      <c r="E186" s="12" t="e">
        <f>IF(INT((181)/Setup!$B$13)+1&lt;=Setup!$B$5,INDEX(Scores!$I$2:$I$225,2+(INT((181)/Setup!$B$13)+1-1)*28+(MOD(181,Setup!$B$13)+1-1)-1),"")</f>
        <v>#DIV/0!</v>
      </c>
      <c r="F186" s="66"/>
      <c r="G186" s="67"/>
      <c r="H186" s="66"/>
      <c r="I186" s="67"/>
      <c r="J186" s="66"/>
      <c r="K186" s="67"/>
      <c r="L186" s="66"/>
      <c r="M186" s="67"/>
      <c r="N186" s="66"/>
      <c r="O186" s="67"/>
      <c r="P186" s="6" t="e">
        <f>IF($A186="","",IFERROR(INDEX(Scores!$T$2:$T$225,MATCH($A186,Scores!$A$2:$A$225,0)),""))</f>
        <v>#DIV/0!</v>
      </c>
      <c r="Q186" s="6" t="e">
        <f>IF($A186="","",IFERROR(INDEX(Scores!$U$2:$U$225,MATCH($A186,Scores!$A$2:$A$225,0)),""))</f>
        <v>#DIV/0!</v>
      </c>
      <c r="R186" s="12" t="e">
        <f>IF($A186="","",IF(IFERROR(INDEX(Scores!$X$2:$X$225,MATCH($A186,Scores!$A$2:$A$225,0)),0)=1,"Complete","Waiting"))</f>
        <v>#DIV/0!</v>
      </c>
      <c r="S186" s="12" t="e">
        <f>IF($A186="","",IFERROR(INDEX(Scores!$Y$2:$Y$225,MATCH($A186,Scores!$A$2:$A$225,0)),""))</f>
        <v>#DIV/0!</v>
      </c>
    </row>
    <row r="187" spans="1:19">
      <c r="A187" s="12" t="e">
        <f>IF(INT((182)/Setup!$B$13)+1&lt;=Setup!$B$5,INDEX(Scores!$A$2:$A$225,2+(INT((182)/Setup!$B$13)+1-1)*28+(MOD(182,Setup!$B$13)+1-1)-1),"")</f>
        <v>#DIV/0!</v>
      </c>
      <c r="B187" s="12" t="e">
        <f>IF(INT((182)/Setup!$B$13)+1&lt;=Setup!$B$5,CHAR(64+INT((182)/Setup!$B$13)+1),"")</f>
        <v>#DIV/0!</v>
      </c>
      <c r="C187" s="12" t="e">
        <f>IF(INT((182)/Setup!$B$13)+1&lt;=Setup!$B$5,INDEX(Scores!$E$2:$E$225,2+(INT((182)/Setup!$B$13)+1-1)*28+(MOD(182,Setup!$B$13)+1-1)-1),"")</f>
        <v>#DIV/0!</v>
      </c>
      <c r="D187" s="12" t="e">
        <f>IF(INT((182)/Setup!$B$13)+1&lt;=Setup!$B$5,INDEX(Scores!$G$2:$G$225,2+(INT((182)/Setup!$B$13)+1-1)*28+(MOD(182,Setup!$B$13)+1-1)-1),"")</f>
        <v>#DIV/0!</v>
      </c>
      <c r="E187" s="12" t="e">
        <f>IF(INT((182)/Setup!$B$13)+1&lt;=Setup!$B$5,INDEX(Scores!$I$2:$I$225,2+(INT((182)/Setup!$B$13)+1-1)*28+(MOD(182,Setup!$B$13)+1-1)-1),"")</f>
        <v>#DIV/0!</v>
      </c>
      <c r="F187" s="66"/>
      <c r="G187" s="67"/>
      <c r="H187" s="66"/>
      <c r="I187" s="67"/>
      <c r="J187" s="66"/>
      <c r="K187" s="67"/>
      <c r="L187" s="66"/>
      <c r="M187" s="67"/>
      <c r="N187" s="66"/>
      <c r="O187" s="67"/>
      <c r="P187" s="6" t="e">
        <f>IF($A187="","",IFERROR(INDEX(Scores!$T$2:$T$225,MATCH($A187,Scores!$A$2:$A$225,0)),""))</f>
        <v>#DIV/0!</v>
      </c>
      <c r="Q187" s="6" t="e">
        <f>IF($A187="","",IFERROR(INDEX(Scores!$U$2:$U$225,MATCH($A187,Scores!$A$2:$A$225,0)),""))</f>
        <v>#DIV/0!</v>
      </c>
      <c r="R187" s="12" t="e">
        <f>IF($A187="","",IF(IFERROR(INDEX(Scores!$X$2:$X$225,MATCH($A187,Scores!$A$2:$A$225,0)),0)=1,"Complete","Waiting"))</f>
        <v>#DIV/0!</v>
      </c>
      <c r="S187" s="12" t="e">
        <f>IF($A187="","",IFERROR(INDEX(Scores!$Y$2:$Y$225,MATCH($A187,Scores!$A$2:$A$225,0)),""))</f>
        <v>#DIV/0!</v>
      </c>
    </row>
    <row r="188" spans="1:19">
      <c r="A188" s="12" t="e">
        <f>IF(INT((183)/Setup!$B$13)+1&lt;=Setup!$B$5,INDEX(Scores!$A$2:$A$225,2+(INT((183)/Setup!$B$13)+1-1)*28+(MOD(183,Setup!$B$13)+1-1)-1),"")</f>
        <v>#DIV/0!</v>
      </c>
      <c r="B188" s="12" t="e">
        <f>IF(INT((183)/Setup!$B$13)+1&lt;=Setup!$B$5,CHAR(64+INT((183)/Setup!$B$13)+1),"")</f>
        <v>#DIV/0!</v>
      </c>
      <c r="C188" s="12" t="e">
        <f>IF(INT((183)/Setup!$B$13)+1&lt;=Setup!$B$5,INDEX(Scores!$E$2:$E$225,2+(INT((183)/Setup!$B$13)+1-1)*28+(MOD(183,Setup!$B$13)+1-1)-1),"")</f>
        <v>#DIV/0!</v>
      </c>
      <c r="D188" s="12" t="e">
        <f>IF(INT((183)/Setup!$B$13)+1&lt;=Setup!$B$5,INDEX(Scores!$G$2:$G$225,2+(INT((183)/Setup!$B$13)+1-1)*28+(MOD(183,Setup!$B$13)+1-1)-1),"")</f>
        <v>#DIV/0!</v>
      </c>
      <c r="E188" s="12" t="e">
        <f>IF(INT((183)/Setup!$B$13)+1&lt;=Setup!$B$5,INDEX(Scores!$I$2:$I$225,2+(INT((183)/Setup!$B$13)+1-1)*28+(MOD(183,Setup!$B$13)+1-1)-1),"")</f>
        <v>#DIV/0!</v>
      </c>
      <c r="F188" s="66"/>
      <c r="G188" s="67"/>
      <c r="H188" s="66"/>
      <c r="I188" s="67"/>
      <c r="J188" s="66"/>
      <c r="K188" s="67"/>
      <c r="L188" s="66"/>
      <c r="M188" s="67"/>
      <c r="N188" s="66"/>
      <c r="O188" s="67"/>
      <c r="P188" s="6" t="e">
        <f>IF($A188="","",IFERROR(INDEX(Scores!$T$2:$T$225,MATCH($A188,Scores!$A$2:$A$225,0)),""))</f>
        <v>#DIV/0!</v>
      </c>
      <c r="Q188" s="6" t="e">
        <f>IF($A188="","",IFERROR(INDEX(Scores!$U$2:$U$225,MATCH($A188,Scores!$A$2:$A$225,0)),""))</f>
        <v>#DIV/0!</v>
      </c>
      <c r="R188" s="12" t="e">
        <f>IF($A188="","",IF(IFERROR(INDEX(Scores!$X$2:$X$225,MATCH($A188,Scores!$A$2:$A$225,0)),0)=1,"Complete","Waiting"))</f>
        <v>#DIV/0!</v>
      </c>
      <c r="S188" s="12" t="e">
        <f>IF($A188="","",IFERROR(INDEX(Scores!$Y$2:$Y$225,MATCH($A188,Scores!$A$2:$A$225,0)),""))</f>
        <v>#DIV/0!</v>
      </c>
    </row>
    <row r="189" spans="1:19">
      <c r="A189" s="12" t="e">
        <f>IF(INT((184)/Setup!$B$13)+1&lt;=Setup!$B$5,INDEX(Scores!$A$2:$A$225,2+(INT((184)/Setup!$B$13)+1-1)*28+(MOD(184,Setup!$B$13)+1-1)-1),"")</f>
        <v>#DIV/0!</v>
      </c>
      <c r="B189" s="12" t="e">
        <f>IF(INT((184)/Setup!$B$13)+1&lt;=Setup!$B$5,CHAR(64+INT((184)/Setup!$B$13)+1),"")</f>
        <v>#DIV/0!</v>
      </c>
      <c r="C189" s="12" t="e">
        <f>IF(INT((184)/Setup!$B$13)+1&lt;=Setup!$B$5,INDEX(Scores!$E$2:$E$225,2+(INT((184)/Setup!$B$13)+1-1)*28+(MOD(184,Setup!$B$13)+1-1)-1),"")</f>
        <v>#DIV/0!</v>
      </c>
      <c r="D189" s="12" t="e">
        <f>IF(INT((184)/Setup!$B$13)+1&lt;=Setup!$B$5,INDEX(Scores!$G$2:$G$225,2+(INT((184)/Setup!$B$13)+1-1)*28+(MOD(184,Setup!$B$13)+1-1)-1),"")</f>
        <v>#DIV/0!</v>
      </c>
      <c r="E189" s="12" t="e">
        <f>IF(INT((184)/Setup!$B$13)+1&lt;=Setup!$B$5,INDEX(Scores!$I$2:$I$225,2+(INT((184)/Setup!$B$13)+1-1)*28+(MOD(184,Setup!$B$13)+1-1)-1),"")</f>
        <v>#DIV/0!</v>
      </c>
      <c r="F189" s="66"/>
      <c r="G189" s="67"/>
      <c r="H189" s="66"/>
      <c r="I189" s="67"/>
      <c r="J189" s="66"/>
      <c r="K189" s="67"/>
      <c r="L189" s="66"/>
      <c r="M189" s="67"/>
      <c r="N189" s="66"/>
      <c r="O189" s="67"/>
      <c r="P189" s="6" t="e">
        <f>IF($A189="","",IFERROR(INDEX(Scores!$T$2:$T$225,MATCH($A189,Scores!$A$2:$A$225,0)),""))</f>
        <v>#DIV/0!</v>
      </c>
      <c r="Q189" s="6" t="e">
        <f>IF($A189="","",IFERROR(INDEX(Scores!$U$2:$U$225,MATCH($A189,Scores!$A$2:$A$225,0)),""))</f>
        <v>#DIV/0!</v>
      </c>
      <c r="R189" s="12" t="e">
        <f>IF($A189="","",IF(IFERROR(INDEX(Scores!$X$2:$X$225,MATCH($A189,Scores!$A$2:$A$225,0)),0)=1,"Complete","Waiting"))</f>
        <v>#DIV/0!</v>
      </c>
      <c r="S189" s="12" t="e">
        <f>IF($A189="","",IFERROR(INDEX(Scores!$Y$2:$Y$225,MATCH($A189,Scores!$A$2:$A$225,0)),""))</f>
        <v>#DIV/0!</v>
      </c>
    </row>
    <row r="190" spans="1:19">
      <c r="A190" s="12" t="e">
        <f>IF(INT((185)/Setup!$B$13)+1&lt;=Setup!$B$5,INDEX(Scores!$A$2:$A$225,2+(INT((185)/Setup!$B$13)+1-1)*28+(MOD(185,Setup!$B$13)+1-1)-1),"")</f>
        <v>#DIV/0!</v>
      </c>
      <c r="B190" s="12" t="e">
        <f>IF(INT((185)/Setup!$B$13)+1&lt;=Setup!$B$5,CHAR(64+INT((185)/Setup!$B$13)+1),"")</f>
        <v>#DIV/0!</v>
      </c>
      <c r="C190" s="12" t="e">
        <f>IF(INT((185)/Setup!$B$13)+1&lt;=Setup!$B$5,INDEX(Scores!$E$2:$E$225,2+(INT((185)/Setup!$B$13)+1-1)*28+(MOD(185,Setup!$B$13)+1-1)-1),"")</f>
        <v>#DIV/0!</v>
      </c>
      <c r="D190" s="12" t="e">
        <f>IF(INT((185)/Setup!$B$13)+1&lt;=Setup!$B$5,INDEX(Scores!$G$2:$G$225,2+(INT((185)/Setup!$B$13)+1-1)*28+(MOD(185,Setup!$B$13)+1-1)-1),"")</f>
        <v>#DIV/0!</v>
      </c>
      <c r="E190" s="12" t="e">
        <f>IF(INT((185)/Setup!$B$13)+1&lt;=Setup!$B$5,INDEX(Scores!$I$2:$I$225,2+(INT((185)/Setup!$B$13)+1-1)*28+(MOD(185,Setup!$B$13)+1-1)-1),"")</f>
        <v>#DIV/0!</v>
      </c>
      <c r="F190" s="66"/>
      <c r="G190" s="67"/>
      <c r="H190" s="66"/>
      <c r="I190" s="67"/>
      <c r="J190" s="66"/>
      <c r="K190" s="67"/>
      <c r="L190" s="66"/>
      <c r="M190" s="67"/>
      <c r="N190" s="66"/>
      <c r="O190" s="67"/>
      <c r="P190" s="6" t="e">
        <f>IF($A190="","",IFERROR(INDEX(Scores!$T$2:$T$225,MATCH($A190,Scores!$A$2:$A$225,0)),""))</f>
        <v>#DIV/0!</v>
      </c>
      <c r="Q190" s="6" t="e">
        <f>IF($A190="","",IFERROR(INDEX(Scores!$U$2:$U$225,MATCH($A190,Scores!$A$2:$A$225,0)),""))</f>
        <v>#DIV/0!</v>
      </c>
      <c r="R190" s="12" t="e">
        <f>IF($A190="","",IF(IFERROR(INDEX(Scores!$X$2:$X$225,MATCH($A190,Scores!$A$2:$A$225,0)),0)=1,"Complete","Waiting"))</f>
        <v>#DIV/0!</v>
      </c>
      <c r="S190" s="12" t="e">
        <f>IF($A190="","",IFERROR(INDEX(Scores!$Y$2:$Y$225,MATCH($A190,Scores!$A$2:$A$225,0)),""))</f>
        <v>#DIV/0!</v>
      </c>
    </row>
    <row r="191" spans="1:19">
      <c r="A191" s="12" t="e">
        <f>IF(INT((186)/Setup!$B$13)+1&lt;=Setup!$B$5,INDEX(Scores!$A$2:$A$225,2+(INT((186)/Setup!$B$13)+1-1)*28+(MOD(186,Setup!$B$13)+1-1)-1),"")</f>
        <v>#DIV/0!</v>
      </c>
      <c r="B191" s="12" t="e">
        <f>IF(INT((186)/Setup!$B$13)+1&lt;=Setup!$B$5,CHAR(64+INT((186)/Setup!$B$13)+1),"")</f>
        <v>#DIV/0!</v>
      </c>
      <c r="C191" s="12" t="e">
        <f>IF(INT((186)/Setup!$B$13)+1&lt;=Setup!$B$5,INDEX(Scores!$E$2:$E$225,2+(INT((186)/Setup!$B$13)+1-1)*28+(MOD(186,Setup!$B$13)+1-1)-1),"")</f>
        <v>#DIV/0!</v>
      </c>
      <c r="D191" s="12" t="e">
        <f>IF(INT((186)/Setup!$B$13)+1&lt;=Setup!$B$5,INDEX(Scores!$G$2:$G$225,2+(INT((186)/Setup!$B$13)+1-1)*28+(MOD(186,Setup!$B$13)+1-1)-1),"")</f>
        <v>#DIV/0!</v>
      </c>
      <c r="E191" s="12" t="e">
        <f>IF(INT((186)/Setup!$B$13)+1&lt;=Setup!$B$5,INDEX(Scores!$I$2:$I$225,2+(INT((186)/Setup!$B$13)+1-1)*28+(MOD(186,Setup!$B$13)+1-1)-1),"")</f>
        <v>#DIV/0!</v>
      </c>
      <c r="F191" s="66"/>
      <c r="G191" s="67"/>
      <c r="H191" s="66"/>
      <c r="I191" s="67"/>
      <c r="J191" s="66"/>
      <c r="K191" s="67"/>
      <c r="L191" s="66"/>
      <c r="M191" s="67"/>
      <c r="N191" s="66"/>
      <c r="O191" s="67"/>
      <c r="P191" s="6" t="e">
        <f>IF($A191="","",IFERROR(INDEX(Scores!$T$2:$T$225,MATCH($A191,Scores!$A$2:$A$225,0)),""))</f>
        <v>#DIV/0!</v>
      </c>
      <c r="Q191" s="6" t="e">
        <f>IF($A191="","",IFERROR(INDEX(Scores!$U$2:$U$225,MATCH($A191,Scores!$A$2:$A$225,0)),""))</f>
        <v>#DIV/0!</v>
      </c>
      <c r="R191" s="12" t="e">
        <f>IF($A191="","",IF(IFERROR(INDEX(Scores!$X$2:$X$225,MATCH($A191,Scores!$A$2:$A$225,0)),0)=1,"Complete","Waiting"))</f>
        <v>#DIV/0!</v>
      </c>
      <c r="S191" s="12" t="e">
        <f>IF($A191="","",IFERROR(INDEX(Scores!$Y$2:$Y$225,MATCH($A191,Scores!$A$2:$A$225,0)),""))</f>
        <v>#DIV/0!</v>
      </c>
    </row>
    <row r="192" spans="1:19">
      <c r="A192" s="12" t="e">
        <f>IF(INT((187)/Setup!$B$13)+1&lt;=Setup!$B$5,INDEX(Scores!$A$2:$A$225,2+(INT((187)/Setup!$B$13)+1-1)*28+(MOD(187,Setup!$B$13)+1-1)-1),"")</f>
        <v>#DIV/0!</v>
      </c>
      <c r="B192" s="12" t="e">
        <f>IF(INT((187)/Setup!$B$13)+1&lt;=Setup!$B$5,CHAR(64+INT((187)/Setup!$B$13)+1),"")</f>
        <v>#DIV/0!</v>
      </c>
      <c r="C192" s="12" t="e">
        <f>IF(INT((187)/Setup!$B$13)+1&lt;=Setup!$B$5,INDEX(Scores!$E$2:$E$225,2+(INT((187)/Setup!$B$13)+1-1)*28+(MOD(187,Setup!$B$13)+1-1)-1),"")</f>
        <v>#DIV/0!</v>
      </c>
      <c r="D192" s="12" t="e">
        <f>IF(INT((187)/Setup!$B$13)+1&lt;=Setup!$B$5,INDEX(Scores!$G$2:$G$225,2+(INT((187)/Setup!$B$13)+1-1)*28+(MOD(187,Setup!$B$13)+1-1)-1),"")</f>
        <v>#DIV/0!</v>
      </c>
      <c r="E192" s="12" t="e">
        <f>IF(INT((187)/Setup!$B$13)+1&lt;=Setup!$B$5,INDEX(Scores!$I$2:$I$225,2+(INT((187)/Setup!$B$13)+1-1)*28+(MOD(187,Setup!$B$13)+1-1)-1),"")</f>
        <v>#DIV/0!</v>
      </c>
      <c r="F192" s="66"/>
      <c r="G192" s="67"/>
      <c r="H192" s="66"/>
      <c r="I192" s="67"/>
      <c r="J192" s="66"/>
      <c r="K192" s="67"/>
      <c r="L192" s="66"/>
      <c r="M192" s="67"/>
      <c r="N192" s="66"/>
      <c r="O192" s="67"/>
      <c r="P192" s="6" t="e">
        <f>IF($A192="","",IFERROR(INDEX(Scores!$T$2:$T$225,MATCH($A192,Scores!$A$2:$A$225,0)),""))</f>
        <v>#DIV/0!</v>
      </c>
      <c r="Q192" s="6" t="e">
        <f>IF($A192="","",IFERROR(INDEX(Scores!$U$2:$U$225,MATCH($A192,Scores!$A$2:$A$225,0)),""))</f>
        <v>#DIV/0!</v>
      </c>
      <c r="R192" s="12" t="e">
        <f>IF($A192="","",IF(IFERROR(INDEX(Scores!$X$2:$X$225,MATCH($A192,Scores!$A$2:$A$225,0)),0)=1,"Complete","Waiting"))</f>
        <v>#DIV/0!</v>
      </c>
      <c r="S192" s="12" t="e">
        <f>IF($A192="","",IFERROR(INDEX(Scores!$Y$2:$Y$225,MATCH($A192,Scores!$A$2:$A$225,0)),""))</f>
        <v>#DIV/0!</v>
      </c>
    </row>
    <row r="193" spans="1:19">
      <c r="A193" s="12" t="e">
        <f>IF(INT((188)/Setup!$B$13)+1&lt;=Setup!$B$5,INDEX(Scores!$A$2:$A$225,2+(INT((188)/Setup!$B$13)+1-1)*28+(MOD(188,Setup!$B$13)+1-1)-1),"")</f>
        <v>#DIV/0!</v>
      </c>
      <c r="B193" s="12" t="e">
        <f>IF(INT((188)/Setup!$B$13)+1&lt;=Setup!$B$5,CHAR(64+INT((188)/Setup!$B$13)+1),"")</f>
        <v>#DIV/0!</v>
      </c>
      <c r="C193" s="12" t="e">
        <f>IF(INT((188)/Setup!$B$13)+1&lt;=Setup!$B$5,INDEX(Scores!$E$2:$E$225,2+(INT((188)/Setup!$B$13)+1-1)*28+(MOD(188,Setup!$B$13)+1-1)-1),"")</f>
        <v>#DIV/0!</v>
      </c>
      <c r="D193" s="12" t="e">
        <f>IF(INT((188)/Setup!$B$13)+1&lt;=Setup!$B$5,INDEX(Scores!$G$2:$G$225,2+(INT((188)/Setup!$B$13)+1-1)*28+(MOD(188,Setup!$B$13)+1-1)-1),"")</f>
        <v>#DIV/0!</v>
      </c>
      <c r="E193" s="12" t="e">
        <f>IF(INT((188)/Setup!$B$13)+1&lt;=Setup!$B$5,INDEX(Scores!$I$2:$I$225,2+(INT((188)/Setup!$B$13)+1-1)*28+(MOD(188,Setup!$B$13)+1-1)-1),"")</f>
        <v>#DIV/0!</v>
      </c>
      <c r="F193" s="66"/>
      <c r="G193" s="67"/>
      <c r="H193" s="66"/>
      <c r="I193" s="67"/>
      <c r="J193" s="66"/>
      <c r="K193" s="67"/>
      <c r="L193" s="66"/>
      <c r="M193" s="67"/>
      <c r="N193" s="66"/>
      <c r="O193" s="67"/>
      <c r="P193" s="6" t="e">
        <f>IF($A193="","",IFERROR(INDEX(Scores!$T$2:$T$225,MATCH($A193,Scores!$A$2:$A$225,0)),""))</f>
        <v>#DIV/0!</v>
      </c>
      <c r="Q193" s="6" t="e">
        <f>IF($A193="","",IFERROR(INDEX(Scores!$U$2:$U$225,MATCH($A193,Scores!$A$2:$A$225,0)),""))</f>
        <v>#DIV/0!</v>
      </c>
      <c r="R193" s="12" t="e">
        <f>IF($A193="","",IF(IFERROR(INDEX(Scores!$X$2:$X$225,MATCH($A193,Scores!$A$2:$A$225,0)),0)=1,"Complete","Waiting"))</f>
        <v>#DIV/0!</v>
      </c>
      <c r="S193" s="12" t="e">
        <f>IF($A193="","",IFERROR(INDEX(Scores!$Y$2:$Y$225,MATCH($A193,Scores!$A$2:$A$225,0)),""))</f>
        <v>#DIV/0!</v>
      </c>
    </row>
    <row r="194" spans="1:19">
      <c r="A194" s="12" t="e">
        <f>IF(INT((189)/Setup!$B$13)+1&lt;=Setup!$B$5,INDEX(Scores!$A$2:$A$225,2+(INT((189)/Setup!$B$13)+1-1)*28+(MOD(189,Setup!$B$13)+1-1)-1),"")</f>
        <v>#DIV/0!</v>
      </c>
      <c r="B194" s="12" t="e">
        <f>IF(INT((189)/Setup!$B$13)+1&lt;=Setup!$B$5,CHAR(64+INT((189)/Setup!$B$13)+1),"")</f>
        <v>#DIV/0!</v>
      </c>
      <c r="C194" s="12" t="e">
        <f>IF(INT((189)/Setup!$B$13)+1&lt;=Setup!$B$5,INDEX(Scores!$E$2:$E$225,2+(INT((189)/Setup!$B$13)+1-1)*28+(MOD(189,Setup!$B$13)+1-1)-1),"")</f>
        <v>#DIV/0!</v>
      </c>
      <c r="D194" s="12" t="e">
        <f>IF(INT((189)/Setup!$B$13)+1&lt;=Setup!$B$5,INDEX(Scores!$G$2:$G$225,2+(INT((189)/Setup!$B$13)+1-1)*28+(MOD(189,Setup!$B$13)+1-1)-1),"")</f>
        <v>#DIV/0!</v>
      </c>
      <c r="E194" s="12" t="e">
        <f>IF(INT((189)/Setup!$B$13)+1&lt;=Setup!$B$5,INDEX(Scores!$I$2:$I$225,2+(INT((189)/Setup!$B$13)+1-1)*28+(MOD(189,Setup!$B$13)+1-1)-1),"")</f>
        <v>#DIV/0!</v>
      </c>
      <c r="F194" s="66"/>
      <c r="G194" s="67"/>
      <c r="H194" s="66"/>
      <c r="I194" s="67"/>
      <c r="J194" s="66"/>
      <c r="K194" s="67"/>
      <c r="L194" s="66"/>
      <c r="M194" s="67"/>
      <c r="N194" s="66"/>
      <c r="O194" s="67"/>
      <c r="P194" s="6" t="e">
        <f>IF($A194="","",IFERROR(INDEX(Scores!$T$2:$T$225,MATCH($A194,Scores!$A$2:$A$225,0)),""))</f>
        <v>#DIV/0!</v>
      </c>
      <c r="Q194" s="6" t="e">
        <f>IF($A194="","",IFERROR(INDEX(Scores!$U$2:$U$225,MATCH($A194,Scores!$A$2:$A$225,0)),""))</f>
        <v>#DIV/0!</v>
      </c>
      <c r="R194" s="12" t="e">
        <f>IF($A194="","",IF(IFERROR(INDEX(Scores!$X$2:$X$225,MATCH($A194,Scores!$A$2:$A$225,0)),0)=1,"Complete","Waiting"))</f>
        <v>#DIV/0!</v>
      </c>
      <c r="S194" s="12" t="e">
        <f>IF($A194="","",IFERROR(INDEX(Scores!$Y$2:$Y$225,MATCH($A194,Scores!$A$2:$A$225,0)),""))</f>
        <v>#DIV/0!</v>
      </c>
    </row>
    <row r="195" spans="1:19">
      <c r="A195" s="12" t="e">
        <f>IF(INT((190)/Setup!$B$13)+1&lt;=Setup!$B$5,INDEX(Scores!$A$2:$A$225,2+(INT((190)/Setup!$B$13)+1-1)*28+(MOD(190,Setup!$B$13)+1-1)-1),"")</f>
        <v>#DIV/0!</v>
      </c>
      <c r="B195" s="12" t="e">
        <f>IF(INT((190)/Setup!$B$13)+1&lt;=Setup!$B$5,CHAR(64+INT((190)/Setup!$B$13)+1),"")</f>
        <v>#DIV/0!</v>
      </c>
      <c r="C195" s="12" t="e">
        <f>IF(INT((190)/Setup!$B$13)+1&lt;=Setup!$B$5,INDEX(Scores!$E$2:$E$225,2+(INT((190)/Setup!$B$13)+1-1)*28+(MOD(190,Setup!$B$13)+1-1)-1),"")</f>
        <v>#DIV/0!</v>
      </c>
      <c r="D195" s="12" t="e">
        <f>IF(INT((190)/Setup!$B$13)+1&lt;=Setup!$B$5,INDEX(Scores!$G$2:$G$225,2+(INT((190)/Setup!$B$13)+1-1)*28+(MOD(190,Setup!$B$13)+1-1)-1),"")</f>
        <v>#DIV/0!</v>
      </c>
      <c r="E195" s="12" t="e">
        <f>IF(INT((190)/Setup!$B$13)+1&lt;=Setup!$B$5,INDEX(Scores!$I$2:$I$225,2+(INT((190)/Setup!$B$13)+1-1)*28+(MOD(190,Setup!$B$13)+1-1)-1),"")</f>
        <v>#DIV/0!</v>
      </c>
      <c r="F195" s="66"/>
      <c r="G195" s="67"/>
      <c r="H195" s="66"/>
      <c r="I195" s="67"/>
      <c r="J195" s="66"/>
      <c r="K195" s="67"/>
      <c r="L195" s="66"/>
      <c r="M195" s="67"/>
      <c r="N195" s="66"/>
      <c r="O195" s="67"/>
      <c r="P195" s="6" t="e">
        <f>IF($A195="","",IFERROR(INDEX(Scores!$T$2:$T$225,MATCH($A195,Scores!$A$2:$A$225,0)),""))</f>
        <v>#DIV/0!</v>
      </c>
      <c r="Q195" s="6" t="e">
        <f>IF($A195="","",IFERROR(INDEX(Scores!$U$2:$U$225,MATCH($A195,Scores!$A$2:$A$225,0)),""))</f>
        <v>#DIV/0!</v>
      </c>
      <c r="R195" s="12" t="e">
        <f>IF($A195="","",IF(IFERROR(INDEX(Scores!$X$2:$X$225,MATCH($A195,Scores!$A$2:$A$225,0)),0)=1,"Complete","Waiting"))</f>
        <v>#DIV/0!</v>
      </c>
      <c r="S195" s="12" t="e">
        <f>IF($A195="","",IFERROR(INDEX(Scores!$Y$2:$Y$225,MATCH($A195,Scores!$A$2:$A$225,0)),""))</f>
        <v>#DIV/0!</v>
      </c>
    </row>
    <row r="196" spans="1:19">
      <c r="A196" s="12" t="e">
        <f>IF(INT((191)/Setup!$B$13)+1&lt;=Setup!$B$5,INDEX(Scores!$A$2:$A$225,2+(INT((191)/Setup!$B$13)+1-1)*28+(MOD(191,Setup!$B$13)+1-1)-1),"")</f>
        <v>#DIV/0!</v>
      </c>
      <c r="B196" s="12" t="e">
        <f>IF(INT((191)/Setup!$B$13)+1&lt;=Setup!$B$5,CHAR(64+INT((191)/Setup!$B$13)+1),"")</f>
        <v>#DIV/0!</v>
      </c>
      <c r="C196" s="12" t="e">
        <f>IF(INT((191)/Setup!$B$13)+1&lt;=Setup!$B$5,INDEX(Scores!$E$2:$E$225,2+(INT((191)/Setup!$B$13)+1-1)*28+(MOD(191,Setup!$B$13)+1-1)-1),"")</f>
        <v>#DIV/0!</v>
      </c>
      <c r="D196" s="12" t="e">
        <f>IF(INT((191)/Setup!$B$13)+1&lt;=Setup!$B$5,INDEX(Scores!$G$2:$G$225,2+(INT((191)/Setup!$B$13)+1-1)*28+(MOD(191,Setup!$B$13)+1-1)-1),"")</f>
        <v>#DIV/0!</v>
      </c>
      <c r="E196" s="12" t="e">
        <f>IF(INT((191)/Setup!$B$13)+1&lt;=Setup!$B$5,INDEX(Scores!$I$2:$I$225,2+(INT((191)/Setup!$B$13)+1-1)*28+(MOD(191,Setup!$B$13)+1-1)-1),"")</f>
        <v>#DIV/0!</v>
      </c>
      <c r="F196" s="66"/>
      <c r="G196" s="67"/>
      <c r="H196" s="66"/>
      <c r="I196" s="67"/>
      <c r="J196" s="66"/>
      <c r="K196" s="67"/>
      <c r="L196" s="66"/>
      <c r="M196" s="67"/>
      <c r="N196" s="66"/>
      <c r="O196" s="67"/>
      <c r="P196" s="6" t="e">
        <f>IF($A196="","",IFERROR(INDEX(Scores!$T$2:$T$225,MATCH($A196,Scores!$A$2:$A$225,0)),""))</f>
        <v>#DIV/0!</v>
      </c>
      <c r="Q196" s="6" t="e">
        <f>IF($A196="","",IFERROR(INDEX(Scores!$U$2:$U$225,MATCH($A196,Scores!$A$2:$A$225,0)),""))</f>
        <v>#DIV/0!</v>
      </c>
      <c r="R196" s="12" t="e">
        <f>IF($A196="","",IF(IFERROR(INDEX(Scores!$X$2:$X$225,MATCH($A196,Scores!$A$2:$A$225,0)),0)=1,"Complete","Waiting"))</f>
        <v>#DIV/0!</v>
      </c>
      <c r="S196" s="12" t="e">
        <f>IF($A196="","",IFERROR(INDEX(Scores!$Y$2:$Y$225,MATCH($A196,Scores!$A$2:$A$225,0)),""))</f>
        <v>#DIV/0!</v>
      </c>
    </row>
    <row r="197" spans="1:19">
      <c r="A197" s="12" t="e">
        <f>IF(INT((192)/Setup!$B$13)+1&lt;=Setup!$B$5,INDEX(Scores!$A$2:$A$225,2+(INT((192)/Setup!$B$13)+1-1)*28+(MOD(192,Setup!$B$13)+1-1)-1),"")</f>
        <v>#DIV/0!</v>
      </c>
      <c r="B197" s="12" t="e">
        <f>IF(INT((192)/Setup!$B$13)+1&lt;=Setup!$B$5,CHAR(64+INT((192)/Setup!$B$13)+1),"")</f>
        <v>#DIV/0!</v>
      </c>
      <c r="C197" s="12" t="e">
        <f>IF(INT((192)/Setup!$B$13)+1&lt;=Setup!$B$5,INDEX(Scores!$E$2:$E$225,2+(INT((192)/Setup!$B$13)+1-1)*28+(MOD(192,Setup!$B$13)+1-1)-1),"")</f>
        <v>#DIV/0!</v>
      </c>
      <c r="D197" s="12" t="e">
        <f>IF(INT((192)/Setup!$B$13)+1&lt;=Setup!$B$5,INDEX(Scores!$G$2:$G$225,2+(INT((192)/Setup!$B$13)+1-1)*28+(MOD(192,Setup!$B$13)+1-1)-1),"")</f>
        <v>#DIV/0!</v>
      </c>
      <c r="E197" s="12" t="e">
        <f>IF(INT((192)/Setup!$B$13)+1&lt;=Setup!$B$5,INDEX(Scores!$I$2:$I$225,2+(INT((192)/Setup!$B$13)+1-1)*28+(MOD(192,Setup!$B$13)+1-1)-1),"")</f>
        <v>#DIV/0!</v>
      </c>
      <c r="F197" s="66"/>
      <c r="G197" s="67"/>
      <c r="H197" s="66"/>
      <c r="I197" s="67"/>
      <c r="J197" s="66"/>
      <c r="K197" s="67"/>
      <c r="L197" s="66"/>
      <c r="M197" s="67"/>
      <c r="N197" s="66"/>
      <c r="O197" s="67"/>
      <c r="P197" s="6" t="e">
        <f>IF($A197="","",IFERROR(INDEX(Scores!$T$2:$T$225,MATCH($A197,Scores!$A$2:$A$225,0)),""))</f>
        <v>#DIV/0!</v>
      </c>
      <c r="Q197" s="6" t="e">
        <f>IF($A197="","",IFERROR(INDEX(Scores!$U$2:$U$225,MATCH($A197,Scores!$A$2:$A$225,0)),""))</f>
        <v>#DIV/0!</v>
      </c>
      <c r="R197" s="12" t="e">
        <f>IF($A197="","",IF(IFERROR(INDEX(Scores!$X$2:$X$225,MATCH($A197,Scores!$A$2:$A$225,0)),0)=1,"Complete","Waiting"))</f>
        <v>#DIV/0!</v>
      </c>
      <c r="S197" s="12" t="e">
        <f>IF($A197="","",IFERROR(INDEX(Scores!$Y$2:$Y$225,MATCH($A197,Scores!$A$2:$A$225,0)),""))</f>
        <v>#DIV/0!</v>
      </c>
    </row>
    <row r="198" spans="1:19">
      <c r="A198" s="12" t="e">
        <f>IF(INT((193)/Setup!$B$13)+1&lt;=Setup!$B$5,INDEX(Scores!$A$2:$A$225,2+(INT((193)/Setup!$B$13)+1-1)*28+(MOD(193,Setup!$B$13)+1-1)-1),"")</f>
        <v>#DIV/0!</v>
      </c>
      <c r="B198" s="12" t="e">
        <f>IF(INT((193)/Setup!$B$13)+1&lt;=Setup!$B$5,CHAR(64+INT((193)/Setup!$B$13)+1),"")</f>
        <v>#DIV/0!</v>
      </c>
      <c r="C198" s="12" t="e">
        <f>IF(INT((193)/Setup!$B$13)+1&lt;=Setup!$B$5,INDEX(Scores!$E$2:$E$225,2+(INT((193)/Setup!$B$13)+1-1)*28+(MOD(193,Setup!$B$13)+1-1)-1),"")</f>
        <v>#DIV/0!</v>
      </c>
      <c r="D198" s="12" t="e">
        <f>IF(INT((193)/Setup!$B$13)+1&lt;=Setup!$B$5,INDEX(Scores!$G$2:$G$225,2+(INT((193)/Setup!$B$13)+1-1)*28+(MOD(193,Setup!$B$13)+1-1)-1),"")</f>
        <v>#DIV/0!</v>
      </c>
      <c r="E198" s="12" t="e">
        <f>IF(INT((193)/Setup!$B$13)+1&lt;=Setup!$B$5,INDEX(Scores!$I$2:$I$225,2+(INT((193)/Setup!$B$13)+1-1)*28+(MOD(193,Setup!$B$13)+1-1)-1),"")</f>
        <v>#DIV/0!</v>
      </c>
      <c r="F198" s="66"/>
      <c r="G198" s="67"/>
      <c r="H198" s="66"/>
      <c r="I198" s="67"/>
      <c r="J198" s="66"/>
      <c r="K198" s="67"/>
      <c r="L198" s="66"/>
      <c r="M198" s="67"/>
      <c r="N198" s="66"/>
      <c r="O198" s="67"/>
      <c r="P198" s="6" t="e">
        <f>IF($A198="","",IFERROR(INDEX(Scores!$T$2:$T$225,MATCH($A198,Scores!$A$2:$A$225,0)),""))</f>
        <v>#DIV/0!</v>
      </c>
      <c r="Q198" s="6" t="e">
        <f>IF($A198="","",IFERROR(INDEX(Scores!$U$2:$U$225,MATCH($A198,Scores!$A$2:$A$225,0)),""))</f>
        <v>#DIV/0!</v>
      </c>
      <c r="R198" s="12" t="e">
        <f>IF($A198="","",IF(IFERROR(INDEX(Scores!$X$2:$X$225,MATCH($A198,Scores!$A$2:$A$225,0)),0)=1,"Complete","Waiting"))</f>
        <v>#DIV/0!</v>
      </c>
      <c r="S198" s="12" t="e">
        <f>IF($A198="","",IFERROR(INDEX(Scores!$Y$2:$Y$225,MATCH($A198,Scores!$A$2:$A$225,0)),""))</f>
        <v>#DIV/0!</v>
      </c>
    </row>
    <row r="199" spans="1:19">
      <c r="A199" s="12" t="e">
        <f>IF(INT((194)/Setup!$B$13)+1&lt;=Setup!$B$5,INDEX(Scores!$A$2:$A$225,2+(INT((194)/Setup!$B$13)+1-1)*28+(MOD(194,Setup!$B$13)+1-1)-1),"")</f>
        <v>#DIV/0!</v>
      </c>
      <c r="B199" s="12" t="e">
        <f>IF(INT((194)/Setup!$B$13)+1&lt;=Setup!$B$5,CHAR(64+INT((194)/Setup!$B$13)+1),"")</f>
        <v>#DIV/0!</v>
      </c>
      <c r="C199" s="12" t="e">
        <f>IF(INT((194)/Setup!$B$13)+1&lt;=Setup!$B$5,INDEX(Scores!$E$2:$E$225,2+(INT((194)/Setup!$B$13)+1-1)*28+(MOD(194,Setup!$B$13)+1-1)-1),"")</f>
        <v>#DIV/0!</v>
      </c>
      <c r="D199" s="12" t="e">
        <f>IF(INT((194)/Setup!$B$13)+1&lt;=Setup!$B$5,INDEX(Scores!$G$2:$G$225,2+(INT((194)/Setup!$B$13)+1-1)*28+(MOD(194,Setup!$B$13)+1-1)-1),"")</f>
        <v>#DIV/0!</v>
      </c>
      <c r="E199" s="12" t="e">
        <f>IF(INT((194)/Setup!$B$13)+1&lt;=Setup!$B$5,INDEX(Scores!$I$2:$I$225,2+(INT((194)/Setup!$B$13)+1-1)*28+(MOD(194,Setup!$B$13)+1-1)-1),"")</f>
        <v>#DIV/0!</v>
      </c>
      <c r="F199" s="66"/>
      <c r="G199" s="67"/>
      <c r="H199" s="66"/>
      <c r="I199" s="67"/>
      <c r="J199" s="66"/>
      <c r="K199" s="67"/>
      <c r="L199" s="66"/>
      <c r="M199" s="67"/>
      <c r="N199" s="66"/>
      <c r="O199" s="67"/>
      <c r="P199" s="6" t="e">
        <f>IF($A199="","",IFERROR(INDEX(Scores!$T$2:$T$225,MATCH($A199,Scores!$A$2:$A$225,0)),""))</f>
        <v>#DIV/0!</v>
      </c>
      <c r="Q199" s="6" t="e">
        <f>IF($A199="","",IFERROR(INDEX(Scores!$U$2:$U$225,MATCH($A199,Scores!$A$2:$A$225,0)),""))</f>
        <v>#DIV/0!</v>
      </c>
      <c r="R199" s="12" t="e">
        <f>IF($A199="","",IF(IFERROR(INDEX(Scores!$X$2:$X$225,MATCH($A199,Scores!$A$2:$A$225,0)),0)=1,"Complete","Waiting"))</f>
        <v>#DIV/0!</v>
      </c>
      <c r="S199" s="12" t="e">
        <f>IF($A199="","",IFERROR(INDEX(Scores!$Y$2:$Y$225,MATCH($A199,Scores!$A$2:$A$225,0)),""))</f>
        <v>#DIV/0!</v>
      </c>
    </row>
    <row r="200" spans="1:19">
      <c r="A200" s="12" t="e">
        <f>IF(INT((195)/Setup!$B$13)+1&lt;=Setup!$B$5,INDEX(Scores!$A$2:$A$225,2+(INT((195)/Setup!$B$13)+1-1)*28+(MOD(195,Setup!$B$13)+1-1)-1),"")</f>
        <v>#DIV/0!</v>
      </c>
      <c r="B200" s="12" t="e">
        <f>IF(INT((195)/Setup!$B$13)+1&lt;=Setup!$B$5,CHAR(64+INT((195)/Setup!$B$13)+1),"")</f>
        <v>#DIV/0!</v>
      </c>
      <c r="C200" s="12" t="e">
        <f>IF(INT((195)/Setup!$B$13)+1&lt;=Setup!$B$5,INDEX(Scores!$E$2:$E$225,2+(INT((195)/Setup!$B$13)+1-1)*28+(MOD(195,Setup!$B$13)+1-1)-1),"")</f>
        <v>#DIV/0!</v>
      </c>
      <c r="D200" s="12" t="e">
        <f>IF(INT((195)/Setup!$B$13)+1&lt;=Setup!$B$5,INDEX(Scores!$G$2:$G$225,2+(INT((195)/Setup!$B$13)+1-1)*28+(MOD(195,Setup!$B$13)+1-1)-1),"")</f>
        <v>#DIV/0!</v>
      </c>
      <c r="E200" s="12" t="e">
        <f>IF(INT((195)/Setup!$B$13)+1&lt;=Setup!$B$5,INDEX(Scores!$I$2:$I$225,2+(INT((195)/Setup!$B$13)+1-1)*28+(MOD(195,Setup!$B$13)+1-1)-1),"")</f>
        <v>#DIV/0!</v>
      </c>
      <c r="F200" s="66"/>
      <c r="G200" s="67"/>
      <c r="H200" s="66"/>
      <c r="I200" s="67"/>
      <c r="J200" s="66"/>
      <c r="K200" s="67"/>
      <c r="L200" s="66"/>
      <c r="M200" s="67"/>
      <c r="N200" s="66"/>
      <c r="O200" s="67"/>
      <c r="P200" s="6" t="e">
        <f>IF($A200="","",IFERROR(INDEX(Scores!$T$2:$T$225,MATCH($A200,Scores!$A$2:$A$225,0)),""))</f>
        <v>#DIV/0!</v>
      </c>
      <c r="Q200" s="6" t="e">
        <f>IF($A200="","",IFERROR(INDEX(Scores!$U$2:$U$225,MATCH($A200,Scores!$A$2:$A$225,0)),""))</f>
        <v>#DIV/0!</v>
      </c>
      <c r="R200" s="12" t="e">
        <f>IF($A200="","",IF(IFERROR(INDEX(Scores!$X$2:$X$225,MATCH($A200,Scores!$A$2:$A$225,0)),0)=1,"Complete","Waiting"))</f>
        <v>#DIV/0!</v>
      </c>
      <c r="S200" s="12" t="e">
        <f>IF($A200="","",IFERROR(INDEX(Scores!$Y$2:$Y$225,MATCH($A200,Scores!$A$2:$A$225,0)),""))</f>
        <v>#DIV/0!</v>
      </c>
    </row>
    <row r="201" spans="1:19">
      <c r="A201" s="12" t="e">
        <f>IF(INT((196)/Setup!$B$13)+1&lt;=Setup!$B$5,INDEX(Scores!$A$2:$A$225,2+(INT((196)/Setup!$B$13)+1-1)*28+(MOD(196,Setup!$B$13)+1-1)-1),"")</f>
        <v>#DIV/0!</v>
      </c>
      <c r="B201" s="12" t="e">
        <f>IF(INT((196)/Setup!$B$13)+1&lt;=Setup!$B$5,CHAR(64+INT((196)/Setup!$B$13)+1),"")</f>
        <v>#DIV/0!</v>
      </c>
      <c r="C201" s="12" t="e">
        <f>IF(INT((196)/Setup!$B$13)+1&lt;=Setup!$B$5,INDEX(Scores!$E$2:$E$225,2+(INT((196)/Setup!$B$13)+1-1)*28+(MOD(196,Setup!$B$13)+1-1)-1),"")</f>
        <v>#DIV/0!</v>
      </c>
      <c r="D201" s="12" t="e">
        <f>IF(INT((196)/Setup!$B$13)+1&lt;=Setup!$B$5,INDEX(Scores!$G$2:$G$225,2+(INT((196)/Setup!$B$13)+1-1)*28+(MOD(196,Setup!$B$13)+1-1)-1),"")</f>
        <v>#DIV/0!</v>
      </c>
      <c r="E201" s="12" t="e">
        <f>IF(INT((196)/Setup!$B$13)+1&lt;=Setup!$B$5,INDEX(Scores!$I$2:$I$225,2+(INT((196)/Setup!$B$13)+1-1)*28+(MOD(196,Setup!$B$13)+1-1)-1),"")</f>
        <v>#DIV/0!</v>
      </c>
      <c r="F201" s="66"/>
      <c r="G201" s="67"/>
      <c r="H201" s="66"/>
      <c r="I201" s="67"/>
      <c r="J201" s="66"/>
      <c r="K201" s="67"/>
      <c r="L201" s="66"/>
      <c r="M201" s="67"/>
      <c r="N201" s="66"/>
      <c r="O201" s="67"/>
      <c r="P201" s="6" t="e">
        <f>IF($A201="","",IFERROR(INDEX(Scores!$T$2:$T$225,MATCH($A201,Scores!$A$2:$A$225,0)),""))</f>
        <v>#DIV/0!</v>
      </c>
      <c r="Q201" s="6" t="e">
        <f>IF($A201="","",IFERROR(INDEX(Scores!$U$2:$U$225,MATCH($A201,Scores!$A$2:$A$225,0)),""))</f>
        <v>#DIV/0!</v>
      </c>
      <c r="R201" s="12" t="e">
        <f>IF($A201="","",IF(IFERROR(INDEX(Scores!$X$2:$X$225,MATCH($A201,Scores!$A$2:$A$225,0)),0)=1,"Complete","Waiting"))</f>
        <v>#DIV/0!</v>
      </c>
      <c r="S201" s="12" t="e">
        <f>IF($A201="","",IFERROR(INDEX(Scores!$Y$2:$Y$225,MATCH($A201,Scores!$A$2:$A$225,0)),""))</f>
        <v>#DIV/0!</v>
      </c>
    </row>
    <row r="202" spans="1:19">
      <c r="A202" s="12" t="e">
        <f>IF(INT((197)/Setup!$B$13)+1&lt;=Setup!$B$5,INDEX(Scores!$A$2:$A$225,2+(INT((197)/Setup!$B$13)+1-1)*28+(MOD(197,Setup!$B$13)+1-1)-1),"")</f>
        <v>#DIV/0!</v>
      </c>
      <c r="B202" s="12" t="e">
        <f>IF(INT((197)/Setup!$B$13)+1&lt;=Setup!$B$5,CHAR(64+INT((197)/Setup!$B$13)+1),"")</f>
        <v>#DIV/0!</v>
      </c>
      <c r="C202" s="12" t="e">
        <f>IF(INT((197)/Setup!$B$13)+1&lt;=Setup!$B$5,INDEX(Scores!$E$2:$E$225,2+(INT((197)/Setup!$B$13)+1-1)*28+(MOD(197,Setup!$B$13)+1-1)-1),"")</f>
        <v>#DIV/0!</v>
      </c>
      <c r="D202" s="12" t="e">
        <f>IF(INT((197)/Setup!$B$13)+1&lt;=Setup!$B$5,INDEX(Scores!$G$2:$G$225,2+(INT((197)/Setup!$B$13)+1-1)*28+(MOD(197,Setup!$B$13)+1-1)-1),"")</f>
        <v>#DIV/0!</v>
      </c>
      <c r="E202" s="12" t="e">
        <f>IF(INT((197)/Setup!$B$13)+1&lt;=Setup!$B$5,INDEX(Scores!$I$2:$I$225,2+(INT((197)/Setup!$B$13)+1-1)*28+(MOD(197,Setup!$B$13)+1-1)-1),"")</f>
        <v>#DIV/0!</v>
      </c>
      <c r="F202" s="66"/>
      <c r="G202" s="67"/>
      <c r="H202" s="66"/>
      <c r="I202" s="67"/>
      <c r="J202" s="66"/>
      <c r="K202" s="67"/>
      <c r="L202" s="66"/>
      <c r="M202" s="67"/>
      <c r="N202" s="66"/>
      <c r="O202" s="67"/>
      <c r="P202" s="6" t="e">
        <f>IF($A202="","",IFERROR(INDEX(Scores!$T$2:$T$225,MATCH($A202,Scores!$A$2:$A$225,0)),""))</f>
        <v>#DIV/0!</v>
      </c>
      <c r="Q202" s="6" t="e">
        <f>IF($A202="","",IFERROR(INDEX(Scores!$U$2:$U$225,MATCH($A202,Scores!$A$2:$A$225,0)),""))</f>
        <v>#DIV/0!</v>
      </c>
      <c r="R202" s="12" t="e">
        <f>IF($A202="","",IF(IFERROR(INDEX(Scores!$X$2:$X$225,MATCH($A202,Scores!$A$2:$A$225,0)),0)=1,"Complete","Waiting"))</f>
        <v>#DIV/0!</v>
      </c>
      <c r="S202" s="12" t="e">
        <f>IF($A202="","",IFERROR(INDEX(Scores!$Y$2:$Y$225,MATCH($A202,Scores!$A$2:$A$225,0)),""))</f>
        <v>#DIV/0!</v>
      </c>
    </row>
    <row r="203" spans="1:19">
      <c r="A203" s="12" t="e">
        <f>IF(INT((198)/Setup!$B$13)+1&lt;=Setup!$B$5,INDEX(Scores!$A$2:$A$225,2+(INT((198)/Setup!$B$13)+1-1)*28+(MOD(198,Setup!$B$13)+1-1)-1),"")</f>
        <v>#DIV/0!</v>
      </c>
      <c r="B203" s="12" t="e">
        <f>IF(INT((198)/Setup!$B$13)+1&lt;=Setup!$B$5,CHAR(64+INT((198)/Setup!$B$13)+1),"")</f>
        <v>#DIV/0!</v>
      </c>
      <c r="C203" s="12" t="e">
        <f>IF(INT((198)/Setup!$B$13)+1&lt;=Setup!$B$5,INDEX(Scores!$E$2:$E$225,2+(INT((198)/Setup!$B$13)+1-1)*28+(MOD(198,Setup!$B$13)+1-1)-1),"")</f>
        <v>#DIV/0!</v>
      </c>
      <c r="D203" s="12" t="e">
        <f>IF(INT((198)/Setup!$B$13)+1&lt;=Setup!$B$5,INDEX(Scores!$G$2:$G$225,2+(INT((198)/Setup!$B$13)+1-1)*28+(MOD(198,Setup!$B$13)+1-1)-1),"")</f>
        <v>#DIV/0!</v>
      </c>
      <c r="E203" s="12" t="e">
        <f>IF(INT((198)/Setup!$B$13)+1&lt;=Setup!$B$5,INDEX(Scores!$I$2:$I$225,2+(INT((198)/Setup!$B$13)+1-1)*28+(MOD(198,Setup!$B$13)+1-1)-1),"")</f>
        <v>#DIV/0!</v>
      </c>
      <c r="F203" s="66"/>
      <c r="G203" s="67"/>
      <c r="H203" s="66"/>
      <c r="I203" s="67"/>
      <c r="J203" s="66"/>
      <c r="K203" s="67"/>
      <c r="L203" s="66"/>
      <c r="M203" s="67"/>
      <c r="N203" s="66"/>
      <c r="O203" s="67"/>
      <c r="P203" s="6" t="e">
        <f>IF($A203="","",IFERROR(INDEX(Scores!$T$2:$T$225,MATCH($A203,Scores!$A$2:$A$225,0)),""))</f>
        <v>#DIV/0!</v>
      </c>
      <c r="Q203" s="6" t="e">
        <f>IF($A203="","",IFERROR(INDEX(Scores!$U$2:$U$225,MATCH($A203,Scores!$A$2:$A$225,0)),""))</f>
        <v>#DIV/0!</v>
      </c>
      <c r="R203" s="12" t="e">
        <f>IF($A203="","",IF(IFERROR(INDEX(Scores!$X$2:$X$225,MATCH($A203,Scores!$A$2:$A$225,0)),0)=1,"Complete","Waiting"))</f>
        <v>#DIV/0!</v>
      </c>
      <c r="S203" s="12" t="e">
        <f>IF($A203="","",IFERROR(INDEX(Scores!$Y$2:$Y$225,MATCH($A203,Scores!$A$2:$A$225,0)),""))</f>
        <v>#DIV/0!</v>
      </c>
    </row>
    <row r="204" spans="1:19">
      <c r="A204" s="12" t="e">
        <f>IF(INT((199)/Setup!$B$13)+1&lt;=Setup!$B$5,INDEX(Scores!$A$2:$A$225,2+(INT((199)/Setup!$B$13)+1-1)*28+(MOD(199,Setup!$B$13)+1-1)-1),"")</f>
        <v>#DIV/0!</v>
      </c>
      <c r="B204" s="12" t="e">
        <f>IF(INT((199)/Setup!$B$13)+1&lt;=Setup!$B$5,CHAR(64+INT((199)/Setup!$B$13)+1),"")</f>
        <v>#DIV/0!</v>
      </c>
      <c r="C204" s="12" t="e">
        <f>IF(INT((199)/Setup!$B$13)+1&lt;=Setup!$B$5,INDEX(Scores!$E$2:$E$225,2+(INT((199)/Setup!$B$13)+1-1)*28+(MOD(199,Setup!$B$13)+1-1)-1),"")</f>
        <v>#DIV/0!</v>
      </c>
      <c r="D204" s="12" t="e">
        <f>IF(INT((199)/Setup!$B$13)+1&lt;=Setup!$B$5,INDEX(Scores!$G$2:$G$225,2+(INT((199)/Setup!$B$13)+1-1)*28+(MOD(199,Setup!$B$13)+1-1)-1),"")</f>
        <v>#DIV/0!</v>
      </c>
      <c r="E204" s="12" t="e">
        <f>IF(INT((199)/Setup!$B$13)+1&lt;=Setup!$B$5,INDEX(Scores!$I$2:$I$225,2+(INT((199)/Setup!$B$13)+1-1)*28+(MOD(199,Setup!$B$13)+1-1)-1),"")</f>
        <v>#DIV/0!</v>
      </c>
      <c r="F204" s="66"/>
      <c r="G204" s="67"/>
      <c r="H204" s="66"/>
      <c r="I204" s="67"/>
      <c r="J204" s="66"/>
      <c r="K204" s="67"/>
      <c r="L204" s="66"/>
      <c r="M204" s="67"/>
      <c r="N204" s="66"/>
      <c r="O204" s="67"/>
      <c r="P204" s="6" t="e">
        <f>IF($A204="","",IFERROR(INDEX(Scores!$T$2:$T$225,MATCH($A204,Scores!$A$2:$A$225,0)),""))</f>
        <v>#DIV/0!</v>
      </c>
      <c r="Q204" s="6" t="e">
        <f>IF($A204="","",IFERROR(INDEX(Scores!$U$2:$U$225,MATCH($A204,Scores!$A$2:$A$225,0)),""))</f>
        <v>#DIV/0!</v>
      </c>
      <c r="R204" s="12" t="e">
        <f>IF($A204="","",IF(IFERROR(INDEX(Scores!$X$2:$X$225,MATCH($A204,Scores!$A$2:$A$225,0)),0)=1,"Complete","Waiting"))</f>
        <v>#DIV/0!</v>
      </c>
      <c r="S204" s="12" t="e">
        <f>IF($A204="","",IFERROR(INDEX(Scores!$Y$2:$Y$225,MATCH($A204,Scores!$A$2:$A$225,0)),""))</f>
        <v>#DIV/0!</v>
      </c>
    </row>
    <row r="205" spans="1:19">
      <c r="A205" s="12" t="e">
        <f>IF(INT((200)/Setup!$B$13)+1&lt;=Setup!$B$5,INDEX(Scores!$A$2:$A$225,2+(INT((200)/Setup!$B$13)+1-1)*28+(MOD(200,Setup!$B$13)+1-1)-1),"")</f>
        <v>#DIV/0!</v>
      </c>
      <c r="B205" s="12" t="e">
        <f>IF(INT((200)/Setup!$B$13)+1&lt;=Setup!$B$5,CHAR(64+INT((200)/Setup!$B$13)+1),"")</f>
        <v>#DIV/0!</v>
      </c>
      <c r="C205" s="12" t="e">
        <f>IF(INT((200)/Setup!$B$13)+1&lt;=Setup!$B$5,INDEX(Scores!$E$2:$E$225,2+(INT((200)/Setup!$B$13)+1-1)*28+(MOD(200,Setup!$B$13)+1-1)-1),"")</f>
        <v>#DIV/0!</v>
      </c>
      <c r="D205" s="12" t="e">
        <f>IF(INT((200)/Setup!$B$13)+1&lt;=Setup!$B$5,INDEX(Scores!$G$2:$G$225,2+(INT((200)/Setup!$B$13)+1-1)*28+(MOD(200,Setup!$B$13)+1-1)-1),"")</f>
        <v>#DIV/0!</v>
      </c>
      <c r="E205" s="12" t="e">
        <f>IF(INT((200)/Setup!$B$13)+1&lt;=Setup!$B$5,INDEX(Scores!$I$2:$I$225,2+(INT((200)/Setup!$B$13)+1-1)*28+(MOD(200,Setup!$B$13)+1-1)-1),"")</f>
        <v>#DIV/0!</v>
      </c>
      <c r="F205" s="66"/>
      <c r="G205" s="67"/>
      <c r="H205" s="66"/>
      <c r="I205" s="67"/>
      <c r="J205" s="66"/>
      <c r="K205" s="67"/>
      <c r="L205" s="66"/>
      <c r="M205" s="67"/>
      <c r="N205" s="66"/>
      <c r="O205" s="67"/>
      <c r="P205" s="6" t="e">
        <f>IF($A205="","",IFERROR(INDEX(Scores!$T$2:$T$225,MATCH($A205,Scores!$A$2:$A$225,0)),""))</f>
        <v>#DIV/0!</v>
      </c>
      <c r="Q205" s="6" t="e">
        <f>IF($A205="","",IFERROR(INDEX(Scores!$U$2:$U$225,MATCH($A205,Scores!$A$2:$A$225,0)),""))</f>
        <v>#DIV/0!</v>
      </c>
      <c r="R205" s="12" t="e">
        <f>IF($A205="","",IF(IFERROR(INDEX(Scores!$X$2:$X$225,MATCH($A205,Scores!$A$2:$A$225,0)),0)=1,"Complete","Waiting"))</f>
        <v>#DIV/0!</v>
      </c>
      <c r="S205" s="12" t="e">
        <f>IF($A205="","",IFERROR(INDEX(Scores!$Y$2:$Y$225,MATCH($A205,Scores!$A$2:$A$225,0)),""))</f>
        <v>#DIV/0!</v>
      </c>
    </row>
    <row r="206" spans="1:19">
      <c r="A206" s="12" t="e">
        <f>IF(INT((201)/Setup!$B$13)+1&lt;=Setup!$B$5,INDEX(Scores!$A$2:$A$225,2+(INT((201)/Setup!$B$13)+1-1)*28+(MOD(201,Setup!$B$13)+1-1)-1),"")</f>
        <v>#DIV/0!</v>
      </c>
      <c r="B206" s="12" t="e">
        <f>IF(INT((201)/Setup!$B$13)+1&lt;=Setup!$B$5,CHAR(64+INT((201)/Setup!$B$13)+1),"")</f>
        <v>#DIV/0!</v>
      </c>
      <c r="C206" s="12" t="e">
        <f>IF(INT((201)/Setup!$B$13)+1&lt;=Setup!$B$5,INDEX(Scores!$E$2:$E$225,2+(INT((201)/Setup!$B$13)+1-1)*28+(MOD(201,Setup!$B$13)+1-1)-1),"")</f>
        <v>#DIV/0!</v>
      </c>
      <c r="D206" s="12" t="e">
        <f>IF(INT((201)/Setup!$B$13)+1&lt;=Setup!$B$5,INDEX(Scores!$G$2:$G$225,2+(INT((201)/Setup!$B$13)+1-1)*28+(MOD(201,Setup!$B$13)+1-1)-1),"")</f>
        <v>#DIV/0!</v>
      </c>
      <c r="E206" s="12" t="e">
        <f>IF(INT((201)/Setup!$B$13)+1&lt;=Setup!$B$5,INDEX(Scores!$I$2:$I$225,2+(INT((201)/Setup!$B$13)+1-1)*28+(MOD(201,Setup!$B$13)+1-1)-1),"")</f>
        <v>#DIV/0!</v>
      </c>
      <c r="F206" s="66"/>
      <c r="G206" s="67"/>
      <c r="H206" s="66"/>
      <c r="I206" s="67"/>
      <c r="J206" s="66"/>
      <c r="K206" s="67"/>
      <c r="L206" s="66"/>
      <c r="M206" s="67"/>
      <c r="N206" s="66"/>
      <c r="O206" s="67"/>
      <c r="P206" s="6" t="e">
        <f>IF($A206="","",IFERROR(INDEX(Scores!$T$2:$T$225,MATCH($A206,Scores!$A$2:$A$225,0)),""))</f>
        <v>#DIV/0!</v>
      </c>
      <c r="Q206" s="6" t="e">
        <f>IF($A206="","",IFERROR(INDEX(Scores!$U$2:$U$225,MATCH($A206,Scores!$A$2:$A$225,0)),""))</f>
        <v>#DIV/0!</v>
      </c>
      <c r="R206" s="12" t="e">
        <f>IF($A206="","",IF(IFERROR(INDEX(Scores!$X$2:$X$225,MATCH($A206,Scores!$A$2:$A$225,0)),0)=1,"Complete","Waiting"))</f>
        <v>#DIV/0!</v>
      </c>
      <c r="S206" s="12" t="e">
        <f>IF($A206="","",IFERROR(INDEX(Scores!$Y$2:$Y$225,MATCH($A206,Scores!$A$2:$A$225,0)),""))</f>
        <v>#DIV/0!</v>
      </c>
    </row>
    <row r="207" spans="1:19">
      <c r="A207" s="12" t="e">
        <f>IF(INT((202)/Setup!$B$13)+1&lt;=Setup!$B$5,INDEX(Scores!$A$2:$A$225,2+(INT((202)/Setup!$B$13)+1-1)*28+(MOD(202,Setup!$B$13)+1-1)-1),"")</f>
        <v>#DIV/0!</v>
      </c>
      <c r="B207" s="12" t="e">
        <f>IF(INT((202)/Setup!$B$13)+1&lt;=Setup!$B$5,CHAR(64+INT((202)/Setup!$B$13)+1),"")</f>
        <v>#DIV/0!</v>
      </c>
      <c r="C207" s="12" t="e">
        <f>IF(INT((202)/Setup!$B$13)+1&lt;=Setup!$B$5,INDEX(Scores!$E$2:$E$225,2+(INT((202)/Setup!$B$13)+1-1)*28+(MOD(202,Setup!$B$13)+1-1)-1),"")</f>
        <v>#DIV/0!</v>
      </c>
      <c r="D207" s="12" t="e">
        <f>IF(INT((202)/Setup!$B$13)+1&lt;=Setup!$B$5,INDEX(Scores!$G$2:$G$225,2+(INT((202)/Setup!$B$13)+1-1)*28+(MOD(202,Setup!$B$13)+1-1)-1),"")</f>
        <v>#DIV/0!</v>
      </c>
      <c r="E207" s="12" t="e">
        <f>IF(INT((202)/Setup!$B$13)+1&lt;=Setup!$B$5,INDEX(Scores!$I$2:$I$225,2+(INT((202)/Setup!$B$13)+1-1)*28+(MOD(202,Setup!$B$13)+1-1)-1),"")</f>
        <v>#DIV/0!</v>
      </c>
      <c r="F207" s="66"/>
      <c r="G207" s="67"/>
      <c r="H207" s="66"/>
      <c r="I207" s="67"/>
      <c r="J207" s="66"/>
      <c r="K207" s="67"/>
      <c r="L207" s="66"/>
      <c r="M207" s="67"/>
      <c r="N207" s="66"/>
      <c r="O207" s="67"/>
      <c r="P207" s="6" t="e">
        <f>IF($A207="","",IFERROR(INDEX(Scores!$T$2:$T$225,MATCH($A207,Scores!$A$2:$A$225,0)),""))</f>
        <v>#DIV/0!</v>
      </c>
      <c r="Q207" s="6" t="e">
        <f>IF($A207="","",IFERROR(INDEX(Scores!$U$2:$U$225,MATCH($A207,Scores!$A$2:$A$225,0)),""))</f>
        <v>#DIV/0!</v>
      </c>
      <c r="R207" s="12" t="e">
        <f>IF($A207="","",IF(IFERROR(INDEX(Scores!$X$2:$X$225,MATCH($A207,Scores!$A$2:$A$225,0)),0)=1,"Complete","Waiting"))</f>
        <v>#DIV/0!</v>
      </c>
      <c r="S207" s="12" t="e">
        <f>IF($A207="","",IFERROR(INDEX(Scores!$Y$2:$Y$225,MATCH($A207,Scores!$A$2:$A$225,0)),""))</f>
        <v>#DIV/0!</v>
      </c>
    </row>
    <row r="208" spans="1:19">
      <c r="A208" s="12" t="e">
        <f>IF(INT((203)/Setup!$B$13)+1&lt;=Setup!$B$5,INDEX(Scores!$A$2:$A$225,2+(INT((203)/Setup!$B$13)+1-1)*28+(MOD(203,Setup!$B$13)+1-1)-1),"")</f>
        <v>#DIV/0!</v>
      </c>
      <c r="B208" s="12" t="e">
        <f>IF(INT((203)/Setup!$B$13)+1&lt;=Setup!$B$5,CHAR(64+INT((203)/Setup!$B$13)+1),"")</f>
        <v>#DIV/0!</v>
      </c>
      <c r="C208" s="12" t="e">
        <f>IF(INT((203)/Setup!$B$13)+1&lt;=Setup!$B$5,INDEX(Scores!$E$2:$E$225,2+(INT((203)/Setup!$B$13)+1-1)*28+(MOD(203,Setup!$B$13)+1-1)-1),"")</f>
        <v>#DIV/0!</v>
      </c>
      <c r="D208" s="12" t="e">
        <f>IF(INT((203)/Setup!$B$13)+1&lt;=Setup!$B$5,INDEX(Scores!$G$2:$G$225,2+(INT((203)/Setup!$B$13)+1-1)*28+(MOD(203,Setup!$B$13)+1-1)-1),"")</f>
        <v>#DIV/0!</v>
      </c>
      <c r="E208" s="12" t="e">
        <f>IF(INT((203)/Setup!$B$13)+1&lt;=Setup!$B$5,INDEX(Scores!$I$2:$I$225,2+(INT((203)/Setup!$B$13)+1-1)*28+(MOD(203,Setup!$B$13)+1-1)-1),"")</f>
        <v>#DIV/0!</v>
      </c>
      <c r="F208" s="66"/>
      <c r="G208" s="67"/>
      <c r="H208" s="66"/>
      <c r="I208" s="67"/>
      <c r="J208" s="66"/>
      <c r="K208" s="67"/>
      <c r="L208" s="66"/>
      <c r="M208" s="67"/>
      <c r="N208" s="66"/>
      <c r="O208" s="67"/>
      <c r="P208" s="6" t="e">
        <f>IF($A208="","",IFERROR(INDEX(Scores!$T$2:$T$225,MATCH($A208,Scores!$A$2:$A$225,0)),""))</f>
        <v>#DIV/0!</v>
      </c>
      <c r="Q208" s="6" t="e">
        <f>IF($A208="","",IFERROR(INDEX(Scores!$U$2:$U$225,MATCH($A208,Scores!$A$2:$A$225,0)),""))</f>
        <v>#DIV/0!</v>
      </c>
      <c r="R208" s="12" t="e">
        <f>IF($A208="","",IF(IFERROR(INDEX(Scores!$X$2:$X$225,MATCH($A208,Scores!$A$2:$A$225,0)),0)=1,"Complete","Waiting"))</f>
        <v>#DIV/0!</v>
      </c>
      <c r="S208" s="12" t="e">
        <f>IF($A208="","",IFERROR(INDEX(Scores!$Y$2:$Y$225,MATCH($A208,Scores!$A$2:$A$225,0)),""))</f>
        <v>#DIV/0!</v>
      </c>
    </row>
    <row r="209" spans="1:19">
      <c r="A209" s="12" t="e">
        <f>IF(INT((204)/Setup!$B$13)+1&lt;=Setup!$B$5,INDEX(Scores!$A$2:$A$225,2+(INT((204)/Setup!$B$13)+1-1)*28+(MOD(204,Setup!$B$13)+1-1)-1),"")</f>
        <v>#DIV/0!</v>
      </c>
      <c r="B209" s="12" t="e">
        <f>IF(INT((204)/Setup!$B$13)+1&lt;=Setup!$B$5,CHAR(64+INT((204)/Setup!$B$13)+1),"")</f>
        <v>#DIV/0!</v>
      </c>
      <c r="C209" s="12" t="e">
        <f>IF(INT((204)/Setup!$B$13)+1&lt;=Setup!$B$5,INDEX(Scores!$E$2:$E$225,2+(INT((204)/Setup!$B$13)+1-1)*28+(MOD(204,Setup!$B$13)+1-1)-1),"")</f>
        <v>#DIV/0!</v>
      </c>
      <c r="D209" s="12" t="e">
        <f>IF(INT((204)/Setup!$B$13)+1&lt;=Setup!$B$5,INDEX(Scores!$G$2:$G$225,2+(INT((204)/Setup!$B$13)+1-1)*28+(MOD(204,Setup!$B$13)+1-1)-1),"")</f>
        <v>#DIV/0!</v>
      </c>
      <c r="E209" s="12" t="e">
        <f>IF(INT((204)/Setup!$B$13)+1&lt;=Setup!$B$5,INDEX(Scores!$I$2:$I$225,2+(INT((204)/Setup!$B$13)+1-1)*28+(MOD(204,Setup!$B$13)+1-1)-1),"")</f>
        <v>#DIV/0!</v>
      </c>
      <c r="F209" s="66"/>
      <c r="G209" s="67"/>
      <c r="H209" s="66"/>
      <c r="I209" s="67"/>
      <c r="J209" s="66"/>
      <c r="K209" s="67"/>
      <c r="L209" s="66"/>
      <c r="M209" s="67"/>
      <c r="N209" s="66"/>
      <c r="O209" s="67"/>
      <c r="P209" s="6" t="e">
        <f>IF($A209="","",IFERROR(INDEX(Scores!$T$2:$T$225,MATCH($A209,Scores!$A$2:$A$225,0)),""))</f>
        <v>#DIV/0!</v>
      </c>
      <c r="Q209" s="6" t="e">
        <f>IF($A209="","",IFERROR(INDEX(Scores!$U$2:$U$225,MATCH($A209,Scores!$A$2:$A$225,0)),""))</f>
        <v>#DIV/0!</v>
      </c>
      <c r="R209" s="12" t="e">
        <f>IF($A209="","",IF(IFERROR(INDEX(Scores!$X$2:$X$225,MATCH($A209,Scores!$A$2:$A$225,0)),0)=1,"Complete","Waiting"))</f>
        <v>#DIV/0!</v>
      </c>
      <c r="S209" s="12" t="e">
        <f>IF($A209="","",IFERROR(INDEX(Scores!$Y$2:$Y$225,MATCH($A209,Scores!$A$2:$A$225,0)),""))</f>
        <v>#DIV/0!</v>
      </c>
    </row>
    <row r="210" spans="1:19">
      <c r="A210" s="12" t="e">
        <f>IF(INT((205)/Setup!$B$13)+1&lt;=Setup!$B$5,INDEX(Scores!$A$2:$A$225,2+(INT((205)/Setup!$B$13)+1-1)*28+(MOD(205,Setup!$B$13)+1-1)-1),"")</f>
        <v>#DIV/0!</v>
      </c>
      <c r="B210" s="12" t="e">
        <f>IF(INT((205)/Setup!$B$13)+1&lt;=Setup!$B$5,CHAR(64+INT((205)/Setup!$B$13)+1),"")</f>
        <v>#DIV/0!</v>
      </c>
      <c r="C210" s="12" t="e">
        <f>IF(INT((205)/Setup!$B$13)+1&lt;=Setup!$B$5,INDEX(Scores!$E$2:$E$225,2+(INT((205)/Setup!$B$13)+1-1)*28+(MOD(205,Setup!$B$13)+1-1)-1),"")</f>
        <v>#DIV/0!</v>
      </c>
      <c r="D210" s="12" t="e">
        <f>IF(INT((205)/Setup!$B$13)+1&lt;=Setup!$B$5,INDEX(Scores!$G$2:$G$225,2+(INT((205)/Setup!$B$13)+1-1)*28+(MOD(205,Setup!$B$13)+1-1)-1),"")</f>
        <v>#DIV/0!</v>
      </c>
      <c r="E210" s="12" t="e">
        <f>IF(INT((205)/Setup!$B$13)+1&lt;=Setup!$B$5,INDEX(Scores!$I$2:$I$225,2+(INT((205)/Setup!$B$13)+1-1)*28+(MOD(205,Setup!$B$13)+1-1)-1),"")</f>
        <v>#DIV/0!</v>
      </c>
      <c r="F210" s="66"/>
      <c r="G210" s="67"/>
      <c r="H210" s="66"/>
      <c r="I210" s="67"/>
      <c r="J210" s="66"/>
      <c r="K210" s="67"/>
      <c r="L210" s="66"/>
      <c r="M210" s="67"/>
      <c r="N210" s="66"/>
      <c r="O210" s="67"/>
      <c r="P210" s="6" t="e">
        <f>IF($A210="","",IFERROR(INDEX(Scores!$T$2:$T$225,MATCH($A210,Scores!$A$2:$A$225,0)),""))</f>
        <v>#DIV/0!</v>
      </c>
      <c r="Q210" s="6" t="e">
        <f>IF($A210="","",IFERROR(INDEX(Scores!$U$2:$U$225,MATCH($A210,Scores!$A$2:$A$225,0)),""))</f>
        <v>#DIV/0!</v>
      </c>
      <c r="R210" s="12" t="e">
        <f>IF($A210="","",IF(IFERROR(INDEX(Scores!$X$2:$X$225,MATCH($A210,Scores!$A$2:$A$225,0)),0)=1,"Complete","Waiting"))</f>
        <v>#DIV/0!</v>
      </c>
      <c r="S210" s="12" t="e">
        <f>IF($A210="","",IFERROR(INDEX(Scores!$Y$2:$Y$225,MATCH($A210,Scores!$A$2:$A$225,0)),""))</f>
        <v>#DIV/0!</v>
      </c>
    </row>
    <row r="211" spans="1:19">
      <c r="A211" s="12" t="e">
        <f>IF(INT((206)/Setup!$B$13)+1&lt;=Setup!$B$5,INDEX(Scores!$A$2:$A$225,2+(INT((206)/Setup!$B$13)+1-1)*28+(MOD(206,Setup!$B$13)+1-1)-1),"")</f>
        <v>#DIV/0!</v>
      </c>
      <c r="B211" s="12" t="e">
        <f>IF(INT((206)/Setup!$B$13)+1&lt;=Setup!$B$5,CHAR(64+INT((206)/Setup!$B$13)+1),"")</f>
        <v>#DIV/0!</v>
      </c>
      <c r="C211" s="12" t="e">
        <f>IF(INT((206)/Setup!$B$13)+1&lt;=Setup!$B$5,INDEX(Scores!$E$2:$E$225,2+(INT((206)/Setup!$B$13)+1-1)*28+(MOD(206,Setup!$B$13)+1-1)-1),"")</f>
        <v>#DIV/0!</v>
      </c>
      <c r="D211" s="12" t="e">
        <f>IF(INT((206)/Setup!$B$13)+1&lt;=Setup!$B$5,INDEX(Scores!$G$2:$G$225,2+(INT((206)/Setup!$B$13)+1-1)*28+(MOD(206,Setup!$B$13)+1-1)-1),"")</f>
        <v>#DIV/0!</v>
      </c>
      <c r="E211" s="12" t="e">
        <f>IF(INT((206)/Setup!$B$13)+1&lt;=Setup!$B$5,INDEX(Scores!$I$2:$I$225,2+(INT((206)/Setup!$B$13)+1-1)*28+(MOD(206,Setup!$B$13)+1-1)-1),"")</f>
        <v>#DIV/0!</v>
      </c>
      <c r="F211" s="66"/>
      <c r="G211" s="67"/>
      <c r="H211" s="66"/>
      <c r="I211" s="67"/>
      <c r="J211" s="66"/>
      <c r="K211" s="67"/>
      <c r="L211" s="66"/>
      <c r="M211" s="67"/>
      <c r="N211" s="66"/>
      <c r="O211" s="67"/>
      <c r="P211" s="6" t="e">
        <f>IF($A211="","",IFERROR(INDEX(Scores!$T$2:$T$225,MATCH($A211,Scores!$A$2:$A$225,0)),""))</f>
        <v>#DIV/0!</v>
      </c>
      <c r="Q211" s="6" t="e">
        <f>IF($A211="","",IFERROR(INDEX(Scores!$U$2:$U$225,MATCH($A211,Scores!$A$2:$A$225,0)),""))</f>
        <v>#DIV/0!</v>
      </c>
      <c r="R211" s="12" t="e">
        <f>IF($A211="","",IF(IFERROR(INDEX(Scores!$X$2:$X$225,MATCH($A211,Scores!$A$2:$A$225,0)),0)=1,"Complete","Waiting"))</f>
        <v>#DIV/0!</v>
      </c>
      <c r="S211" s="12" t="e">
        <f>IF($A211="","",IFERROR(INDEX(Scores!$Y$2:$Y$225,MATCH($A211,Scores!$A$2:$A$225,0)),""))</f>
        <v>#DIV/0!</v>
      </c>
    </row>
    <row r="212" spans="1:19">
      <c r="A212" s="12" t="e">
        <f>IF(INT((207)/Setup!$B$13)+1&lt;=Setup!$B$5,INDEX(Scores!$A$2:$A$225,2+(INT((207)/Setup!$B$13)+1-1)*28+(MOD(207,Setup!$B$13)+1-1)-1),"")</f>
        <v>#DIV/0!</v>
      </c>
      <c r="B212" s="12" t="e">
        <f>IF(INT((207)/Setup!$B$13)+1&lt;=Setup!$B$5,CHAR(64+INT((207)/Setup!$B$13)+1),"")</f>
        <v>#DIV/0!</v>
      </c>
      <c r="C212" s="12" t="e">
        <f>IF(INT((207)/Setup!$B$13)+1&lt;=Setup!$B$5,INDEX(Scores!$E$2:$E$225,2+(INT((207)/Setup!$B$13)+1-1)*28+(MOD(207,Setup!$B$13)+1-1)-1),"")</f>
        <v>#DIV/0!</v>
      </c>
      <c r="D212" s="12" t="e">
        <f>IF(INT((207)/Setup!$B$13)+1&lt;=Setup!$B$5,INDEX(Scores!$G$2:$G$225,2+(INT((207)/Setup!$B$13)+1-1)*28+(MOD(207,Setup!$B$13)+1-1)-1),"")</f>
        <v>#DIV/0!</v>
      </c>
      <c r="E212" s="12" t="e">
        <f>IF(INT((207)/Setup!$B$13)+1&lt;=Setup!$B$5,INDEX(Scores!$I$2:$I$225,2+(INT((207)/Setup!$B$13)+1-1)*28+(MOD(207,Setup!$B$13)+1-1)-1),"")</f>
        <v>#DIV/0!</v>
      </c>
      <c r="F212" s="66"/>
      <c r="G212" s="67"/>
      <c r="H212" s="66"/>
      <c r="I212" s="67"/>
      <c r="J212" s="66"/>
      <c r="K212" s="67"/>
      <c r="L212" s="66"/>
      <c r="M212" s="67"/>
      <c r="N212" s="66"/>
      <c r="O212" s="67"/>
      <c r="P212" s="6" t="e">
        <f>IF($A212="","",IFERROR(INDEX(Scores!$T$2:$T$225,MATCH($A212,Scores!$A$2:$A$225,0)),""))</f>
        <v>#DIV/0!</v>
      </c>
      <c r="Q212" s="6" t="e">
        <f>IF($A212="","",IFERROR(INDEX(Scores!$U$2:$U$225,MATCH($A212,Scores!$A$2:$A$225,0)),""))</f>
        <v>#DIV/0!</v>
      </c>
      <c r="R212" s="12" t="e">
        <f>IF($A212="","",IF(IFERROR(INDEX(Scores!$X$2:$X$225,MATCH($A212,Scores!$A$2:$A$225,0)),0)=1,"Complete","Waiting"))</f>
        <v>#DIV/0!</v>
      </c>
      <c r="S212" s="12" t="e">
        <f>IF($A212="","",IFERROR(INDEX(Scores!$Y$2:$Y$225,MATCH($A212,Scores!$A$2:$A$225,0)),""))</f>
        <v>#DIV/0!</v>
      </c>
    </row>
    <row r="213" spans="1:19">
      <c r="A213" s="12" t="e">
        <f>IF(INT((208)/Setup!$B$13)+1&lt;=Setup!$B$5,INDEX(Scores!$A$2:$A$225,2+(INT((208)/Setup!$B$13)+1-1)*28+(MOD(208,Setup!$B$13)+1-1)-1),"")</f>
        <v>#DIV/0!</v>
      </c>
      <c r="B213" s="12" t="e">
        <f>IF(INT((208)/Setup!$B$13)+1&lt;=Setup!$B$5,CHAR(64+INT((208)/Setup!$B$13)+1),"")</f>
        <v>#DIV/0!</v>
      </c>
      <c r="C213" s="12" t="e">
        <f>IF(INT((208)/Setup!$B$13)+1&lt;=Setup!$B$5,INDEX(Scores!$E$2:$E$225,2+(INT((208)/Setup!$B$13)+1-1)*28+(MOD(208,Setup!$B$13)+1-1)-1),"")</f>
        <v>#DIV/0!</v>
      </c>
      <c r="D213" s="12" t="e">
        <f>IF(INT((208)/Setup!$B$13)+1&lt;=Setup!$B$5,INDEX(Scores!$G$2:$G$225,2+(INT((208)/Setup!$B$13)+1-1)*28+(MOD(208,Setup!$B$13)+1-1)-1),"")</f>
        <v>#DIV/0!</v>
      </c>
      <c r="E213" s="12" t="e">
        <f>IF(INT((208)/Setup!$B$13)+1&lt;=Setup!$B$5,INDEX(Scores!$I$2:$I$225,2+(INT((208)/Setup!$B$13)+1-1)*28+(MOD(208,Setup!$B$13)+1-1)-1),"")</f>
        <v>#DIV/0!</v>
      </c>
      <c r="F213" s="66"/>
      <c r="G213" s="67"/>
      <c r="H213" s="66"/>
      <c r="I213" s="67"/>
      <c r="J213" s="66"/>
      <c r="K213" s="67"/>
      <c r="L213" s="66"/>
      <c r="M213" s="67"/>
      <c r="N213" s="66"/>
      <c r="O213" s="67"/>
      <c r="P213" s="6" t="e">
        <f>IF($A213="","",IFERROR(INDEX(Scores!$T$2:$T$225,MATCH($A213,Scores!$A$2:$A$225,0)),""))</f>
        <v>#DIV/0!</v>
      </c>
      <c r="Q213" s="6" t="e">
        <f>IF($A213="","",IFERROR(INDEX(Scores!$U$2:$U$225,MATCH($A213,Scores!$A$2:$A$225,0)),""))</f>
        <v>#DIV/0!</v>
      </c>
      <c r="R213" s="12" t="e">
        <f>IF($A213="","",IF(IFERROR(INDEX(Scores!$X$2:$X$225,MATCH($A213,Scores!$A$2:$A$225,0)),0)=1,"Complete","Waiting"))</f>
        <v>#DIV/0!</v>
      </c>
      <c r="S213" s="12" t="e">
        <f>IF($A213="","",IFERROR(INDEX(Scores!$Y$2:$Y$225,MATCH($A213,Scores!$A$2:$A$225,0)),""))</f>
        <v>#DIV/0!</v>
      </c>
    </row>
    <row r="214" spans="1:19">
      <c r="A214" s="12" t="e">
        <f>IF(INT((209)/Setup!$B$13)+1&lt;=Setup!$B$5,INDEX(Scores!$A$2:$A$225,2+(INT((209)/Setup!$B$13)+1-1)*28+(MOD(209,Setup!$B$13)+1-1)-1),"")</f>
        <v>#DIV/0!</v>
      </c>
      <c r="B214" s="12" t="e">
        <f>IF(INT((209)/Setup!$B$13)+1&lt;=Setup!$B$5,CHAR(64+INT((209)/Setup!$B$13)+1),"")</f>
        <v>#DIV/0!</v>
      </c>
      <c r="C214" s="12" t="e">
        <f>IF(INT((209)/Setup!$B$13)+1&lt;=Setup!$B$5,INDEX(Scores!$E$2:$E$225,2+(INT((209)/Setup!$B$13)+1-1)*28+(MOD(209,Setup!$B$13)+1-1)-1),"")</f>
        <v>#DIV/0!</v>
      </c>
      <c r="D214" s="12" t="e">
        <f>IF(INT((209)/Setup!$B$13)+1&lt;=Setup!$B$5,INDEX(Scores!$G$2:$G$225,2+(INT((209)/Setup!$B$13)+1-1)*28+(MOD(209,Setup!$B$13)+1-1)-1),"")</f>
        <v>#DIV/0!</v>
      </c>
      <c r="E214" s="12" t="e">
        <f>IF(INT((209)/Setup!$B$13)+1&lt;=Setup!$B$5,INDEX(Scores!$I$2:$I$225,2+(INT((209)/Setup!$B$13)+1-1)*28+(MOD(209,Setup!$B$13)+1-1)-1),"")</f>
        <v>#DIV/0!</v>
      </c>
      <c r="F214" s="66"/>
      <c r="G214" s="67"/>
      <c r="H214" s="66"/>
      <c r="I214" s="67"/>
      <c r="J214" s="66"/>
      <c r="K214" s="67"/>
      <c r="L214" s="66"/>
      <c r="M214" s="67"/>
      <c r="N214" s="66"/>
      <c r="O214" s="67"/>
      <c r="P214" s="6" t="e">
        <f>IF($A214="","",IFERROR(INDEX(Scores!$T$2:$T$225,MATCH($A214,Scores!$A$2:$A$225,0)),""))</f>
        <v>#DIV/0!</v>
      </c>
      <c r="Q214" s="6" t="e">
        <f>IF($A214="","",IFERROR(INDEX(Scores!$U$2:$U$225,MATCH($A214,Scores!$A$2:$A$225,0)),""))</f>
        <v>#DIV/0!</v>
      </c>
      <c r="R214" s="12" t="e">
        <f>IF($A214="","",IF(IFERROR(INDEX(Scores!$X$2:$X$225,MATCH($A214,Scores!$A$2:$A$225,0)),0)=1,"Complete","Waiting"))</f>
        <v>#DIV/0!</v>
      </c>
      <c r="S214" s="12" t="e">
        <f>IF($A214="","",IFERROR(INDEX(Scores!$Y$2:$Y$225,MATCH($A214,Scores!$A$2:$A$225,0)),""))</f>
        <v>#DIV/0!</v>
      </c>
    </row>
    <row r="215" spans="1:19">
      <c r="A215" s="12" t="e">
        <f>IF(INT((210)/Setup!$B$13)+1&lt;=Setup!$B$5,INDEX(Scores!$A$2:$A$225,2+(INT((210)/Setup!$B$13)+1-1)*28+(MOD(210,Setup!$B$13)+1-1)-1),"")</f>
        <v>#DIV/0!</v>
      </c>
      <c r="B215" s="12" t="e">
        <f>IF(INT((210)/Setup!$B$13)+1&lt;=Setup!$B$5,CHAR(64+INT((210)/Setup!$B$13)+1),"")</f>
        <v>#DIV/0!</v>
      </c>
      <c r="C215" s="12" t="e">
        <f>IF(INT((210)/Setup!$B$13)+1&lt;=Setup!$B$5,INDEX(Scores!$E$2:$E$225,2+(INT((210)/Setup!$B$13)+1-1)*28+(MOD(210,Setup!$B$13)+1-1)-1),"")</f>
        <v>#DIV/0!</v>
      </c>
      <c r="D215" s="12" t="e">
        <f>IF(INT((210)/Setup!$B$13)+1&lt;=Setup!$B$5,INDEX(Scores!$G$2:$G$225,2+(INT((210)/Setup!$B$13)+1-1)*28+(MOD(210,Setup!$B$13)+1-1)-1),"")</f>
        <v>#DIV/0!</v>
      </c>
      <c r="E215" s="12" t="e">
        <f>IF(INT((210)/Setup!$B$13)+1&lt;=Setup!$B$5,INDEX(Scores!$I$2:$I$225,2+(INT((210)/Setup!$B$13)+1-1)*28+(MOD(210,Setup!$B$13)+1-1)-1),"")</f>
        <v>#DIV/0!</v>
      </c>
      <c r="F215" s="66"/>
      <c r="G215" s="67"/>
      <c r="H215" s="66"/>
      <c r="I215" s="67"/>
      <c r="J215" s="66"/>
      <c r="K215" s="67"/>
      <c r="L215" s="66"/>
      <c r="M215" s="67"/>
      <c r="N215" s="66"/>
      <c r="O215" s="67"/>
      <c r="P215" s="6" t="e">
        <f>IF($A215="","",IFERROR(INDEX(Scores!$T$2:$T$225,MATCH($A215,Scores!$A$2:$A$225,0)),""))</f>
        <v>#DIV/0!</v>
      </c>
      <c r="Q215" s="6" t="e">
        <f>IF($A215="","",IFERROR(INDEX(Scores!$U$2:$U$225,MATCH($A215,Scores!$A$2:$A$225,0)),""))</f>
        <v>#DIV/0!</v>
      </c>
      <c r="R215" s="12" t="e">
        <f>IF($A215="","",IF(IFERROR(INDEX(Scores!$X$2:$X$225,MATCH($A215,Scores!$A$2:$A$225,0)),0)=1,"Complete","Waiting"))</f>
        <v>#DIV/0!</v>
      </c>
      <c r="S215" s="12" t="e">
        <f>IF($A215="","",IFERROR(INDEX(Scores!$Y$2:$Y$225,MATCH($A215,Scores!$A$2:$A$225,0)),""))</f>
        <v>#DIV/0!</v>
      </c>
    </row>
    <row r="216" spans="1:19">
      <c r="A216" s="12" t="e">
        <f>IF(INT((211)/Setup!$B$13)+1&lt;=Setup!$B$5,INDEX(Scores!$A$2:$A$225,2+(INT((211)/Setup!$B$13)+1-1)*28+(MOD(211,Setup!$B$13)+1-1)-1),"")</f>
        <v>#DIV/0!</v>
      </c>
      <c r="B216" s="12" t="e">
        <f>IF(INT((211)/Setup!$B$13)+1&lt;=Setup!$B$5,CHAR(64+INT((211)/Setup!$B$13)+1),"")</f>
        <v>#DIV/0!</v>
      </c>
      <c r="C216" s="12" t="e">
        <f>IF(INT((211)/Setup!$B$13)+1&lt;=Setup!$B$5,INDEX(Scores!$E$2:$E$225,2+(INT((211)/Setup!$B$13)+1-1)*28+(MOD(211,Setup!$B$13)+1-1)-1),"")</f>
        <v>#DIV/0!</v>
      </c>
      <c r="D216" s="12" t="e">
        <f>IF(INT((211)/Setup!$B$13)+1&lt;=Setup!$B$5,INDEX(Scores!$G$2:$G$225,2+(INT((211)/Setup!$B$13)+1-1)*28+(MOD(211,Setup!$B$13)+1-1)-1),"")</f>
        <v>#DIV/0!</v>
      </c>
      <c r="E216" s="12" t="e">
        <f>IF(INT((211)/Setup!$B$13)+1&lt;=Setup!$B$5,INDEX(Scores!$I$2:$I$225,2+(INT((211)/Setup!$B$13)+1-1)*28+(MOD(211,Setup!$B$13)+1-1)-1),"")</f>
        <v>#DIV/0!</v>
      </c>
      <c r="F216" s="66"/>
      <c r="G216" s="67"/>
      <c r="H216" s="66"/>
      <c r="I216" s="67"/>
      <c r="J216" s="66"/>
      <c r="K216" s="67"/>
      <c r="L216" s="66"/>
      <c r="M216" s="67"/>
      <c r="N216" s="66"/>
      <c r="O216" s="67"/>
      <c r="P216" s="6" t="e">
        <f>IF($A216="","",IFERROR(INDEX(Scores!$T$2:$T$225,MATCH($A216,Scores!$A$2:$A$225,0)),""))</f>
        <v>#DIV/0!</v>
      </c>
      <c r="Q216" s="6" t="e">
        <f>IF($A216="","",IFERROR(INDEX(Scores!$U$2:$U$225,MATCH($A216,Scores!$A$2:$A$225,0)),""))</f>
        <v>#DIV/0!</v>
      </c>
      <c r="R216" s="12" t="e">
        <f>IF($A216="","",IF(IFERROR(INDEX(Scores!$X$2:$X$225,MATCH($A216,Scores!$A$2:$A$225,0)),0)=1,"Complete","Waiting"))</f>
        <v>#DIV/0!</v>
      </c>
      <c r="S216" s="12" t="e">
        <f>IF($A216="","",IFERROR(INDEX(Scores!$Y$2:$Y$225,MATCH($A216,Scores!$A$2:$A$225,0)),""))</f>
        <v>#DIV/0!</v>
      </c>
    </row>
    <row r="217" spans="1:19">
      <c r="A217" s="12" t="e">
        <f>IF(INT((212)/Setup!$B$13)+1&lt;=Setup!$B$5,INDEX(Scores!$A$2:$A$225,2+(INT((212)/Setup!$B$13)+1-1)*28+(MOD(212,Setup!$B$13)+1-1)-1),"")</f>
        <v>#DIV/0!</v>
      </c>
      <c r="B217" s="12" t="e">
        <f>IF(INT((212)/Setup!$B$13)+1&lt;=Setup!$B$5,CHAR(64+INT((212)/Setup!$B$13)+1),"")</f>
        <v>#DIV/0!</v>
      </c>
      <c r="C217" s="12" t="e">
        <f>IF(INT((212)/Setup!$B$13)+1&lt;=Setup!$B$5,INDEX(Scores!$E$2:$E$225,2+(INT((212)/Setup!$B$13)+1-1)*28+(MOD(212,Setup!$B$13)+1-1)-1),"")</f>
        <v>#DIV/0!</v>
      </c>
      <c r="D217" s="12" t="e">
        <f>IF(INT((212)/Setup!$B$13)+1&lt;=Setup!$B$5,INDEX(Scores!$G$2:$G$225,2+(INT((212)/Setup!$B$13)+1-1)*28+(MOD(212,Setup!$B$13)+1-1)-1),"")</f>
        <v>#DIV/0!</v>
      </c>
      <c r="E217" s="12" t="e">
        <f>IF(INT((212)/Setup!$B$13)+1&lt;=Setup!$B$5,INDEX(Scores!$I$2:$I$225,2+(INT((212)/Setup!$B$13)+1-1)*28+(MOD(212,Setup!$B$13)+1-1)-1),"")</f>
        <v>#DIV/0!</v>
      </c>
      <c r="F217" s="66"/>
      <c r="G217" s="67"/>
      <c r="H217" s="66"/>
      <c r="I217" s="67"/>
      <c r="J217" s="66"/>
      <c r="K217" s="67"/>
      <c r="L217" s="66"/>
      <c r="M217" s="67"/>
      <c r="N217" s="66"/>
      <c r="O217" s="67"/>
      <c r="P217" s="6" t="e">
        <f>IF($A217="","",IFERROR(INDEX(Scores!$T$2:$T$225,MATCH($A217,Scores!$A$2:$A$225,0)),""))</f>
        <v>#DIV/0!</v>
      </c>
      <c r="Q217" s="6" t="e">
        <f>IF($A217="","",IFERROR(INDEX(Scores!$U$2:$U$225,MATCH($A217,Scores!$A$2:$A$225,0)),""))</f>
        <v>#DIV/0!</v>
      </c>
      <c r="R217" s="12" t="e">
        <f>IF($A217="","",IF(IFERROR(INDEX(Scores!$X$2:$X$225,MATCH($A217,Scores!$A$2:$A$225,0)),0)=1,"Complete","Waiting"))</f>
        <v>#DIV/0!</v>
      </c>
      <c r="S217" s="12" t="e">
        <f>IF($A217="","",IFERROR(INDEX(Scores!$Y$2:$Y$225,MATCH($A217,Scores!$A$2:$A$225,0)),""))</f>
        <v>#DIV/0!</v>
      </c>
    </row>
    <row r="218" spans="1:19">
      <c r="A218" s="12" t="e">
        <f>IF(INT((213)/Setup!$B$13)+1&lt;=Setup!$B$5,INDEX(Scores!$A$2:$A$225,2+(INT((213)/Setup!$B$13)+1-1)*28+(MOD(213,Setup!$B$13)+1-1)-1),"")</f>
        <v>#DIV/0!</v>
      </c>
      <c r="B218" s="12" t="e">
        <f>IF(INT((213)/Setup!$B$13)+1&lt;=Setup!$B$5,CHAR(64+INT((213)/Setup!$B$13)+1),"")</f>
        <v>#DIV/0!</v>
      </c>
      <c r="C218" s="12" t="e">
        <f>IF(INT((213)/Setup!$B$13)+1&lt;=Setup!$B$5,INDEX(Scores!$E$2:$E$225,2+(INT((213)/Setup!$B$13)+1-1)*28+(MOD(213,Setup!$B$13)+1-1)-1),"")</f>
        <v>#DIV/0!</v>
      </c>
      <c r="D218" s="12" t="e">
        <f>IF(INT((213)/Setup!$B$13)+1&lt;=Setup!$B$5,INDEX(Scores!$G$2:$G$225,2+(INT((213)/Setup!$B$13)+1-1)*28+(MOD(213,Setup!$B$13)+1-1)-1),"")</f>
        <v>#DIV/0!</v>
      </c>
      <c r="E218" s="12" t="e">
        <f>IF(INT((213)/Setup!$B$13)+1&lt;=Setup!$B$5,INDEX(Scores!$I$2:$I$225,2+(INT((213)/Setup!$B$13)+1-1)*28+(MOD(213,Setup!$B$13)+1-1)-1),"")</f>
        <v>#DIV/0!</v>
      </c>
      <c r="F218" s="66"/>
      <c r="G218" s="67"/>
      <c r="H218" s="66"/>
      <c r="I218" s="67"/>
      <c r="J218" s="66"/>
      <c r="K218" s="67"/>
      <c r="L218" s="66"/>
      <c r="M218" s="67"/>
      <c r="N218" s="66"/>
      <c r="O218" s="67"/>
      <c r="P218" s="6" t="e">
        <f>IF($A218="","",IFERROR(INDEX(Scores!$T$2:$T$225,MATCH($A218,Scores!$A$2:$A$225,0)),""))</f>
        <v>#DIV/0!</v>
      </c>
      <c r="Q218" s="6" t="e">
        <f>IF($A218="","",IFERROR(INDEX(Scores!$U$2:$U$225,MATCH($A218,Scores!$A$2:$A$225,0)),""))</f>
        <v>#DIV/0!</v>
      </c>
      <c r="R218" s="12" t="e">
        <f>IF($A218="","",IF(IFERROR(INDEX(Scores!$X$2:$X$225,MATCH($A218,Scores!$A$2:$A$225,0)),0)=1,"Complete","Waiting"))</f>
        <v>#DIV/0!</v>
      </c>
      <c r="S218" s="12" t="e">
        <f>IF($A218="","",IFERROR(INDEX(Scores!$Y$2:$Y$225,MATCH($A218,Scores!$A$2:$A$225,0)),""))</f>
        <v>#DIV/0!</v>
      </c>
    </row>
    <row r="219" spans="1:19">
      <c r="A219" s="12" t="e">
        <f>IF(INT((214)/Setup!$B$13)+1&lt;=Setup!$B$5,INDEX(Scores!$A$2:$A$225,2+(INT((214)/Setup!$B$13)+1-1)*28+(MOD(214,Setup!$B$13)+1-1)-1),"")</f>
        <v>#DIV/0!</v>
      </c>
      <c r="B219" s="12" t="e">
        <f>IF(INT((214)/Setup!$B$13)+1&lt;=Setup!$B$5,CHAR(64+INT((214)/Setup!$B$13)+1),"")</f>
        <v>#DIV/0!</v>
      </c>
      <c r="C219" s="12" t="e">
        <f>IF(INT((214)/Setup!$B$13)+1&lt;=Setup!$B$5,INDEX(Scores!$E$2:$E$225,2+(INT((214)/Setup!$B$13)+1-1)*28+(MOD(214,Setup!$B$13)+1-1)-1),"")</f>
        <v>#DIV/0!</v>
      </c>
      <c r="D219" s="12" t="e">
        <f>IF(INT((214)/Setup!$B$13)+1&lt;=Setup!$B$5,INDEX(Scores!$G$2:$G$225,2+(INT((214)/Setup!$B$13)+1-1)*28+(MOD(214,Setup!$B$13)+1-1)-1),"")</f>
        <v>#DIV/0!</v>
      </c>
      <c r="E219" s="12" t="e">
        <f>IF(INT((214)/Setup!$B$13)+1&lt;=Setup!$B$5,INDEX(Scores!$I$2:$I$225,2+(INT((214)/Setup!$B$13)+1-1)*28+(MOD(214,Setup!$B$13)+1-1)-1),"")</f>
        <v>#DIV/0!</v>
      </c>
      <c r="F219" s="66"/>
      <c r="G219" s="67"/>
      <c r="H219" s="66"/>
      <c r="I219" s="67"/>
      <c r="J219" s="66"/>
      <c r="K219" s="67"/>
      <c r="L219" s="66"/>
      <c r="M219" s="67"/>
      <c r="N219" s="66"/>
      <c r="O219" s="67"/>
      <c r="P219" s="6" t="e">
        <f>IF($A219="","",IFERROR(INDEX(Scores!$T$2:$T$225,MATCH($A219,Scores!$A$2:$A$225,0)),""))</f>
        <v>#DIV/0!</v>
      </c>
      <c r="Q219" s="6" t="e">
        <f>IF($A219="","",IFERROR(INDEX(Scores!$U$2:$U$225,MATCH($A219,Scores!$A$2:$A$225,0)),""))</f>
        <v>#DIV/0!</v>
      </c>
      <c r="R219" s="12" t="e">
        <f>IF($A219="","",IF(IFERROR(INDEX(Scores!$X$2:$X$225,MATCH($A219,Scores!$A$2:$A$225,0)),0)=1,"Complete","Waiting"))</f>
        <v>#DIV/0!</v>
      </c>
      <c r="S219" s="12" t="e">
        <f>IF($A219="","",IFERROR(INDEX(Scores!$Y$2:$Y$225,MATCH($A219,Scores!$A$2:$A$225,0)),""))</f>
        <v>#DIV/0!</v>
      </c>
    </row>
    <row r="220" spans="1:19">
      <c r="A220" s="12" t="e">
        <f>IF(INT((215)/Setup!$B$13)+1&lt;=Setup!$B$5,INDEX(Scores!$A$2:$A$225,2+(INT((215)/Setup!$B$13)+1-1)*28+(MOD(215,Setup!$B$13)+1-1)-1),"")</f>
        <v>#DIV/0!</v>
      </c>
      <c r="B220" s="12" t="e">
        <f>IF(INT((215)/Setup!$B$13)+1&lt;=Setup!$B$5,CHAR(64+INT((215)/Setup!$B$13)+1),"")</f>
        <v>#DIV/0!</v>
      </c>
      <c r="C220" s="12" t="e">
        <f>IF(INT((215)/Setup!$B$13)+1&lt;=Setup!$B$5,INDEX(Scores!$E$2:$E$225,2+(INT((215)/Setup!$B$13)+1-1)*28+(MOD(215,Setup!$B$13)+1-1)-1),"")</f>
        <v>#DIV/0!</v>
      </c>
      <c r="D220" s="12" t="e">
        <f>IF(INT((215)/Setup!$B$13)+1&lt;=Setup!$B$5,INDEX(Scores!$G$2:$G$225,2+(INT((215)/Setup!$B$13)+1-1)*28+(MOD(215,Setup!$B$13)+1-1)-1),"")</f>
        <v>#DIV/0!</v>
      </c>
      <c r="E220" s="12" t="e">
        <f>IF(INT((215)/Setup!$B$13)+1&lt;=Setup!$B$5,INDEX(Scores!$I$2:$I$225,2+(INT((215)/Setup!$B$13)+1-1)*28+(MOD(215,Setup!$B$13)+1-1)-1),"")</f>
        <v>#DIV/0!</v>
      </c>
      <c r="F220" s="66"/>
      <c r="G220" s="67"/>
      <c r="H220" s="66"/>
      <c r="I220" s="67"/>
      <c r="J220" s="66"/>
      <c r="K220" s="67"/>
      <c r="L220" s="66"/>
      <c r="M220" s="67"/>
      <c r="N220" s="66"/>
      <c r="O220" s="67"/>
      <c r="P220" s="6" t="e">
        <f>IF($A220="","",IFERROR(INDEX(Scores!$T$2:$T$225,MATCH($A220,Scores!$A$2:$A$225,0)),""))</f>
        <v>#DIV/0!</v>
      </c>
      <c r="Q220" s="6" t="e">
        <f>IF($A220="","",IFERROR(INDEX(Scores!$U$2:$U$225,MATCH($A220,Scores!$A$2:$A$225,0)),""))</f>
        <v>#DIV/0!</v>
      </c>
      <c r="R220" s="12" t="e">
        <f>IF($A220="","",IF(IFERROR(INDEX(Scores!$X$2:$X$225,MATCH($A220,Scores!$A$2:$A$225,0)),0)=1,"Complete","Waiting"))</f>
        <v>#DIV/0!</v>
      </c>
      <c r="S220" s="12" t="e">
        <f>IF($A220="","",IFERROR(INDEX(Scores!$Y$2:$Y$225,MATCH($A220,Scores!$A$2:$A$225,0)),""))</f>
        <v>#DIV/0!</v>
      </c>
    </row>
    <row r="221" spans="1:19">
      <c r="A221" s="12" t="e">
        <f>IF(INT((216)/Setup!$B$13)+1&lt;=Setup!$B$5,INDEX(Scores!$A$2:$A$225,2+(INT((216)/Setup!$B$13)+1-1)*28+(MOD(216,Setup!$B$13)+1-1)-1),"")</f>
        <v>#DIV/0!</v>
      </c>
      <c r="B221" s="12" t="e">
        <f>IF(INT((216)/Setup!$B$13)+1&lt;=Setup!$B$5,CHAR(64+INT((216)/Setup!$B$13)+1),"")</f>
        <v>#DIV/0!</v>
      </c>
      <c r="C221" s="12" t="e">
        <f>IF(INT((216)/Setup!$B$13)+1&lt;=Setup!$B$5,INDEX(Scores!$E$2:$E$225,2+(INT((216)/Setup!$B$13)+1-1)*28+(MOD(216,Setup!$B$13)+1-1)-1),"")</f>
        <v>#DIV/0!</v>
      </c>
      <c r="D221" s="12" t="e">
        <f>IF(INT((216)/Setup!$B$13)+1&lt;=Setup!$B$5,INDEX(Scores!$G$2:$G$225,2+(INT((216)/Setup!$B$13)+1-1)*28+(MOD(216,Setup!$B$13)+1-1)-1),"")</f>
        <v>#DIV/0!</v>
      </c>
      <c r="E221" s="12" t="e">
        <f>IF(INT((216)/Setup!$B$13)+1&lt;=Setup!$B$5,INDEX(Scores!$I$2:$I$225,2+(INT((216)/Setup!$B$13)+1-1)*28+(MOD(216,Setup!$B$13)+1-1)-1),"")</f>
        <v>#DIV/0!</v>
      </c>
      <c r="F221" s="66"/>
      <c r="G221" s="67"/>
      <c r="H221" s="66"/>
      <c r="I221" s="67"/>
      <c r="J221" s="66"/>
      <c r="K221" s="67"/>
      <c r="L221" s="66"/>
      <c r="M221" s="67"/>
      <c r="N221" s="66"/>
      <c r="O221" s="67"/>
      <c r="P221" s="6" t="e">
        <f>IF($A221="","",IFERROR(INDEX(Scores!$T$2:$T$225,MATCH($A221,Scores!$A$2:$A$225,0)),""))</f>
        <v>#DIV/0!</v>
      </c>
      <c r="Q221" s="6" t="e">
        <f>IF($A221="","",IFERROR(INDEX(Scores!$U$2:$U$225,MATCH($A221,Scores!$A$2:$A$225,0)),""))</f>
        <v>#DIV/0!</v>
      </c>
      <c r="R221" s="12" t="e">
        <f>IF($A221="","",IF(IFERROR(INDEX(Scores!$X$2:$X$225,MATCH($A221,Scores!$A$2:$A$225,0)),0)=1,"Complete","Waiting"))</f>
        <v>#DIV/0!</v>
      </c>
      <c r="S221" s="12" t="e">
        <f>IF($A221="","",IFERROR(INDEX(Scores!$Y$2:$Y$225,MATCH($A221,Scores!$A$2:$A$225,0)),""))</f>
        <v>#DIV/0!</v>
      </c>
    </row>
    <row r="222" spans="1:19">
      <c r="A222" s="12" t="e">
        <f>IF(INT((217)/Setup!$B$13)+1&lt;=Setup!$B$5,INDEX(Scores!$A$2:$A$225,2+(INT((217)/Setup!$B$13)+1-1)*28+(MOD(217,Setup!$B$13)+1-1)-1),"")</f>
        <v>#DIV/0!</v>
      </c>
      <c r="B222" s="12" t="e">
        <f>IF(INT((217)/Setup!$B$13)+1&lt;=Setup!$B$5,CHAR(64+INT((217)/Setup!$B$13)+1),"")</f>
        <v>#DIV/0!</v>
      </c>
      <c r="C222" s="12" t="e">
        <f>IF(INT((217)/Setup!$B$13)+1&lt;=Setup!$B$5,INDEX(Scores!$E$2:$E$225,2+(INT((217)/Setup!$B$13)+1-1)*28+(MOD(217,Setup!$B$13)+1-1)-1),"")</f>
        <v>#DIV/0!</v>
      </c>
      <c r="D222" s="12" t="e">
        <f>IF(INT((217)/Setup!$B$13)+1&lt;=Setup!$B$5,INDEX(Scores!$G$2:$G$225,2+(INT((217)/Setup!$B$13)+1-1)*28+(MOD(217,Setup!$B$13)+1-1)-1),"")</f>
        <v>#DIV/0!</v>
      </c>
      <c r="E222" s="12" t="e">
        <f>IF(INT((217)/Setup!$B$13)+1&lt;=Setup!$B$5,INDEX(Scores!$I$2:$I$225,2+(INT((217)/Setup!$B$13)+1-1)*28+(MOD(217,Setup!$B$13)+1-1)-1),"")</f>
        <v>#DIV/0!</v>
      </c>
      <c r="F222" s="66"/>
      <c r="G222" s="67"/>
      <c r="H222" s="66"/>
      <c r="I222" s="67"/>
      <c r="J222" s="66"/>
      <c r="K222" s="67"/>
      <c r="L222" s="66"/>
      <c r="M222" s="67"/>
      <c r="N222" s="66"/>
      <c r="O222" s="67"/>
      <c r="P222" s="6" t="e">
        <f>IF($A222="","",IFERROR(INDEX(Scores!$T$2:$T$225,MATCH($A222,Scores!$A$2:$A$225,0)),""))</f>
        <v>#DIV/0!</v>
      </c>
      <c r="Q222" s="6" t="e">
        <f>IF($A222="","",IFERROR(INDEX(Scores!$U$2:$U$225,MATCH($A222,Scores!$A$2:$A$225,0)),""))</f>
        <v>#DIV/0!</v>
      </c>
      <c r="R222" s="12" t="e">
        <f>IF($A222="","",IF(IFERROR(INDEX(Scores!$X$2:$X$225,MATCH($A222,Scores!$A$2:$A$225,0)),0)=1,"Complete","Waiting"))</f>
        <v>#DIV/0!</v>
      </c>
      <c r="S222" s="12" t="e">
        <f>IF($A222="","",IFERROR(INDEX(Scores!$Y$2:$Y$225,MATCH($A222,Scores!$A$2:$A$225,0)),""))</f>
        <v>#DIV/0!</v>
      </c>
    </row>
    <row r="223" spans="1:19">
      <c r="A223" s="12" t="e">
        <f>IF(INT((218)/Setup!$B$13)+1&lt;=Setup!$B$5,INDEX(Scores!$A$2:$A$225,2+(INT((218)/Setup!$B$13)+1-1)*28+(MOD(218,Setup!$B$13)+1-1)-1),"")</f>
        <v>#DIV/0!</v>
      </c>
      <c r="B223" s="12" t="e">
        <f>IF(INT((218)/Setup!$B$13)+1&lt;=Setup!$B$5,CHAR(64+INT((218)/Setup!$B$13)+1),"")</f>
        <v>#DIV/0!</v>
      </c>
      <c r="C223" s="12" t="e">
        <f>IF(INT((218)/Setup!$B$13)+1&lt;=Setup!$B$5,INDEX(Scores!$E$2:$E$225,2+(INT((218)/Setup!$B$13)+1-1)*28+(MOD(218,Setup!$B$13)+1-1)-1),"")</f>
        <v>#DIV/0!</v>
      </c>
      <c r="D223" s="12" t="e">
        <f>IF(INT((218)/Setup!$B$13)+1&lt;=Setup!$B$5,INDEX(Scores!$G$2:$G$225,2+(INT((218)/Setup!$B$13)+1-1)*28+(MOD(218,Setup!$B$13)+1-1)-1),"")</f>
        <v>#DIV/0!</v>
      </c>
      <c r="E223" s="12" t="e">
        <f>IF(INT((218)/Setup!$B$13)+1&lt;=Setup!$B$5,INDEX(Scores!$I$2:$I$225,2+(INT((218)/Setup!$B$13)+1-1)*28+(MOD(218,Setup!$B$13)+1-1)-1),"")</f>
        <v>#DIV/0!</v>
      </c>
      <c r="F223" s="66"/>
      <c r="G223" s="67"/>
      <c r="H223" s="66"/>
      <c r="I223" s="67"/>
      <c r="J223" s="66"/>
      <c r="K223" s="67"/>
      <c r="L223" s="66"/>
      <c r="M223" s="67"/>
      <c r="N223" s="66"/>
      <c r="O223" s="67"/>
      <c r="P223" s="6" t="e">
        <f>IF($A223="","",IFERROR(INDEX(Scores!$T$2:$T$225,MATCH($A223,Scores!$A$2:$A$225,0)),""))</f>
        <v>#DIV/0!</v>
      </c>
      <c r="Q223" s="6" t="e">
        <f>IF($A223="","",IFERROR(INDEX(Scores!$U$2:$U$225,MATCH($A223,Scores!$A$2:$A$225,0)),""))</f>
        <v>#DIV/0!</v>
      </c>
      <c r="R223" s="12" t="e">
        <f>IF($A223="","",IF(IFERROR(INDEX(Scores!$X$2:$X$225,MATCH($A223,Scores!$A$2:$A$225,0)),0)=1,"Complete","Waiting"))</f>
        <v>#DIV/0!</v>
      </c>
      <c r="S223" s="12" t="e">
        <f>IF($A223="","",IFERROR(INDEX(Scores!$Y$2:$Y$225,MATCH($A223,Scores!$A$2:$A$225,0)),""))</f>
        <v>#DIV/0!</v>
      </c>
    </row>
    <row r="224" spans="1:19">
      <c r="A224" s="12" t="e">
        <f>IF(INT((219)/Setup!$B$13)+1&lt;=Setup!$B$5,INDEX(Scores!$A$2:$A$225,2+(INT((219)/Setup!$B$13)+1-1)*28+(MOD(219,Setup!$B$13)+1-1)-1),"")</f>
        <v>#DIV/0!</v>
      </c>
      <c r="B224" s="12" t="e">
        <f>IF(INT((219)/Setup!$B$13)+1&lt;=Setup!$B$5,CHAR(64+INT((219)/Setup!$B$13)+1),"")</f>
        <v>#DIV/0!</v>
      </c>
      <c r="C224" s="12" t="e">
        <f>IF(INT((219)/Setup!$B$13)+1&lt;=Setup!$B$5,INDEX(Scores!$E$2:$E$225,2+(INT((219)/Setup!$B$13)+1-1)*28+(MOD(219,Setup!$B$13)+1-1)-1),"")</f>
        <v>#DIV/0!</v>
      </c>
      <c r="D224" s="12" t="e">
        <f>IF(INT((219)/Setup!$B$13)+1&lt;=Setup!$B$5,INDEX(Scores!$G$2:$G$225,2+(INT((219)/Setup!$B$13)+1-1)*28+(MOD(219,Setup!$B$13)+1-1)-1),"")</f>
        <v>#DIV/0!</v>
      </c>
      <c r="E224" s="12" t="e">
        <f>IF(INT((219)/Setup!$B$13)+1&lt;=Setup!$B$5,INDEX(Scores!$I$2:$I$225,2+(INT((219)/Setup!$B$13)+1-1)*28+(MOD(219,Setup!$B$13)+1-1)-1),"")</f>
        <v>#DIV/0!</v>
      </c>
      <c r="F224" s="66"/>
      <c r="G224" s="67"/>
      <c r="H224" s="66"/>
      <c r="I224" s="67"/>
      <c r="J224" s="66"/>
      <c r="K224" s="67"/>
      <c r="L224" s="66"/>
      <c r="M224" s="67"/>
      <c r="N224" s="66"/>
      <c r="O224" s="67"/>
      <c r="P224" s="6" t="e">
        <f>IF($A224="","",IFERROR(INDEX(Scores!$T$2:$T$225,MATCH($A224,Scores!$A$2:$A$225,0)),""))</f>
        <v>#DIV/0!</v>
      </c>
      <c r="Q224" s="6" t="e">
        <f>IF($A224="","",IFERROR(INDEX(Scores!$U$2:$U$225,MATCH($A224,Scores!$A$2:$A$225,0)),""))</f>
        <v>#DIV/0!</v>
      </c>
      <c r="R224" s="12" t="e">
        <f>IF($A224="","",IF(IFERROR(INDEX(Scores!$X$2:$X$225,MATCH($A224,Scores!$A$2:$A$225,0)),0)=1,"Complete","Waiting"))</f>
        <v>#DIV/0!</v>
      </c>
      <c r="S224" s="12" t="e">
        <f>IF($A224="","",IFERROR(INDEX(Scores!$Y$2:$Y$225,MATCH($A224,Scores!$A$2:$A$225,0)),""))</f>
        <v>#DIV/0!</v>
      </c>
    </row>
    <row r="225" spans="1:19">
      <c r="A225" s="12" t="e">
        <f>IF(INT((220)/Setup!$B$13)+1&lt;=Setup!$B$5,INDEX(Scores!$A$2:$A$225,2+(INT((220)/Setup!$B$13)+1-1)*28+(MOD(220,Setup!$B$13)+1-1)-1),"")</f>
        <v>#DIV/0!</v>
      </c>
      <c r="B225" s="12" t="e">
        <f>IF(INT((220)/Setup!$B$13)+1&lt;=Setup!$B$5,CHAR(64+INT((220)/Setup!$B$13)+1),"")</f>
        <v>#DIV/0!</v>
      </c>
      <c r="C225" s="12" t="e">
        <f>IF(INT((220)/Setup!$B$13)+1&lt;=Setup!$B$5,INDEX(Scores!$E$2:$E$225,2+(INT((220)/Setup!$B$13)+1-1)*28+(MOD(220,Setup!$B$13)+1-1)-1),"")</f>
        <v>#DIV/0!</v>
      </c>
      <c r="D225" s="12" t="e">
        <f>IF(INT((220)/Setup!$B$13)+1&lt;=Setup!$B$5,INDEX(Scores!$G$2:$G$225,2+(INT((220)/Setup!$B$13)+1-1)*28+(MOD(220,Setup!$B$13)+1-1)-1),"")</f>
        <v>#DIV/0!</v>
      </c>
      <c r="E225" s="12" t="e">
        <f>IF(INT((220)/Setup!$B$13)+1&lt;=Setup!$B$5,INDEX(Scores!$I$2:$I$225,2+(INT((220)/Setup!$B$13)+1-1)*28+(MOD(220,Setup!$B$13)+1-1)-1),"")</f>
        <v>#DIV/0!</v>
      </c>
      <c r="F225" s="66"/>
      <c r="G225" s="67"/>
      <c r="H225" s="66"/>
      <c r="I225" s="67"/>
      <c r="J225" s="66"/>
      <c r="K225" s="67"/>
      <c r="L225" s="66"/>
      <c r="M225" s="67"/>
      <c r="N225" s="66"/>
      <c r="O225" s="67"/>
      <c r="P225" s="6" t="e">
        <f>IF($A225="","",IFERROR(INDEX(Scores!$T$2:$T$225,MATCH($A225,Scores!$A$2:$A$225,0)),""))</f>
        <v>#DIV/0!</v>
      </c>
      <c r="Q225" s="6" t="e">
        <f>IF($A225="","",IFERROR(INDEX(Scores!$U$2:$U$225,MATCH($A225,Scores!$A$2:$A$225,0)),""))</f>
        <v>#DIV/0!</v>
      </c>
      <c r="R225" s="12" t="e">
        <f>IF($A225="","",IF(IFERROR(INDEX(Scores!$X$2:$X$225,MATCH($A225,Scores!$A$2:$A$225,0)),0)=1,"Complete","Waiting"))</f>
        <v>#DIV/0!</v>
      </c>
      <c r="S225" s="12" t="e">
        <f>IF($A225="","",IFERROR(INDEX(Scores!$Y$2:$Y$225,MATCH($A225,Scores!$A$2:$A$225,0)),""))</f>
        <v>#DIV/0!</v>
      </c>
    </row>
    <row r="226" spans="1:19">
      <c r="A226" s="12" t="e">
        <f>IF(INT((221)/Setup!$B$13)+1&lt;=Setup!$B$5,INDEX(Scores!$A$2:$A$225,2+(INT((221)/Setup!$B$13)+1-1)*28+(MOD(221,Setup!$B$13)+1-1)-1),"")</f>
        <v>#DIV/0!</v>
      </c>
      <c r="B226" s="12" t="e">
        <f>IF(INT((221)/Setup!$B$13)+1&lt;=Setup!$B$5,CHAR(64+INT((221)/Setup!$B$13)+1),"")</f>
        <v>#DIV/0!</v>
      </c>
      <c r="C226" s="12" t="e">
        <f>IF(INT((221)/Setup!$B$13)+1&lt;=Setup!$B$5,INDEX(Scores!$E$2:$E$225,2+(INT((221)/Setup!$B$13)+1-1)*28+(MOD(221,Setup!$B$13)+1-1)-1),"")</f>
        <v>#DIV/0!</v>
      </c>
      <c r="D226" s="12" t="e">
        <f>IF(INT((221)/Setup!$B$13)+1&lt;=Setup!$B$5,INDEX(Scores!$G$2:$G$225,2+(INT((221)/Setup!$B$13)+1-1)*28+(MOD(221,Setup!$B$13)+1-1)-1),"")</f>
        <v>#DIV/0!</v>
      </c>
      <c r="E226" s="12" t="e">
        <f>IF(INT((221)/Setup!$B$13)+1&lt;=Setup!$B$5,INDEX(Scores!$I$2:$I$225,2+(INT((221)/Setup!$B$13)+1-1)*28+(MOD(221,Setup!$B$13)+1-1)-1),"")</f>
        <v>#DIV/0!</v>
      </c>
      <c r="F226" s="66"/>
      <c r="G226" s="67"/>
      <c r="H226" s="66"/>
      <c r="I226" s="67"/>
      <c r="J226" s="66"/>
      <c r="K226" s="67"/>
      <c r="L226" s="66"/>
      <c r="M226" s="67"/>
      <c r="N226" s="66"/>
      <c r="O226" s="67"/>
      <c r="P226" s="6" t="e">
        <f>IF($A226="","",IFERROR(INDEX(Scores!$T$2:$T$225,MATCH($A226,Scores!$A$2:$A$225,0)),""))</f>
        <v>#DIV/0!</v>
      </c>
      <c r="Q226" s="6" t="e">
        <f>IF($A226="","",IFERROR(INDEX(Scores!$U$2:$U$225,MATCH($A226,Scores!$A$2:$A$225,0)),""))</f>
        <v>#DIV/0!</v>
      </c>
      <c r="R226" s="12" t="e">
        <f>IF($A226="","",IF(IFERROR(INDEX(Scores!$X$2:$X$225,MATCH($A226,Scores!$A$2:$A$225,0)),0)=1,"Complete","Waiting"))</f>
        <v>#DIV/0!</v>
      </c>
      <c r="S226" s="12" t="e">
        <f>IF($A226="","",IFERROR(INDEX(Scores!$Y$2:$Y$225,MATCH($A226,Scores!$A$2:$A$225,0)),""))</f>
        <v>#DIV/0!</v>
      </c>
    </row>
    <row r="227" spans="1:19">
      <c r="A227" s="12" t="e">
        <f>IF(INT((222)/Setup!$B$13)+1&lt;=Setup!$B$5,INDEX(Scores!$A$2:$A$225,2+(INT((222)/Setup!$B$13)+1-1)*28+(MOD(222,Setup!$B$13)+1-1)-1),"")</f>
        <v>#DIV/0!</v>
      </c>
      <c r="B227" s="12" t="e">
        <f>IF(INT((222)/Setup!$B$13)+1&lt;=Setup!$B$5,CHAR(64+INT((222)/Setup!$B$13)+1),"")</f>
        <v>#DIV/0!</v>
      </c>
      <c r="C227" s="12" t="e">
        <f>IF(INT((222)/Setup!$B$13)+1&lt;=Setup!$B$5,INDEX(Scores!$E$2:$E$225,2+(INT((222)/Setup!$B$13)+1-1)*28+(MOD(222,Setup!$B$13)+1-1)-1),"")</f>
        <v>#DIV/0!</v>
      </c>
      <c r="D227" s="12" t="e">
        <f>IF(INT((222)/Setup!$B$13)+1&lt;=Setup!$B$5,INDEX(Scores!$G$2:$G$225,2+(INT((222)/Setup!$B$13)+1-1)*28+(MOD(222,Setup!$B$13)+1-1)-1),"")</f>
        <v>#DIV/0!</v>
      </c>
      <c r="E227" s="12" t="e">
        <f>IF(INT((222)/Setup!$B$13)+1&lt;=Setup!$B$5,INDEX(Scores!$I$2:$I$225,2+(INT((222)/Setup!$B$13)+1-1)*28+(MOD(222,Setup!$B$13)+1-1)-1),"")</f>
        <v>#DIV/0!</v>
      </c>
      <c r="F227" s="66"/>
      <c r="G227" s="67"/>
      <c r="H227" s="66"/>
      <c r="I227" s="67"/>
      <c r="J227" s="66"/>
      <c r="K227" s="67"/>
      <c r="L227" s="66"/>
      <c r="M227" s="67"/>
      <c r="N227" s="66"/>
      <c r="O227" s="67"/>
      <c r="P227" s="6" t="e">
        <f>IF($A227="","",IFERROR(INDEX(Scores!$T$2:$T$225,MATCH($A227,Scores!$A$2:$A$225,0)),""))</f>
        <v>#DIV/0!</v>
      </c>
      <c r="Q227" s="6" t="e">
        <f>IF($A227="","",IFERROR(INDEX(Scores!$U$2:$U$225,MATCH($A227,Scores!$A$2:$A$225,0)),""))</f>
        <v>#DIV/0!</v>
      </c>
      <c r="R227" s="12" t="e">
        <f>IF($A227="","",IF(IFERROR(INDEX(Scores!$X$2:$X$225,MATCH($A227,Scores!$A$2:$A$225,0)),0)=1,"Complete","Waiting"))</f>
        <v>#DIV/0!</v>
      </c>
      <c r="S227" s="12" t="e">
        <f>IF($A227="","",IFERROR(INDEX(Scores!$Y$2:$Y$225,MATCH($A227,Scores!$A$2:$A$225,0)),""))</f>
        <v>#DIV/0!</v>
      </c>
    </row>
    <row r="228" spans="1:19">
      <c r="A228" s="12" t="e">
        <f>IF(INT((223)/Setup!$B$13)+1&lt;=Setup!$B$5,INDEX(Scores!$A$2:$A$225,2+(INT((223)/Setup!$B$13)+1-1)*28+(MOD(223,Setup!$B$13)+1-1)-1),"")</f>
        <v>#DIV/0!</v>
      </c>
      <c r="B228" s="12" t="e">
        <f>IF(INT((223)/Setup!$B$13)+1&lt;=Setup!$B$5,CHAR(64+INT((223)/Setup!$B$13)+1),"")</f>
        <v>#DIV/0!</v>
      </c>
      <c r="C228" s="12" t="e">
        <f>IF(INT((223)/Setup!$B$13)+1&lt;=Setup!$B$5,INDEX(Scores!$E$2:$E$225,2+(INT((223)/Setup!$B$13)+1-1)*28+(MOD(223,Setup!$B$13)+1-1)-1),"")</f>
        <v>#DIV/0!</v>
      </c>
      <c r="D228" s="12" t="e">
        <f>IF(INT((223)/Setup!$B$13)+1&lt;=Setup!$B$5,INDEX(Scores!$G$2:$G$225,2+(INT((223)/Setup!$B$13)+1-1)*28+(MOD(223,Setup!$B$13)+1-1)-1),"")</f>
        <v>#DIV/0!</v>
      </c>
      <c r="E228" s="12" t="e">
        <f>IF(INT((223)/Setup!$B$13)+1&lt;=Setup!$B$5,INDEX(Scores!$I$2:$I$225,2+(INT((223)/Setup!$B$13)+1-1)*28+(MOD(223,Setup!$B$13)+1-1)-1),"")</f>
        <v>#DIV/0!</v>
      </c>
      <c r="F228" s="66"/>
      <c r="G228" s="67"/>
      <c r="H228" s="66"/>
      <c r="I228" s="67"/>
      <c r="J228" s="66"/>
      <c r="K228" s="67"/>
      <c r="L228" s="66"/>
      <c r="M228" s="67"/>
      <c r="N228" s="66"/>
      <c r="O228" s="67"/>
      <c r="P228" s="6" t="e">
        <f>IF($A228="","",IFERROR(INDEX(Scores!$T$2:$T$225,MATCH($A228,Scores!$A$2:$A$225,0)),""))</f>
        <v>#DIV/0!</v>
      </c>
      <c r="Q228" s="6" t="e">
        <f>IF($A228="","",IFERROR(INDEX(Scores!$U$2:$U$225,MATCH($A228,Scores!$A$2:$A$225,0)),""))</f>
        <v>#DIV/0!</v>
      </c>
      <c r="R228" s="12" t="e">
        <f>IF($A228="","",IF(IFERROR(INDEX(Scores!$X$2:$X$225,MATCH($A228,Scores!$A$2:$A$225,0)),0)=1,"Complete","Waiting"))</f>
        <v>#DIV/0!</v>
      </c>
      <c r="S228" s="12" t="e">
        <f>IF($A228="","",IFERROR(INDEX(Scores!$Y$2:$Y$225,MATCH($A228,Scores!$A$2:$A$225,0)),""))</f>
        <v>#DIV/0!</v>
      </c>
    </row>
    <row r="229" spans="1:1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6"/>
      <c r="Q229" s="6"/>
      <c r="R229" s="12"/>
      <c r="S229" s="12"/>
    </row>
    <row r="230" spans="1:19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6"/>
      <c r="Q230" s="6"/>
      <c r="R230" s="12"/>
      <c r="S230" s="12"/>
    </row>
  </sheetData>
  <conditionalFormatting sqref="A5:S228">
    <cfRule type="expression" dxfId="12" priority="2">
      <formula>$A5=""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225"/>
  <sheetViews>
    <sheetView showGridLines="0" workbookViewId="0"/>
  </sheetViews>
  <sheetFormatPr defaultRowHeight="14.25"/>
  <cols>
    <col min="1" max="1" width="6.625" style="4" customWidth="1"/>
    <col min="2" max="3" width="6.25" style="4" customWidth="1"/>
    <col min="4" max="4" width="9" style="4" customWidth="1"/>
    <col min="5" max="5" width="6.625" style="4" customWidth="1"/>
    <col min="6" max="6" width="8" hidden="1" customWidth="1"/>
    <col min="7" max="7" width="15.875" customWidth="1"/>
    <col min="8" max="8" width="8" hidden="1" customWidth="1"/>
    <col min="9" max="9" width="15.125" customWidth="1"/>
    <col min="10" max="19" width="10" customWidth="1"/>
    <col min="20" max="30" width="12" hidden="1" customWidth="1"/>
  </cols>
  <sheetData>
    <row r="1" spans="1:31" ht="31.5" customHeight="1">
      <c r="A1" s="27" t="s">
        <v>150</v>
      </c>
      <c r="B1" s="28" t="s">
        <v>71</v>
      </c>
      <c r="C1" s="28" t="s">
        <v>72</v>
      </c>
      <c r="D1" s="28" t="s">
        <v>168</v>
      </c>
      <c r="E1" s="28" t="s">
        <v>151</v>
      </c>
      <c r="F1" s="28" t="s">
        <v>169</v>
      </c>
      <c r="G1" s="28" t="s">
        <v>152</v>
      </c>
      <c r="H1" s="28" t="s">
        <v>170</v>
      </c>
      <c r="I1" s="28" t="s">
        <v>153</v>
      </c>
      <c r="J1" s="28" t="s">
        <v>171</v>
      </c>
      <c r="K1" s="28" t="s">
        <v>172</v>
      </c>
      <c r="L1" s="28" t="s">
        <v>173</v>
      </c>
      <c r="M1" s="28" t="s">
        <v>174</v>
      </c>
      <c r="N1" s="28" t="s">
        <v>175</v>
      </c>
      <c r="O1" s="28" t="s">
        <v>176</v>
      </c>
      <c r="P1" s="28" t="s">
        <v>177</v>
      </c>
      <c r="Q1" s="28" t="s">
        <v>178</v>
      </c>
      <c r="R1" s="28" t="s">
        <v>179</v>
      </c>
      <c r="S1" s="28" t="s">
        <v>180</v>
      </c>
      <c r="T1" s="28" t="s">
        <v>164</v>
      </c>
      <c r="U1" s="28" t="s">
        <v>165</v>
      </c>
      <c r="V1" s="28" t="s">
        <v>181</v>
      </c>
      <c r="W1" s="28" t="s">
        <v>182</v>
      </c>
      <c r="X1" s="28" t="s">
        <v>183</v>
      </c>
      <c r="Y1" s="28" t="s">
        <v>167</v>
      </c>
      <c r="Z1" s="28" t="s">
        <v>184</v>
      </c>
      <c r="AA1" s="28" t="s">
        <v>185</v>
      </c>
      <c r="AB1" s="28" t="s">
        <v>186</v>
      </c>
      <c r="AC1" s="28" t="s">
        <v>187</v>
      </c>
      <c r="AD1" s="28" t="s">
        <v>188</v>
      </c>
      <c r="AE1" s="6"/>
    </row>
    <row r="2" spans="1:31">
      <c r="A2" s="29">
        <v>1</v>
      </c>
      <c r="B2" s="29" t="str">
        <f>IF(INT(($A2-1)/28)+1&lt;=Setup!$B$5,INT(($A2-1)/28)+1,"")</f>
        <v/>
      </c>
      <c r="C2" s="29" t="str">
        <f t="shared" ref="C2:C65" si="0">IF($B2="","",CHAR(64+$B2))</f>
        <v/>
      </c>
      <c r="D2" s="29">
        <f t="shared" ref="D2:D65" si="1">MOD($A2-1,28)+1</f>
        <v>1</v>
      </c>
      <c r="E2" s="29" t="str">
        <f>IF($B2="","",IFERROR(INDEX('Fixture Library'!$C$2:$C$200,MATCH(Setup!$B$6*100+$D2,'Fixture Library'!$F$2:$F$200,0)),""))</f>
        <v/>
      </c>
      <c r="F2" s="30" t="str">
        <f>IF($B2="","",IFERROR(INDEX('Fixture Library'!$D$2:$D$200,MATCH(Setup!$B$6*100+$D2,'Fixture Library'!$F$2:$F$200,0)),""))</f>
        <v/>
      </c>
      <c r="G2" s="30" t="str">
        <f>IF($F2="","",INDEX(Teams!$E$2:$E$65,($B2-1)*8+$F2))</f>
        <v/>
      </c>
      <c r="H2" s="30" t="str">
        <f>IF($B2="","",IFERROR(INDEX('Fixture Library'!$E$2:$E$200,MATCH(Setup!$B$6*100+$D2,'Fixture Library'!$F$2:$F$200,0)),""))</f>
        <v/>
      </c>
      <c r="I2" s="30" t="str">
        <f>IF($H2="","",INDEX(Teams!$E$2:$E$65,($B2-1)*8+$H2))</f>
        <v/>
      </c>
      <c r="J2" s="31" t="str">
        <f>IF($G2="","",IFERROR(INDEX('Match Entry'!$F$5:$F$228,5+($B2-1)*Setup!$B$13+$D2-1-4),""))</f>
        <v/>
      </c>
      <c r="K2" s="32" t="str">
        <f>IF($G2="","",IFERROR(INDEX('Match Entry'!$G$5:$G$228,5+($B2-1)*Setup!$B$13+$D2-1-4),""))</f>
        <v/>
      </c>
      <c r="L2" s="31" t="str">
        <f>IF($G2="","",IFERROR(INDEX('Match Entry'!$H$5:$H$228,5+($B2-1)*Setup!$B$13+$D2-1-4),""))</f>
        <v/>
      </c>
      <c r="M2" s="32" t="str">
        <f>IF($G2="","",IFERROR(INDEX('Match Entry'!$I$5:$I$228,5+($B2-1)*Setup!$B$13+$D2-1-4),""))</f>
        <v/>
      </c>
      <c r="N2" s="31" t="str">
        <f>IF($G2="","",IFERROR(INDEX('Match Entry'!$J$5:$J$228,5+($B2-1)*Setup!$B$13+$D2-1-4),""))</f>
        <v/>
      </c>
      <c r="O2" s="32" t="str">
        <f>IF($G2="","",IFERROR(INDEX('Match Entry'!$K$5:$K$228,5+($B2-1)*Setup!$B$13+$D2-1-4),""))</f>
        <v/>
      </c>
      <c r="P2" s="31" t="str">
        <f>IF($G2="","",IFERROR(INDEX('Match Entry'!$L$5:$L$228,5+($B2-1)*Setup!$B$13+$D2-1-4),""))</f>
        <v/>
      </c>
      <c r="Q2" s="32" t="str">
        <f>IF($G2="","",IFERROR(INDEX('Match Entry'!$M$5:$M$228,5+($B2-1)*Setup!$B$13+$D2-1-4),""))</f>
        <v/>
      </c>
      <c r="R2" s="31" t="str">
        <f>IF($G2="","",IFERROR(INDEX('Match Entry'!$N$5:$N$228,5+($B2-1)*Setup!$B$13+$D2-1-4),""))</f>
        <v/>
      </c>
      <c r="S2" s="32" t="str">
        <f>IF($G2="","",IFERROR(INDEX('Match Entry'!$O$5:$O$228,5+($B2-1)*Setup!$B$13+$D2-1-4),""))</f>
        <v/>
      </c>
      <c r="T2" s="33" t="str">
        <f t="shared" ref="T2:T65" si="2">IF(OR($G2="",$I2=""),"",IF(AND(ISNUMBER($J2),ISNUMBER($K2),$J2&gt;$K2),1,0)+IF(AND(ISNUMBER($L2),ISNUMBER($M2),$L2&gt;$M2),1,0)+IF(AND(ISNUMBER($N2),ISNUMBER($O2),$N2&gt;$O2),1,0)+IF(AND(ISNUMBER($P2),ISNUMBER($Q2),$P2&gt;$Q2),1,0)+IF(AND(ISNUMBER($R2),ISNUMBER($S2),$R2&gt;$S2),1,0))</f>
        <v/>
      </c>
      <c r="U2" s="33" t="str">
        <f t="shared" ref="U2:U65" si="3">IF(OR($G2="",$I2=""),"",IF(AND(ISNUMBER($J2),ISNUMBER($K2),$K2&gt;$J2),1,0)+IF(AND(ISNUMBER($L2),ISNUMBER($M2),$M2&gt;$L2),1,0)+IF(AND(ISNUMBER($N2),ISNUMBER($O2),$O2&gt;$N2),1,0)+IF(AND(ISNUMBER($P2),ISNUMBER($Q2),$Q2&gt;$P2),1,0)+IF(AND(ISNUMBER($R2),ISNUMBER($S2),$S2&gt;$R2),1,0))</f>
        <v/>
      </c>
      <c r="V2" s="33" t="str">
        <f t="shared" ref="V2:V65" si="4">IF(OR($G2="",$I2=""),"",SUM($J2,$L2,$N2,$P2,$R2))</f>
        <v/>
      </c>
      <c r="W2" s="33" t="str">
        <f t="shared" ref="W2:W65" si="5">IF(OR($G2="",$I2=""),"",SUM($K2,$M2,$O2,$Q2,$S2))</f>
        <v/>
      </c>
      <c r="X2" s="30" t="str">
        <f>IF(OR($G2="",$I2=""),"",IF(OR($T2&gt;=Setup!$B$8,$U2&gt;=Setup!$B$8),1,""))</f>
        <v/>
      </c>
      <c r="Y2" s="30" t="str">
        <f t="shared" ref="Y2:Y65" si="6">IF($X2=1,IF($T2&gt;$U2,$G2,$I2),"")</f>
        <v/>
      </c>
      <c r="Z2" s="33" t="str">
        <f>IF($X2=1,IF($T2&gt;$U2,Setup!$B$9,Setup!$B$10),"")</f>
        <v/>
      </c>
      <c r="AA2" s="33" t="str">
        <f>IF($X2=1,IF($U2&gt;$T2,Setup!$B$9,Setup!$B$10),"")</f>
        <v/>
      </c>
      <c r="AB2" s="30" t="str">
        <f t="shared" ref="AB2:AB65" si="7">IF($G2="","",$B2*100+$F2)</f>
        <v/>
      </c>
      <c r="AC2" s="30" t="str">
        <f t="shared" ref="AC2:AC65" si="8">IF($I2="","",$B2*100+$H2)</f>
        <v/>
      </c>
      <c r="AD2" s="30" t="str">
        <f t="shared" ref="AD2:AD65" si="9">IF($X2=1,IF($T2&gt;$U2,$AB2,$AC2),"")</f>
        <v/>
      </c>
    </row>
    <row r="3" spans="1:31">
      <c r="A3" s="29">
        <v>2</v>
      </c>
      <c r="B3" s="29" t="str">
        <f>IF(INT(($A3-1)/28)+1&lt;=Setup!$B$5,INT(($A3-1)/28)+1,"")</f>
        <v/>
      </c>
      <c r="C3" s="29" t="str">
        <f t="shared" si="0"/>
        <v/>
      </c>
      <c r="D3" s="29">
        <f t="shared" si="1"/>
        <v>2</v>
      </c>
      <c r="E3" s="29" t="str">
        <f>IF($B3="","",IFERROR(INDEX('Fixture Library'!$C$2:$C$200,MATCH(Setup!$B$6*100+$D3,'Fixture Library'!$F$2:$F$200,0)),""))</f>
        <v/>
      </c>
      <c r="F3" s="30" t="str">
        <f>IF($B3="","",IFERROR(INDEX('Fixture Library'!$D$2:$D$200,MATCH(Setup!$B$6*100+$D3,'Fixture Library'!$F$2:$F$200,0)),""))</f>
        <v/>
      </c>
      <c r="G3" s="30" t="str">
        <f>IF($F3="","",INDEX(Teams!$E$2:$E$65,($B3-1)*8+$F3))</f>
        <v/>
      </c>
      <c r="H3" s="30" t="str">
        <f>IF($B3="","",IFERROR(INDEX('Fixture Library'!$E$2:$E$200,MATCH(Setup!$B$6*100+$D3,'Fixture Library'!$F$2:$F$200,0)),""))</f>
        <v/>
      </c>
      <c r="I3" s="30" t="str">
        <f>IF($H3="","",INDEX(Teams!$E$2:$E$65,($B3-1)*8+$H3))</f>
        <v/>
      </c>
      <c r="J3" s="34" t="str">
        <f>IF($G3="","",IFERROR(INDEX('Match Entry'!$F$5:$F$228,5+($B3-1)*Setup!$B$13+$D3-1-4),""))</f>
        <v/>
      </c>
      <c r="K3" s="35" t="str">
        <f>IF($G3="","",IFERROR(INDEX('Match Entry'!$G$5:$G$228,5+($B3-1)*Setup!$B$13+$D3-1-4),""))</f>
        <v/>
      </c>
      <c r="L3" s="34" t="str">
        <f>IF($G3="","",IFERROR(INDEX('Match Entry'!$H$5:$H$228,5+($B3-1)*Setup!$B$13+$D3-1-4),""))</f>
        <v/>
      </c>
      <c r="M3" s="35" t="str">
        <f>IF($G3="","",IFERROR(INDEX('Match Entry'!$I$5:$I$228,5+($B3-1)*Setup!$B$13+$D3-1-4),""))</f>
        <v/>
      </c>
      <c r="N3" s="34" t="str">
        <f>IF($G3="","",IFERROR(INDEX('Match Entry'!$J$5:$J$228,5+($B3-1)*Setup!$B$13+$D3-1-4),""))</f>
        <v/>
      </c>
      <c r="O3" s="35" t="str">
        <f>IF($G3="","",IFERROR(INDEX('Match Entry'!$K$5:$K$228,5+($B3-1)*Setup!$B$13+$D3-1-4),""))</f>
        <v/>
      </c>
      <c r="P3" s="34" t="str">
        <f>IF($G3="","",IFERROR(INDEX('Match Entry'!$L$5:$L$228,5+($B3-1)*Setup!$B$13+$D3-1-4),""))</f>
        <v/>
      </c>
      <c r="Q3" s="35" t="str">
        <f>IF($G3="","",IFERROR(INDEX('Match Entry'!$M$5:$M$228,5+($B3-1)*Setup!$B$13+$D3-1-4),""))</f>
        <v/>
      </c>
      <c r="R3" s="34" t="str">
        <f>IF($G3="","",IFERROR(INDEX('Match Entry'!$N$5:$N$228,5+($B3-1)*Setup!$B$13+$D3-1-4),""))</f>
        <v/>
      </c>
      <c r="S3" s="35" t="str">
        <f>IF($G3="","",IFERROR(INDEX('Match Entry'!$O$5:$O$228,5+($B3-1)*Setup!$B$13+$D3-1-4),""))</f>
        <v/>
      </c>
      <c r="T3" s="33" t="str">
        <f t="shared" si="2"/>
        <v/>
      </c>
      <c r="U3" s="33" t="str">
        <f t="shared" si="3"/>
        <v/>
      </c>
      <c r="V3" s="33" t="str">
        <f t="shared" si="4"/>
        <v/>
      </c>
      <c r="W3" s="33" t="str">
        <f t="shared" si="5"/>
        <v/>
      </c>
      <c r="X3" s="30" t="str">
        <f>IF(OR($G3="",$I3=""),"",IF(OR($T3&gt;=Setup!$B$8,$U3&gt;=Setup!$B$8),1,""))</f>
        <v/>
      </c>
      <c r="Y3" s="30" t="str">
        <f t="shared" si="6"/>
        <v/>
      </c>
      <c r="Z3" s="33" t="str">
        <f>IF($X3=1,IF($T3&gt;$U3,Setup!$B$9,Setup!$B$10),"")</f>
        <v/>
      </c>
      <c r="AA3" s="33" t="str">
        <f>IF($X3=1,IF($U3&gt;$T3,Setup!$B$9,Setup!$B$10),"")</f>
        <v/>
      </c>
      <c r="AB3" s="30" t="str">
        <f t="shared" si="7"/>
        <v/>
      </c>
      <c r="AC3" s="30" t="str">
        <f t="shared" si="8"/>
        <v/>
      </c>
      <c r="AD3" s="30" t="str">
        <f t="shared" si="9"/>
        <v/>
      </c>
    </row>
    <row r="4" spans="1:31">
      <c r="A4" s="29">
        <v>3</v>
      </c>
      <c r="B4" s="29" t="str">
        <f>IF(INT(($A4-1)/28)+1&lt;=Setup!$B$5,INT(($A4-1)/28)+1,"")</f>
        <v/>
      </c>
      <c r="C4" s="29" t="str">
        <f t="shared" si="0"/>
        <v/>
      </c>
      <c r="D4" s="29">
        <f t="shared" si="1"/>
        <v>3</v>
      </c>
      <c r="E4" s="29" t="str">
        <f>IF($B4="","",IFERROR(INDEX('Fixture Library'!$C$2:$C$200,MATCH(Setup!$B$6*100+$D4,'Fixture Library'!$F$2:$F$200,0)),""))</f>
        <v/>
      </c>
      <c r="F4" s="30" t="str">
        <f>IF($B4="","",IFERROR(INDEX('Fixture Library'!$D$2:$D$200,MATCH(Setup!$B$6*100+$D4,'Fixture Library'!$F$2:$F$200,0)),""))</f>
        <v/>
      </c>
      <c r="G4" s="30" t="str">
        <f>IF($F4="","",INDEX(Teams!$E$2:$E$65,($B4-1)*8+$F4))</f>
        <v/>
      </c>
      <c r="H4" s="30" t="str">
        <f>IF($B4="","",IFERROR(INDEX('Fixture Library'!$E$2:$E$200,MATCH(Setup!$B$6*100+$D4,'Fixture Library'!$F$2:$F$200,0)),""))</f>
        <v/>
      </c>
      <c r="I4" s="30" t="str">
        <f>IF($H4="","",INDEX(Teams!$E$2:$E$65,($B4-1)*8+$H4))</f>
        <v/>
      </c>
      <c r="J4" s="34" t="str">
        <f>IF($G4="","",IFERROR(INDEX('Match Entry'!$F$5:$F$228,5+($B4-1)*Setup!$B$13+$D4-1-4),""))</f>
        <v/>
      </c>
      <c r="K4" s="35" t="str">
        <f>IF($G4="","",IFERROR(INDEX('Match Entry'!$G$5:$G$228,5+($B4-1)*Setup!$B$13+$D4-1-4),""))</f>
        <v/>
      </c>
      <c r="L4" s="34" t="str">
        <f>IF($G4="","",IFERROR(INDEX('Match Entry'!$H$5:$H$228,5+($B4-1)*Setup!$B$13+$D4-1-4),""))</f>
        <v/>
      </c>
      <c r="M4" s="35" t="str">
        <f>IF($G4="","",IFERROR(INDEX('Match Entry'!$I$5:$I$228,5+($B4-1)*Setup!$B$13+$D4-1-4),""))</f>
        <v/>
      </c>
      <c r="N4" s="34" t="str">
        <f>IF($G4="","",IFERROR(INDEX('Match Entry'!$J$5:$J$228,5+($B4-1)*Setup!$B$13+$D4-1-4),""))</f>
        <v/>
      </c>
      <c r="O4" s="35" t="str">
        <f>IF($G4="","",IFERROR(INDEX('Match Entry'!$K$5:$K$228,5+($B4-1)*Setup!$B$13+$D4-1-4),""))</f>
        <v/>
      </c>
      <c r="P4" s="34" t="str">
        <f>IF($G4="","",IFERROR(INDEX('Match Entry'!$L$5:$L$228,5+($B4-1)*Setup!$B$13+$D4-1-4),""))</f>
        <v/>
      </c>
      <c r="Q4" s="35" t="str">
        <f>IF($G4="","",IFERROR(INDEX('Match Entry'!$M$5:$M$228,5+($B4-1)*Setup!$B$13+$D4-1-4),""))</f>
        <v/>
      </c>
      <c r="R4" s="34" t="str">
        <f>IF($G4="","",IFERROR(INDEX('Match Entry'!$N$5:$N$228,5+($B4-1)*Setup!$B$13+$D4-1-4),""))</f>
        <v/>
      </c>
      <c r="S4" s="35" t="str">
        <f>IF($G4="","",IFERROR(INDEX('Match Entry'!$O$5:$O$228,5+($B4-1)*Setup!$B$13+$D4-1-4),""))</f>
        <v/>
      </c>
      <c r="T4" s="33" t="str">
        <f t="shared" si="2"/>
        <v/>
      </c>
      <c r="U4" s="33" t="str">
        <f t="shared" si="3"/>
        <v/>
      </c>
      <c r="V4" s="33" t="str">
        <f t="shared" si="4"/>
        <v/>
      </c>
      <c r="W4" s="33" t="str">
        <f t="shared" si="5"/>
        <v/>
      </c>
      <c r="X4" s="30" t="str">
        <f>IF(OR($G4="",$I4=""),"",IF(OR($T4&gt;=Setup!$B$8,$U4&gt;=Setup!$B$8),1,""))</f>
        <v/>
      </c>
      <c r="Y4" s="30" t="str">
        <f t="shared" si="6"/>
        <v/>
      </c>
      <c r="Z4" s="33" t="str">
        <f>IF($X4=1,IF($T4&gt;$U4,Setup!$B$9,Setup!$B$10),"")</f>
        <v/>
      </c>
      <c r="AA4" s="33" t="str">
        <f>IF($X4=1,IF($U4&gt;$T4,Setup!$B$9,Setup!$B$10),"")</f>
        <v/>
      </c>
      <c r="AB4" s="30" t="str">
        <f t="shared" si="7"/>
        <v/>
      </c>
      <c r="AC4" s="30" t="str">
        <f t="shared" si="8"/>
        <v/>
      </c>
      <c r="AD4" s="30" t="str">
        <f t="shared" si="9"/>
        <v/>
      </c>
    </row>
    <row r="5" spans="1:31">
      <c r="A5" s="29">
        <v>4</v>
      </c>
      <c r="B5" s="29" t="str">
        <f>IF(INT(($A5-1)/28)+1&lt;=Setup!$B$5,INT(($A5-1)/28)+1,"")</f>
        <v/>
      </c>
      <c r="C5" s="29" t="str">
        <f t="shared" si="0"/>
        <v/>
      </c>
      <c r="D5" s="29">
        <f t="shared" si="1"/>
        <v>4</v>
      </c>
      <c r="E5" s="29" t="str">
        <f>IF($B5="","",IFERROR(INDEX('Fixture Library'!$C$2:$C$200,MATCH(Setup!$B$6*100+$D5,'Fixture Library'!$F$2:$F$200,0)),""))</f>
        <v/>
      </c>
      <c r="F5" s="30" t="str">
        <f>IF($B5="","",IFERROR(INDEX('Fixture Library'!$D$2:$D$200,MATCH(Setup!$B$6*100+$D5,'Fixture Library'!$F$2:$F$200,0)),""))</f>
        <v/>
      </c>
      <c r="G5" s="30" t="str">
        <f>IF($F5="","",INDEX(Teams!$E$2:$E$65,($B5-1)*8+$F5))</f>
        <v/>
      </c>
      <c r="H5" s="30" t="str">
        <f>IF($B5="","",IFERROR(INDEX('Fixture Library'!$E$2:$E$200,MATCH(Setup!$B$6*100+$D5,'Fixture Library'!$F$2:$F$200,0)),""))</f>
        <v/>
      </c>
      <c r="I5" s="30" t="str">
        <f>IF($H5="","",INDEX(Teams!$E$2:$E$65,($B5-1)*8+$H5))</f>
        <v/>
      </c>
      <c r="J5" s="34" t="str">
        <f>IF($G5="","",IFERROR(INDEX('Match Entry'!$F$5:$F$228,5+($B5-1)*Setup!$B$13+$D5-1-4),""))</f>
        <v/>
      </c>
      <c r="K5" s="35" t="str">
        <f>IF($G5="","",IFERROR(INDEX('Match Entry'!$G$5:$G$228,5+($B5-1)*Setup!$B$13+$D5-1-4),""))</f>
        <v/>
      </c>
      <c r="L5" s="34" t="str">
        <f>IF($G5="","",IFERROR(INDEX('Match Entry'!$H$5:$H$228,5+($B5-1)*Setup!$B$13+$D5-1-4),""))</f>
        <v/>
      </c>
      <c r="M5" s="35" t="str">
        <f>IF($G5="","",IFERROR(INDEX('Match Entry'!$I$5:$I$228,5+($B5-1)*Setup!$B$13+$D5-1-4),""))</f>
        <v/>
      </c>
      <c r="N5" s="34" t="str">
        <f>IF($G5="","",IFERROR(INDEX('Match Entry'!$J$5:$J$228,5+($B5-1)*Setup!$B$13+$D5-1-4),""))</f>
        <v/>
      </c>
      <c r="O5" s="35" t="str">
        <f>IF($G5="","",IFERROR(INDEX('Match Entry'!$K$5:$K$228,5+($B5-1)*Setup!$B$13+$D5-1-4),""))</f>
        <v/>
      </c>
      <c r="P5" s="34" t="str">
        <f>IF($G5="","",IFERROR(INDEX('Match Entry'!$L$5:$L$228,5+($B5-1)*Setup!$B$13+$D5-1-4),""))</f>
        <v/>
      </c>
      <c r="Q5" s="35" t="str">
        <f>IF($G5="","",IFERROR(INDEX('Match Entry'!$M$5:$M$228,5+($B5-1)*Setup!$B$13+$D5-1-4),""))</f>
        <v/>
      </c>
      <c r="R5" s="34" t="str">
        <f>IF($G5="","",IFERROR(INDEX('Match Entry'!$N$5:$N$228,5+($B5-1)*Setup!$B$13+$D5-1-4),""))</f>
        <v/>
      </c>
      <c r="S5" s="35" t="str">
        <f>IF($G5="","",IFERROR(INDEX('Match Entry'!$O$5:$O$228,5+($B5-1)*Setup!$B$13+$D5-1-4),""))</f>
        <v/>
      </c>
      <c r="T5" s="33" t="str">
        <f t="shared" si="2"/>
        <v/>
      </c>
      <c r="U5" s="33" t="str">
        <f t="shared" si="3"/>
        <v/>
      </c>
      <c r="V5" s="33" t="str">
        <f t="shared" si="4"/>
        <v/>
      </c>
      <c r="W5" s="33" t="str">
        <f t="shared" si="5"/>
        <v/>
      </c>
      <c r="X5" s="30" t="str">
        <f>IF(OR($G5="",$I5=""),"",IF(OR($T5&gt;=Setup!$B$8,$U5&gt;=Setup!$B$8),1,""))</f>
        <v/>
      </c>
      <c r="Y5" s="30" t="str">
        <f t="shared" si="6"/>
        <v/>
      </c>
      <c r="Z5" s="33" t="str">
        <f>IF($X5=1,IF($T5&gt;$U5,Setup!$B$9,Setup!$B$10),"")</f>
        <v/>
      </c>
      <c r="AA5" s="33" t="str">
        <f>IF($X5=1,IF($U5&gt;$T5,Setup!$B$9,Setup!$B$10),"")</f>
        <v/>
      </c>
      <c r="AB5" s="30" t="str">
        <f t="shared" si="7"/>
        <v/>
      </c>
      <c r="AC5" s="30" t="str">
        <f t="shared" si="8"/>
        <v/>
      </c>
      <c r="AD5" s="30" t="str">
        <f t="shared" si="9"/>
        <v/>
      </c>
    </row>
    <row r="6" spans="1:31">
      <c r="A6" s="29">
        <v>5</v>
      </c>
      <c r="B6" s="29" t="str">
        <f>IF(INT(($A6-1)/28)+1&lt;=Setup!$B$5,INT(($A6-1)/28)+1,"")</f>
        <v/>
      </c>
      <c r="C6" s="29" t="str">
        <f t="shared" si="0"/>
        <v/>
      </c>
      <c r="D6" s="29">
        <f t="shared" si="1"/>
        <v>5</v>
      </c>
      <c r="E6" s="29" t="str">
        <f>IF($B6="","",IFERROR(INDEX('Fixture Library'!$C$2:$C$200,MATCH(Setup!$B$6*100+$D6,'Fixture Library'!$F$2:$F$200,0)),""))</f>
        <v/>
      </c>
      <c r="F6" s="30" t="str">
        <f>IF($B6="","",IFERROR(INDEX('Fixture Library'!$D$2:$D$200,MATCH(Setup!$B$6*100+$D6,'Fixture Library'!$F$2:$F$200,0)),""))</f>
        <v/>
      </c>
      <c r="G6" s="30" t="str">
        <f>IF($F6="","",INDEX(Teams!$E$2:$E$65,($B6-1)*8+$F6))</f>
        <v/>
      </c>
      <c r="H6" s="30" t="str">
        <f>IF($B6="","",IFERROR(INDEX('Fixture Library'!$E$2:$E$200,MATCH(Setup!$B$6*100+$D6,'Fixture Library'!$F$2:$F$200,0)),""))</f>
        <v/>
      </c>
      <c r="I6" s="30" t="str">
        <f>IF($H6="","",INDEX(Teams!$E$2:$E$65,($B6-1)*8+$H6))</f>
        <v/>
      </c>
      <c r="J6" s="34" t="str">
        <f>IF($G6="","",IFERROR(INDEX('Match Entry'!$F$5:$F$228,5+($B6-1)*Setup!$B$13+$D6-1-4),""))</f>
        <v/>
      </c>
      <c r="K6" s="35" t="str">
        <f>IF($G6="","",IFERROR(INDEX('Match Entry'!$G$5:$G$228,5+($B6-1)*Setup!$B$13+$D6-1-4),""))</f>
        <v/>
      </c>
      <c r="L6" s="34" t="str">
        <f>IF($G6="","",IFERROR(INDEX('Match Entry'!$H$5:$H$228,5+($B6-1)*Setup!$B$13+$D6-1-4),""))</f>
        <v/>
      </c>
      <c r="M6" s="35" t="str">
        <f>IF($G6="","",IFERROR(INDEX('Match Entry'!$I$5:$I$228,5+($B6-1)*Setup!$B$13+$D6-1-4),""))</f>
        <v/>
      </c>
      <c r="N6" s="34" t="str">
        <f>IF($G6="","",IFERROR(INDEX('Match Entry'!$J$5:$J$228,5+($B6-1)*Setup!$B$13+$D6-1-4),""))</f>
        <v/>
      </c>
      <c r="O6" s="35" t="str">
        <f>IF($G6="","",IFERROR(INDEX('Match Entry'!$K$5:$K$228,5+($B6-1)*Setup!$B$13+$D6-1-4),""))</f>
        <v/>
      </c>
      <c r="P6" s="34" t="str">
        <f>IF($G6="","",IFERROR(INDEX('Match Entry'!$L$5:$L$228,5+($B6-1)*Setup!$B$13+$D6-1-4),""))</f>
        <v/>
      </c>
      <c r="Q6" s="35" t="str">
        <f>IF($G6="","",IFERROR(INDEX('Match Entry'!$M$5:$M$228,5+($B6-1)*Setup!$B$13+$D6-1-4),""))</f>
        <v/>
      </c>
      <c r="R6" s="34" t="str">
        <f>IF($G6="","",IFERROR(INDEX('Match Entry'!$N$5:$N$228,5+($B6-1)*Setup!$B$13+$D6-1-4),""))</f>
        <v/>
      </c>
      <c r="S6" s="35" t="str">
        <f>IF($G6="","",IFERROR(INDEX('Match Entry'!$O$5:$O$228,5+($B6-1)*Setup!$B$13+$D6-1-4),""))</f>
        <v/>
      </c>
      <c r="T6" s="33" t="str">
        <f t="shared" si="2"/>
        <v/>
      </c>
      <c r="U6" s="33" t="str">
        <f t="shared" si="3"/>
        <v/>
      </c>
      <c r="V6" s="33" t="str">
        <f t="shared" si="4"/>
        <v/>
      </c>
      <c r="W6" s="33" t="str">
        <f t="shared" si="5"/>
        <v/>
      </c>
      <c r="X6" s="30" t="str">
        <f>IF(OR($G6="",$I6=""),"",IF(OR($T6&gt;=Setup!$B$8,$U6&gt;=Setup!$B$8),1,""))</f>
        <v/>
      </c>
      <c r="Y6" s="30" t="str">
        <f t="shared" si="6"/>
        <v/>
      </c>
      <c r="Z6" s="33" t="str">
        <f>IF($X6=1,IF($T6&gt;$U6,Setup!$B$9,Setup!$B$10),"")</f>
        <v/>
      </c>
      <c r="AA6" s="33" t="str">
        <f>IF($X6=1,IF($U6&gt;$T6,Setup!$B$9,Setup!$B$10),"")</f>
        <v/>
      </c>
      <c r="AB6" s="30" t="str">
        <f t="shared" si="7"/>
        <v/>
      </c>
      <c r="AC6" s="30" t="str">
        <f t="shared" si="8"/>
        <v/>
      </c>
      <c r="AD6" s="30" t="str">
        <f t="shared" si="9"/>
        <v/>
      </c>
    </row>
    <row r="7" spans="1:31">
      <c r="A7" s="29">
        <v>6</v>
      </c>
      <c r="B7" s="29" t="str">
        <f>IF(INT(($A7-1)/28)+1&lt;=Setup!$B$5,INT(($A7-1)/28)+1,"")</f>
        <v/>
      </c>
      <c r="C7" s="29" t="str">
        <f t="shared" si="0"/>
        <v/>
      </c>
      <c r="D7" s="29">
        <f t="shared" si="1"/>
        <v>6</v>
      </c>
      <c r="E7" s="29" t="str">
        <f>IF($B7="","",IFERROR(INDEX('Fixture Library'!$C$2:$C$200,MATCH(Setup!$B$6*100+$D7,'Fixture Library'!$F$2:$F$200,0)),""))</f>
        <v/>
      </c>
      <c r="F7" s="30" t="str">
        <f>IF($B7="","",IFERROR(INDEX('Fixture Library'!$D$2:$D$200,MATCH(Setup!$B$6*100+$D7,'Fixture Library'!$F$2:$F$200,0)),""))</f>
        <v/>
      </c>
      <c r="G7" s="30" t="str">
        <f>IF($F7="","",INDEX(Teams!$E$2:$E$65,($B7-1)*8+$F7))</f>
        <v/>
      </c>
      <c r="H7" s="30" t="str">
        <f>IF($B7="","",IFERROR(INDEX('Fixture Library'!$E$2:$E$200,MATCH(Setup!$B$6*100+$D7,'Fixture Library'!$F$2:$F$200,0)),""))</f>
        <v/>
      </c>
      <c r="I7" s="30" t="str">
        <f>IF($H7="","",INDEX(Teams!$E$2:$E$65,($B7-1)*8+$H7))</f>
        <v/>
      </c>
      <c r="J7" s="34" t="str">
        <f>IF($G7="","",IFERROR(INDEX('Match Entry'!$F$5:$F$228,5+($B7-1)*Setup!$B$13+$D7-1-4),""))</f>
        <v/>
      </c>
      <c r="K7" s="35" t="str">
        <f>IF($G7="","",IFERROR(INDEX('Match Entry'!$G$5:$G$228,5+($B7-1)*Setup!$B$13+$D7-1-4),""))</f>
        <v/>
      </c>
      <c r="L7" s="34" t="str">
        <f>IF($G7="","",IFERROR(INDEX('Match Entry'!$H$5:$H$228,5+($B7-1)*Setup!$B$13+$D7-1-4),""))</f>
        <v/>
      </c>
      <c r="M7" s="35" t="str">
        <f>IF($G7="","",IFERROR(INDEX('Match Entry'!$I$5:$I$228,5+($B7-1)*Setup!$B$13+$D7-1-4),""))</f>
        <v/>
      </c>
      <c r="N7" s="34" t="str">
        <f>IF($G7="","",IFERROR(INDEX('Match Entry'!$J$5:$J$228,5+($B7-1)*Setup!$B$13+$D7-1-4),""))</f>
        <v/>
      </c>
      <c r="O7" s="35" t="str">
        <f>IF($G7="","",IFERROR(INDEX('Match Entry'!$K$5:$K$228,5+($B7-1)*Setup!$B$13+$D7-1-4),""))</f>
        <v/>
      </c>
      <c r="P7" s="34" t="str">
        <f>IF($G7="","",IFERROR(INDEX('Match Entry'!$L$5:$L$228,5+($B7-1)*Setup!$B$13+$D7-1-4),""))</f>
        <v/>
      </c>
      <c r="Q7" s="35" t="str">
        <f>IF($G7="","",IFERROR(INDEX('Match Entry'!$M$5:$M$228,5+($B7-1)*Setup!$B$13+$D7-1-4),""))</f>
        <v/>
      </c>
      <c r="R7" s="34" t="str">
        <f>IF($G7="","",IFERROR(INDEX('Match Entry'!$N$5:$N$228,5+($B7-1)*Setup!$B$13+$D7-1-4),""))</f>
        <v/>
      </c>
      <c r="S7" s="35" t="str">
        <f>IF($G7="","",IFERROR(INDEX('Match Entry'!$O$5:$O$228,5+($B7-1)*Setup!$B$13+$D7-1-4),""))</f>
        <v/>
      </c>
      <c r="T7" s="33" t="str">
        <f t="shared" si="2"/>
        <v/>
      </c>
      <c r="U7" s="33" t="str">
        <f t="shared" si="3"/>
        <v/>
      </c>
      <c r="V7" s="33" t="str">
        <f t="shared" si="4"/>
        <v/>
      </c>
      <c r="W7" s="33" t="str">
        <f t="shared" si="5"/>
        <v/>
      </c>
      <c r="X7" s="30" t="str">
        <f>IF(OR($G7="",$I7=""),"",IF(OR($T7&gt;=Setup!$B$8,$U7&gt;=Setup!$B$8),1,""))</f>
        <v/>
      </c>
      <c r="Y7" s="30" t="str">
        <f t="shared" si="6"/>
        <v/>
      </c>
      <c r="Z7" s="33" t="str">
        <f>IF($X7=1,IF($T7&gt;$U7,Setup!$B$9,Setup!$B$10),"")</f>
        <v/>
      </c>
      <c r="AA7" s="33" t="str">
        <f>IF($X7=1,IF($U7&gt;$T7,Setup!$B$9,Setup!$B$10),"")</f>
        <v/>
      </c>
      <c r="AB7" s="30" t="str">
        <f t="shared" si="7"/>
        <v/>
      </c>
      <c r="AC7" s="30" t="str">
        <f t="shared" si="8"/>
        <v/>
      </c>
      <c r="AD7" s="30" t="str">
        <f t="shared" si="9"/>
        <v/>
      </c>
    </row>
    <row r="8" spans="1:31">
      <c r="A8" s="29">
        <v>7</v>
      </c>
      <c r="B8" s="29" t="str">
        <f>IF(INT(($A8-1)/28)+1&lt;=Setup!$B$5,INT(($A8-1)/28)+1,"")</f>
        <v/>
      </c>
      <c r="C8" s="29" t="str">
        <f t="shared" si="0"/>
        <v/>
      </c>
      <c r="D8" s="29">
        <f t="shared" si="1"/>
        <v>7</v>
      </c>
      <c r="E8" s="29" t="str">
        <f>IF($B8="","",IFERROR(INDEX('Fixture Library'!$C$2:$C$200,MATCH(Setup!$B$6*100+$D8,'Fixture Library'!$F$2:$F$200,0)),""))</f>
        <v/>
      </c>
      <c r="F8" s="30" t="str">
        <f>IF($B8="","",IFERROR(INDEX('Fixture Library'!$D$2:$D$200,MATCH(Setup!$B$6*100+$D8,'Fixture Library'!$F$2:$F$200,0)),""))</f>
        <v/>
      </c>
      <c r="G8" s="30" t="str">
        <f>IF($F8="","",INDEX(Teams!$E$2:$E$65,($B8-1)*8+$F8))</f>
        <v/>
      </c>
      <c r="H8" s="30" t="str">
        <f>IF($B8="","",IFERROR(INDEX('Fixture Library'!$E$2:$E$200,MATCH(Setup!$B$6*100+$D8,'Fixture Library'!$F$2:$F$200,0)),""))</f>
        <v/>
      </c>
      <c r="I8" s="30" t="str">
        <f>IF($H8="","",INDEX(Teams!$E$2:$E$65,($B8-1)*8+$H8))</f>
        <v/>
      </c>
      <c r="J8" s="34" t="str">
        <f>IF($G8="","",IFERROR(INDEX('Match Entry'!$F$5:$F$228,5+($B8-1)*Setup!$B$13+$D8-1-4),""))</f>
        <v/>
      </c>
      <c r="K8" s="35" t="str">
        <f>IF($G8="","",IFERROR(INDEX('Match Entry'!$G$5:$G$228,5+($B8-1)*Setup!$B$13+$D8-1-4),""))</f>
        <v/>
      </c>
      <c r="L8" s="34" t="str">
        <f>IF($G8="","",IFERROR(INDEX('Match Entry'!$H$5:$H$228,5+($B8-1)*Setup!$B$13+$D8-1-4),""))</f>
        <v/>
      </c>
      <c r="M8" s="35" t="str">
        <f>IF($G8="","",IFERROR(INDEX('Match Entry'!$I$5:$I$228,5+($B8-1)*Setup!$B$13+$D8-1-4),""))</f>
        <v/>
      </c>
      <c r="N8" s="34" t="str">
        <f>IF($G8="","",IFERROR(INDEX('Match Entry'!$J$5:$J$228,5+($B8-1)*Setup!$B$13+$D8-1-4),""))</f>
        <v/>
      </c>
      <c r="O8" s="35" t="str">
        <f>IF($G8="","",IFERROR(INDEX('Match Entry'!$K$5:$K$228,5+($B8-1)*Setup!$B$13+$D8-1-4),""))</f>
        <v/>
      </c>
      <c r="P8" s="34" t="str">
        <f>IF($G8="","",IFERROR(INDEX('Match Entry'!$L$5:$L$228,5+($B8-1)*Setup!$B$13+$D8-1-4),""))</f>
        <v/>
      </c>
      <c r="Q8" s="35" t="str">
        <f>IF($G8="","",IFERROR(INDEX('Match Entry'!$M$5:$M$228,5+($B8-1)*Setup!$B$13+$D8-1-4),""))</f>
        <v/>
      </c>
      <c r="R8" s="34" t="str">
        <f>IF($G8="","",IFERROR(INDEX('Match Entry'!$N$5:$N$228,5+($B8-1)*Setup!$B$13+$D8-1-4),""))</f>
        <v/>
      </c>
      <c r="S8" s="35" t="str">
        <f>IF($G8="","",IFERROR(INDEX('Match Entry'!$O$5:$O$228,5+($B8-1)*Setup!$B$13+$D8-1-4),""))</f>
        <v/>
      </c>
      <c r="T8" s="33" t="str">
        <f t="shared" si="2"/>
        <v/>
      </c>
      <c r="U8" s="33" t="str">
        <f t="shared" si="3"/>
        <v/>
      </c>
      <c r="V8" s="33" t="str">
        <f t="shared" si="4"/>
        <v/>
      </c>
      <c r="W8" s="33" t="str">
        <f t="shared" si="5"/>
        <v/>
      </c>
      <c r="X8" s="30" t="str">
        <f>IF(OR($G8="",$I8=""),"",IF(OR($T8&gt;=Setup!$B$8,$U8&gt;=Setup!$B$8),1,""))</f>
        <v/>
      </c>
      <c r="Y8" s="30" t="str">
        <f t="shared" si="6"/>
        <v/>
      </c>
      <c r="Z8" s="33" t="str">
        <f>IF($X8=1,IF($T8&gt;$U8,Setup!$B$9,Setup!$B$10),"")</f>
        <v/>
      </c>
      <c r="AA8" s="33" t="str">
        <f>IF($X8=1,IF($U8&gt;$T8,Setup!$B$9,Setup!$B$10),"")</f>
        <v/>
      </c>
      <c r="AB8" s="30" t="str">
        <f t="shared" si="7"/>
        <v/>
      </c>
      <c r="AC8" s="30" t="str">
        <f t="shared" si="8"/>
        <v/>
      </c>
      <c r="AD8" s="30" t="str">
        <f t="shared" si="9"/>
        <v/>
      </c>
    </row>
    <row r="9" spans="1:31">
      <c r="A9" s="29">
        <v>8</v>
      </c>
      <c r="B9" s="29" t="str">
        <f>IF(INT(($A9-1)/28)+1&lt;=Setup!$B$5,INT(($A9-1)/28)+1,"")</f>
        <v/>
      </c>
      <c r="C9" s="29" t="str">
        <f t="shared" si="0"/>
        <v/>
      </c>
      <c r="D9" s="29">
        <f t="shared" si="1"/>
        <v>8</v>
      </c>
      <c r="E9" s="29" t="str">
        <f>IF($B9="","",IFERROR(INDEX('Fixture Library'!$C$2:$C$200,MATCH(Setup!$B$6*100+$D9,'Fixture Library'!$F$2:$F$200,0)),""))</f>
        <v/>
      </c>
      <c r="F9" s="30" t="str">
        <f>IF($B9="","",IFERROR(INDEX('Fixture Library'!$D$2:$D$200,MATCH(Setup!$B$6*100+$D9,'Fixture Library'!$F$2:$F$200,0)),""))</f>
        <v/>
      </c>
      <c r="G9" s="30" t="str">
        <f>IF($F9="","",INDEX(Teams!$E$2:$E$65,($B9-1)*8+$F9))</f>
        <v/>
      </c>
      <c r="H9" s="30" t="str">
        <f>IF($B9="","",IFERROR(INDEX('Fixture Library'!$E$2:$E$200,MATCH(Setup!$B$6*100+$D9,'Fixture Library'!$F$2:$F$200,0)),""))</f>
        <v/>
      </c>
      <c r="I9" s="30" t="str">
        <f>IF($H9="","",INDEX(Teams!$E$2:$E$65,($B9-1)*8+$H9))</f>
        <v/>
      </c>
      <c r="J9" s="34" t="str">
        <f>IF($G9="","",IFERROR(INDEX('Match Entry'!$F$5:$F$228,5+($B9-1)*Setup!$B$13+$D9-1-4),""))</f>
        <v/>
      </c>
      <c r="K9" s="35" t="str">
        <f>IF($G9="","",IFERROR(INDEX('Match Entry'!$G$5:$G$228,5+($B9-1)*Setup!$B$13+$D9-1-4),""))</f>
        <v/>
      </c>
      <c r="L9" s="34" t="str">
        <f>IF($G9="","",IFERROR(INDEX('Match Entry'!$H$5:$H$228,5+($B9-1)*Setup!$B$13+$D9-1-4),""))</f>
        <v/>
      </c>
      <c r="M9" s="35" t="str">
        <f>IF($G9="","",IFERROR(INDEX('Match Entry'!$I$5:$I$228,5+($B9-1)*Setup!$B$13+$D9-1-4),""))</f>
        <v/>
      </c>
      <c r="N9" s="34" t="str">
        <f>IF($G9="","",IFERROR(INDEX('Match Entry'!$J$5:$J$228,5+($B9-1)*Setup!$B$13+$D9-1-4),""))</f>
        <v/>
      </c>
      <c r="O9" s="35" t="str">
        <f>IF($G9="","",IFERROR(INDEX('Match Entry'!$K$5:$K$228,5+($B9-1)*Setup!$B$13+$D9-1-4),""))</f>
        <v/>
      </c>
      <c r="P9" s="34" t="str">
        <f>IF($G9="","",IFERROR(INDEX('Match Entry'!$L$5:$L$228,5+($B9-1)*Setup!$B$13+$D9-1-4),""))</f>
        <v/>
      </c>
      <c r="Q9" s="35" t="str">
        <f>IF($G9="","",IFERROR(INDEX('Match Entry'!$M$5:$M$228,5+($B9-1)*Setup!$B$13+$D9-1-4),""))</f>
        <v/>
      </c>
      <c r="R9" s="34" t="str">
        <f>IF($G9="","",IFERROR(INDEX('Match Entry'!$N$5:$N$228,5+($B9-1)*Setup!$B$13+$D9-1-4),""))</f>
        <v/>
      </c>
      <c r="S9" s="35" t="str">
        <f>IF($G9="","",IFERROR(INDEX('Match Entry'!$O$5:$O$228,5+($B9-1)*Setup!$B$13+$D9-1-4),""))</f>
        <v/>
      </c>
      <c r="T9" s="33" t="str">
        <f t="shared" si="2"/>
        <v/>
      </c>
      <c r="U9" s="33" t="str">
        <f t="shared" si="3"/>
        <v/>
      </c>
      <c r="V9" s="33" t="str">
        <f t="shared" si="4"/>
        <v/>
      </c>
      <c r="W9" s="33" t="str">
        <f t="shared" si="5"/>
        <v/>
      </c>
      <c r="X9" s="30" t="str">
        <f>IF(OR($G9="",$I9=""),"",IF(OR($T9&gt;=Setup!$B$8,$U9&gt;=Setup!$B$8),1,""))</f>
        <v/>
      </c>
      <c r="Y9" s="30" t="str">
        <f t="shared" si="6"/>
        <v/>
      </c>
      <c r="Z9" s="33" t="str">
        <f>IF($X9=1,IF($T9&gt;$U9,Setup!$B$9,Setup!$B$10),"")</f>
        <v/>
      </c>
      <c r="AA9" s="33" t="str">
        <f>IF($X9=1,IF($U9&gt;$T9,Setup!$B$9,Setup!$B$10),"")</f>
        <v/>
      </c>
      <c r="AB9" s="30" t="str">
        <f t="shared" si="7"/>
        <v/>
      </c>
      <c r="AC9" s="30" t="str">
        <f t="shared" si="8"/>
        <v/>
      </c>
      <c r="AD9" s="30" t="str">
        <f t="shared" si="9"/>
        <v/>
      </c>
    </row>
    <row r="10" spans="1:31">
      <c r="A10" s="29">
        <v>9</v>
      </c>
      <c r="B10" s="29" t="str">
        <f>IF(INT(($A10-1)/28)+1&lt;=Setup!$B$5,INT(($A10-1)/28)+1,"")</f>
        <v/>
      </c>
      <c r="C10" s="29" t="str">
        <f t="shared" si="0"/>
        <v/>
      </c>
      <c r="D10" s="29">
        <f t="shared" si="1"/>
        <v>9</v>
      </c>
      <c r="E10" s="29" t="str">
        <f>IF($B10="","",IFERROR(INDEX('Fixture Library'!$C$2:$C$200,MATCH(Setup!$B$6*100+$D10,'Fixture Library'!$F$2:$F$200,0)),""))</f>
        <v/>
      </c>
      <c r="F10" s="30" t="str">
        <f>IF($B10="","",IFERROR(INDEX('Fixture Library'!$D$2:$D$200,MATCH(Setup!$B$6*100+$D10,'Fixture Library'!$F$2:$F$200,0)),""))</f>
        <v/>
      </c>
      <c r="G10" s="30" t="str">
        <f>IF($F10="","",INDEX(Teams!$E$2:$E$65,($B10-1)*8+$F10))</f>
        <v/>
      </c>
      <c r="H10" s="30" t="str">
        <f>IF($B10="","",IFERROR(INDEX('Fixture Library'!$E$2:$E$200,MATCH(Setup!$B$6*100+$D10,'Fixture Library'!$F$2:$F$200,0)),""))</f>
        <v/>
      </c>
      <c r="I10" s="30" t="str">
        <f>IF($H10="","",INDEX(Teams!$E$2:$E$65,($B10-1)*8+$H10))</f>
        <v/>
      </c>
      <c r="J10" s="34" t="str">
        <f>IF($G10="","",IFERROR(INDEX('Match Entry'!$F$5:$F$228,5+($B10-1)*Setup!$B$13+$D10-1-4),""))</f>
        <v/>
      </c>
      <c r="K10" s="35" t="str">
        <f>IF($G10="","",IFERROR(INDEX('Match Entry'!$G$5:$G$228,5+($B10-1)*Setup!$B$13+$D10-1-4),""))</f>
        <v/>
      </c>
      <c r="L10" s="34" t="str">
        <f>IF($G10="","",IFERROR(INDEX('Match Entry'!$H$5:$H$228,5+($B10-1)*Setup!$B$13+$D10-1-4),""))</f>
        <v/>
      </c>
      <c r="M10" s="35" t="str">
        <f>IF($G10="","",IFERROR(INDEX('Match Entry'!$I$5:$I$228,5+($B10-1)*Setup!$B$13+$D10-1-4),""))</f>
        <v/>
      </c>
      <c r="N10" s="34" t="str">
        <f>IF($G10="","",IFERROR(INDEX('Match Entry'!$J$5:$J$228,5+($B10-1)*Setup!$B$13+$D10-1-4),""))</f>
        <v/>
      </c>
      <c r="O10" s="35" t="str">
        <f>IF($G10="","",IFERROR(INDEX('Match Entry'!$K$5:$K$228,5+($B10-1)*Setup!$B$13+$D10-1-4),""))</f>
        <v/>
      </c>
      <c r="P10" s="34" t="str">
        <f>IF($G10="","",IFERROR(INDEX('Match Entry'!$L$5:$L$228,5+($B10-1)*Setup!$B$13+$D10-1-4),""))</f>
        <v/>
      </c>
      <c r="Q10" s="35" t="str">
        <f>IF($G10="","",IFERROR(INDEX('Match Entry'!$M$5:$M$228,5+($B10-1)*Setup!$B$13+$D10-1-4),""))</f>
        <v/>
      </c>
      <c r="R10" s="34" t="str">
        <f>IF($G10="","",IFERROR(INDEX('Match Entry'!$N$5:$N$228,5+($B10-1)*Setup!$B$13+$D10-1-4),""))</f>
        <v/>
      </c>
      <c r="S10" s="35" t="str">
        <f>IF($G10="","",IFERROR(INDEX('Match Entry'!$O$5:$O$228,5+($B10-1)*Setup!$B$13+$D10-1-4),""))</f>
        <v/>
      </c>
      <c r="T10" s="33" t="str">
        <f t="shared" si="2"/>
        <v/>
      </c>
      <c r="U10" s="33" t="str">
        <f t="shared" si="3"/>
        <v/>
      </c>
      <c r="V10" s="33" t="str">
        <f t="shared" si="4"/>
        <v/>
      </c>
      <c r="W10" s="33" t="str">
        <f t="shared" si="5"/>
        <v/>
      </c>
      <c r="X10" s="30" t="str">
        <f>IF(OR($G10="",$I10=""),"",IF(OR($T10&gt;=Setup!$B$8,$U10&gt;=Setup!$B$8),1,""))</f>
        <v/>
      </c>
      <c r="Y10" s="30" t="str">
        <f t="shared" si="6"/>
        <v/>
      </c>
      <c r="Z10" s="33" t="str">
        <f>IF($X10=1,IF($T10&gt;$U10,Setup!$B$9,Setup!$B$10),"")</f>
        <v/>
      </c>
      <c r="AA10" s="33" t="str">
        <f>IF($X10=1,IF($U10&gt;$T10,Setup!$B$9,Setup!$B$10),"")</f>
        <v/>
      </c>
      <c r="AB10" s="30" t="str">
        <f t="shared" si="7"/>
        <v/>
      </c>
      <c r="AC10" s="30" t="str">
        <f t="shared" si="8"/>
        <v/>
      </c>
      <c r="AD10" s="30" t="str">
        <f t="shared" si="9"/>
        <v/>
      </c>
    </row>
    <row r="11" spans="1:31">
      <c r="A11" s="29">
        <v>10</v>
      </c>
      <c r="B11" s="29" t="str">
        <f>IF(INT(($A11-1)/28)+1&lt;=Setup!$B$5,INT(($A11-1)/28)+1,"")</f>
        <v/>
      </c>
      <c r="C11" s="29" t="str">
        <f t="shared" si="0"/>
        <v/>
      </c>
      <c r="D11" s="29">
        <f t="shared" si="1"/>
        <v>10</v>
      </c>
      <c r="E11" s="29" t="str">
        <f>IF($B11="","",IFERROR(INDEX('Fixture Library'!$C$2:$C$200,MATCH(Setup!$B$6*100+$D11,'Fixture Library'!$F$2:$F$200,0)),""))</f>
        <v/>
      </c>
      <c r="F11" s="30" t="str">
        <f>IF($B11="","",IFERROR(INDEX('Fixture Library'!$D$2:$D$200,MATCH(Setup!$B$6*100+$D11,'Fixture Library'!$F$2:$F$200,0)),""))</f>
        <v/>
      </c>
      <c r="G11" s="30" t="str">
        <f>IF($F11="","",INDEX(Teams!$E$2:$E$65,($B11-1)*8+$F11))</f>
        <v/>
      </c>
      <c r="H11" s="30" t="str">
        <f>IF($B11="","",IFERROR(INDEX('Fixture Library'!$E$2:$E$200,MATCH(Setup!$B$6*100+$D11,'Fixture Library'!$F$2:$F$200,0)),""))</f>
        <v/>
      </c>
      <c r="I11" s="30" t="str">
        <f>IF($H11="","",INDEX(Teams!$E$2:$E$65,($B11-1)*8+$H11))</f>
        <v/>
      </c>
      <c r="J11" s="34" t="str">
        <f>IF($G11="","",IFERROR(INDEX('Match Entry'!$F$5:$F$228,5+($B11-1)*Setup!$B$13+$D11-1-4),""))</f>
        <v/>
      </c>
      <c r="K11" s="35" t="str">
        <f>IF($G11="","",IFERROR(INDEX('Match Entry'!$G$5:$G$228,5+($B11-1)*Setup!$B$13+$D11-1-4),""))</f>
        <v/>
      </c>
      <c r="L11" s="34" t="str">
        <f>IF($G11="","",IFERROR(INDEX('Match Entry'!$H$5:$H$228,5+($B11-1)*Setup!$B$13+$D11-1-4),""))</f>
        <v/>
      </c>
      <c r="M11" s="35" t="str">
        <f>IF($G11="","",IFERROR(INDEX('Match Entry'!$I$5:$I$228,5+($B11-1)*Setup!$B$13+$D11-1-4),""))</f>
        <v/>
      </c>
      <c r="N11" s="34" t="str">
        <f>IF($G11="","",IFERROR(INDEX('Match Entry'!$J$5:$J$228,5+($B11-1)*Setup!$B$13+$D11-1-4),""))</f>
        <v/>
      </c>
      <c r="O11" s="35" t="str">
        <f>IF($G11="","",IFERROR(INDEX('Match Entry'!$K$5:$K$228,5+($B11-1)*Setup!$B$13+$D11-1-4),""))</f>
        <v/>
      </c>
      <c r="P11" s="34" t="str">
        <f>IF($G11="","",IFERROR(INDEX('Match Entry'!$L$5:$L$228,5+($B11-1)*Setup!$B$13+$D11-1-4),""))</f>
        <v/>
      </c>
      <c r="Q11" s="35" t="str">
        <f>IF($G11="","",IFERROR(INDEX('Match Entry'!$M$5:$M$228,5+($B11-1)*Setup!$B$13+$D11-1-4),""))</f>
        <v/>
      </c>
      <c r="R11" s="34" t="str">
        <f>IF($G11="","",IFERROR(INDEX('Match Entry'!$N$5:$N$228,5+($B11-1)*Setup!$B$13+$D11-1-4),""))</f>
        <v/>
      </c>
      <c r="S11" s="35" t="str">
        <f>IF($G11="","",IFERROR(INDEX('Match Entry'!$O$5:$O$228,5+($B11-1)*Setup!$B$13+$D11-1-4),""))</f>
        <v/>
      </c>
      <c r="T11" s="33" t="str">
        <f t="shared" si="2"/>
        <v/>
      </c>
      <c r="U11" s="33" t="str">
        <f t="shared" si="3"/>
        <v/>
      </c>
      <c r="V11" s="33" t="str">
        <f t="shared" si="4"/>
        <v/>
      </c>
      <c r="W11" s="33" t="str">
        <f t="shared" si="5"/>
        <v/>
      </c>
      <c r="X11" s="30" t="str">
        <f>IF(OR($G11="",$I11=""),"",IF(OR($T11&gt;=Setup!$B$8,$U11&gt;=Setup!$B$8),1,""))</f>
        <v/>
      </c>
      <c r="Y11" s="30" t="str">
        <f t="shared" si="6"/>
        <v/>
      </c>
      <c r="Z11" s="33" t="str">
        <f>IF($X11=1,IF($T11&gt;$U11,Setup!$B$9,Setup!$B$10),"")</f>
        <v/>
      </c>
      <c r="AA11" s="33" t="str">
        <f>IF($X11=1,IF($U11&gt;$T11,Setup!$B$9,Setup!$B$10),"")</f>
        <v/>
      </c>
      <c r="AB11" s="30" t="str">
        <f t="shared" si="7"/>
        <v/>
      </c>
      <c r="AC11" s="30" t="str">
        <f t="shared" si="8"/>
        <v/>
      </c>
      <c r="AD11" s="30" t="str">
        <f t="shared" si="9"/>
        <v/>
      </c>
    </row>
    <row r="12" spans="1:31">
      <c r="A12" s="29">
        <v>11</v>
      </c>
      <c r="B12" s="29" t="str">
        <f>IF(INT(($A12-1)/28)+1&lt;=Setup!$B$5,INT(($A12-1)/28)+1,"")</f>
        <v/>
      </c>
      <c r="C12" s="29" t="str">
        <f t="shared" si="0"/>
        <v/>
      </c>
      <c r="D12" s="29">
        <f t="shared" si="1"/>
        <v>11</v>
      </c>
      <c r="E12" s="29" t="str">
        <f>IF($B12="","",IFERROR(INDEX('Fixture Library'!$C$2:$C$200,MATCH(Setup!$B$6*100+$D12,'Fixture Library'!$F$2:$F$200,0)),""))</f>
        <v/>
      </c>
      <c r="F12" s="30" t="str">
        <f>IF($B12="","",IFERROR(INDEX('Fixture Library'!$D$2:$D$200,MATCH(Setup!$B$6*100+$D12,'Fixture Library'!$F$2:$F$200,0)),""))</f>
        <v/>
      </c>
      <c r="G12" s="30" t="str">
        <f>IF($F12="","",INDEX(Teams!$E$2:$E$65,($B12-1)*8+$F12))</f>
        <v/>
      </c>
      <c r="H12" s="30" t="str">
        <f>IF($B12="","",IFERROR(INDEX('Fixture Library'!$E$2:$E$200,MATCH(Setup!$B$6*100+$D12,'Fixture Library'!$F$2:$F$200,0)),""))</f>
        <v/>
      </c>
      <c r="I12" s="30" t="str">
        <f>IF($H12="","",INDEX(Teams!$E$2:$E$65,($B12-1)*8+$H12))</f>
        <v/>
      </c>
      <c r="J12" s="34" t="str">
        <f>IF($G12="","",IFERROR(INDEX('Match Entry'!$F$5:$F$228,5+($B12-1)*Setup!$B$13+$D12-1-4),""))</f>
        <v/>
      </c>
      <c r="K12" s="35" t="str">
        <f>IF($G12="","",IFERROR(INDEX('Match Entry'!$G$5:$G$228,5+($B12-1)*Setup!$B$13+$D12-1-4),""))</f>
        <v/>
      </c>
      <c r="L12" s="34" t="str">
        <f>IF($G12="","",IFERROR(INDEX('Match Entry'!$H$5:$H$228,5+($B12-1)*Setup!$B$13+$D12-1-4),""))</f>
        <v/>
      </c>
      <c r="M12" s="35" t="str">
        <f>IF($G12="","",IFERROR(INDEX('Match Entry'!$I$5:$I$228,5+($B12-1)*Setup!$B$13+$D12-1-4),""))</f>
        <v/>
      </c>
      <c r="N12" s="34" t="str">
        <f>IF($G12="","",IFERROR(INDEX('Match Entry'!$J$5:$J$228,5+($B12-1)*Setup!$B$13+$D12-1-4),""))</f>
        <v/>
      </c>
      <c r="O12" s="35" t="str">
        <f>IF($G12="","",IFERROR(INDEX('Match Entry'!$K$5:$K$228,5+($B12-1)*Setup!$B$13+$D12-1-4),""))</f>
        <v/>
      </c>
      <c r="P12" s="34" t="str">
        <f>IF($G12="","",IFERROR(INDEX('Match Entry'!$L$5:$L$228,5+($B12-1)*Setup!$B$13+$D12-1-4),""))</f>
        <v/>
      </c>
      <c r="Q12" s="35" t="str">
        <f>IF($G12="","",IFERROR(INDEX('Match Entry'!$M$5:$M$228,5+($B12-1)*Setup!$B$13+$D12-1-4),""))</f>
        <v/>
      </c>
      <c r="R12" s="34" t="str">
        <f>IF($G12="","",IFERROR(INDEX('Match Entry'!$N$5:$N$228,5+($B12-1)*Setup!$B$13+$D12-1-4),""))</f>
        <v/>
      </c>
      <c r="S12" s="35" t="str">
        <f>IF($G12="","",IFERROR(INDEX('Match Entry'!$O$5:$O$228,5+($B12-1)*Setup!$B$13+$D12-1-4),""))</f>
        <v/>
      </c>
      <c r="T12" s="33" t="str">
        <f t="shared" si="2"/>
        <v/>
      </c>
      <c r="U12" s="33" t="str">
        <f t="shared" si="3"/>
        <v/>
      </c>
      <c r="V12" s="33" t="str">
        <f t="shared" si="4"/>
        <v/>
      </c>
      <c r="W12" s="33" t="str">
        <f t="shared" si="5"/>
        <v/>
      </c>
      <c r="X12" s="30" t="str">
        <f>IF(OR($G12="",$I12=""),"",IF(OR($T12&gt;=Setup!$B$8,$U12&gt;=Setup!$B$8),1,""))</f>
        <v/>
      </c>
      <c r="Y12" s="30" t="str">
        <f t="shared" si="6"/>
        <v/>
      </c>
      <c r="Z12" s="33" t="str">
        <f>IF($X12=1,IF($T12&gt;$U12,Setup!$B$9,Setup!$B$10),"")</f>
        <v/>
      </c>
      <c r="AA12" s="33" t="str">
        <f>IF($X12=1,IF($U12&gt;$T12,Setup!$B$9,Setup!$B$10),"")</f>
        <v/>
      </c>
      <c r="AB12" s="30" t="str">
        <f t="shared" si="7"/>
        <v/>
      </c>
      <c r="AC12" s="30" t="str">
        <f t="shared" si="8"/>
        <v/>
      </c>
      <c r="AD12" s="30" t="str">
        <f t="shared" si="9"/>
        <v/>
      </c>
    </row>
    <row r="13" spans="1:31">
      <c r="A13" s="29">
        <v>12</v>
      </c>
      <c r="B13" s="29" t="str">
        <f>IF(INT(($A13-1)/28)+1&lt;=Setup!$B$5,INT(($A13-1)/28)+1,"")</f>
        <v/>
      </c>
      <c r="C13" s="29" t="str">
        <f t="shared" si="0"/>
        <v/>
      </c>
      <c r="D13" s="29">
        <f t="shared" si="1"/>
        <v>12</v>
      </c>
      <c r="E13" s="29" t="str">
        <f>IF($B13="","",IFERROR(INDEX('Fixture Library'!$C$2:$C$200,MATCH(Setup!$B$6*100+$D13,'Fixture Library'!$F$2:$F$200,0)),""))</f>
        <v/>
      </c>
      <c r="F13" s="30" t="str">
        <f>IF($B13="","",IFERROR(INDEX('Fixture Library'!$D$2:$D$200,MATCH(Setup!$B$6*100+$D13,'Fixture Library'!$F$2:$F$200,0)),""))</f>
        <v/>
      </c>
      <c r="G13" s="30" t="str">
        <f>IF($F13="","",INDEX(Teams!$E$2:$E$65,($B13-1)*8+$F13))</f>
        <v/>
      </c>
      <c r="H13" s="30" t="str">
        <f>IF($B13="","",IFERROR(INDEX('Fixture Library'!$E$2:$E$200,MATCH(Setup!$B$6*100+$D13,'Fixture Library'!$F$2:$F$200,0)),""))</f>
        <v/>
      </c>
      <c r="I13" s="30" t="str">
        <f>IF($H13="","",INDEX(Teams!$E$2:$E$65,($B13-1)*8+$H13))</f>
        <v/>
      </c>
      <c r="J13" s="34" t="str">
        <f>IF($G13="","",IFERROR(INDEX('Match Entry'!$F$5:$F$228,5+($B13-1)*Setup!$B$13+$D13-1-4),""))</f>
        <v/>
      </c>
      <c r="K13" s="35" t="str">
        <f>IF($G13="","",IFERROR(INDEX('Match Entry'!$G$5:$G$228,5+($B13-1)*Setup!$B$13+$D13-1-4),""))</f>
        <v/>
      </c>
      <c r="L13" s="34" t="str">
        <f>IF($G13="","",IFERROR(INDEX('Match Entry'!$H$5:$H$228,5+($B13-1)*Setup!$B$13+$D13-1-4),""))</f>
        <v/>
      </c>
      <c r="M13" s="35" t="str">
        <f>IF($G13="","",IFERROR(INDEX('Match Entry'!$I$5:$I$228,5+($B13-1)*Setup!$B$13+$D13-1-4),""))</f>
        <v/>
      </c>
      <c r="N13" s="34" t="str">
        <f>IF($G13="","",IFERROR(INDEX('Match Entry'!$J$5:$J$228,5+($B13-1)*Setup!$B$13+$D13-1-4),""))</f>
        <v/>
      </c>
      <c r="O13" s="35" t="str">
        <f>IF($G13="","",IFERROR(INDEX('Match Entry'!$K$5:$K$228,5+($B13-1)*Setup!$B$13+$D13-1-4),""))</f>
        <v/>
      </c>
      <c r="P13" s="34" t="str">
        <f>IF($G13="","",IFERROR(INDEX('Match Entry'!$L$5:$L$228,5+($B13-1)*Setup!$B$13+$D13-1-4),""))</f>
        <v/>
      </c>
      <c r="Q13" s="35" t="str">
        <f>IF($G13="","",IFERROR(INDEX('Match Entry'!$M$5:$M$228,5+($B13-1)*Setup!$B$13+$D13-1-4),""))</f>
        <v/>
      </c>
      <c r="R13" s="34" t="str">
        <f>IF($G13="","",IFERROR(INDEX('Match Entry'!$N$5:$N$228,5+($B13-1)*Setup!$B$13+$D13-1-4),""))</f>
        <v/>
      </c>
      <c r="S13" s="35" t="str">
        <f>IF($G13="","",IFERROR(INDEX('Match Entry'!$O$5:$O$228,5+($B13-1)*Setup!$B$13+$D13-1-4),""))</f>
        <v/>
      </c>
      <c r="T13" s="33" t="str">
        <f t="shared" si="2"/>
        <v/>
      </c>
      <c r="U13" s="33" t="str">
        <f t="shared" si="3"/>
        <v/>
      </c>
      <c r="V13" s="33" t="str">
        <f t="shared" si="4"/>
        <v/>
      </c>
      <c r="W13" s="33" t="str">
        <f t="shared" si="5"/>
        <v/>
      </c>
      <c r="X13" s="30" t="str">
        <f>IF(OR($G13="",$I13=""),"",IF(OR($T13&gt;=Setup!$B$8,$U13&gt;=Setup!$B$8),1,""))</f>
        <v/>
      </c>
      <c r="Y13" s="30" t="str">
        <f t="shared" si="6"/>
        <v/>
      </c>
      <c r="Z13" s="33" t="str">
        <f>IF($X13=1,IF($T13&gt;$U13,Setup!$B$9,Setup!$B$10),"")</f>
        <v/>
      </c>
      <c r="AA13" s="33" t="str">
        <f>IF($X13=1,IF($U13&gt;$T13,Setup!$B$9,Setup!$B$10),"")</f>
        <v/>
      </c>
      <c r="AB13" s="30" t="str">
        <f t="shared" si="7"/>
        <v/>
      </c>
      <c r="AC13" s="30" t="str">
        <f t="shared" si="8"/>
        <v/>
      </c>
      <c r="AD13" s="30" t="str">
        <f t="shared" si="9"/>
        <v/>
      </c>
    </row>
    <row r="14" spans="1:31">
      <c r="A14" s="29">
        <v>13</v>
      </c>
      <c r="B14" s="29" t="str">
        <f>IF(INT(($A14-1)/28)+1&lt;=Setup!$B$5,INT(($A14-1)/28)+1,"")</f>
        <v/>
      </c>
      <c r="C14" s="29" t="str">
        <f t="shared" si="0"/>
        <v/>
      </c>
      <c r="D14" s="29">
        <f t="shared" si="1"/>
        <v>13</v>
      </c>
      <c r="E14" s="29" t="str">
        <f>IF($B14="","",IFERROR(INDEX('Fixture Library'!$C$2:$C$200,MATCH(Setup!$B$6*100+$D14,'Fixture Library'!$F$2:$F$200,0)),""))</f>
        <v/>
      </c>
      <c r="F14" s="30" t="str">
        <f>IF($B14="","",IFERROR(INDEX('Fixture Library'!$D$2:$D$200,MATCH(Setup!$B$6*100+$D14,'Fixture Library'!$F$2:$F$200,0)),""))</f>
        <v/>
      </c>
      <c r="G14" s="30" t="str">
        <f>IF($F14="","",INDEX(Teams!$E$2:$E$65,($B14-1)*8+$F14))</f>
        <v/>
      </c>
      <c r="H14" s="30" t="str">
        <f>IF($B14="","",IFERROR(INDEX('Fixture Library'!$E$2:$E$200,MATCH(Setup!$B$6*100+$D14,'Fixture Library'!$F$2:$F$200,0)),""))</f>
        <v/>
      </c>
      <c r="I14" s="30" t="str">
        <f>IF($H14="","",INDEX(Teams!$E$2:$E$65,($B14-1)*8+$H14))</f>
        <v/>
      </c>
      <c r="J14" s="34" t="str">
        <f>IF($G14="","",IFERROR(INDEX('Match Entry'!$F$5:$F$228,5+($B14-1)*Setup!$B$13+$D14-1-4),""))</f>
        <v/>
      </c>
      <c r="K14" s="35" t="str">
        <f>IF($G14="","",IFERROR(INDEX('Match Entry'!$G$5:$G$228,5+($B14-1)*Setup!$B$13+$D14-1-4),""))</f>
        <v/>
      </c>
      <c r="L14" s="34" t="str">
        <f>IF($G14="","",IFERROR(INDEX('Match Entry'!$H$5:$H$228,5+($B14-1)*Setup!$B$13+$D14-1-4),""))</f>
        <v/>
      </c>
      <c r="M14" s="35" t="str">
        <f>IF($G14="","",IFERROR(INDEX('Match Entry'!$I$5:$I$228,5+($B14-1)*Setup!$B$13+$D14-1-4),""))</f>
        <v/>
      </c>
      <c r="N14" s="34" t="str">
        <f>IF($G14="","",IFERROR(INDEX('Match Entry'!$J$5:$J$228,5+($B14-1)*Setup!$B$13+$D14-1-4),""))</f>
        <v/>
      </c>
      <c r="O14" s="35" t="str">
        <f>IF($G14="","",IFERROR(INDEX('Match Entry'!$K$5:$K$228,5+($B14-1)*Setup!$B$13+$D14-1-4),""))</f>
        <v/>
      </c>
      <c r="P14" s="34" t="str">
        <f>IF($G14="","",IFERROR(INDEX('Match Entry'!$L$5:$L$228,5+($B14-1)*Setup!$B$13+$D14-1-4),""))</f>
        <v/>
      </c>
      <c r="Q14" s="35" t="str">
        <f>IF($G14="","",IFERROR(INDEX('Match Entry'!$M$5:$M$228,5+($B14-1)*Setup!$B$13+$D14-1-4),""))</f>
        <v/>
      </c>
      <c r="R14" s="34" t="str">
        <f>IF($G14="","",IFERROR(INDEX('Match Entry'!$N$5:$N$228,5+($B14-1)*Setup!$B$13+$D14-1-4),""))</f>
        <v/>
      </c>
      <c r="S14" s="35" t="str">
        <f>IF($G14="","",IFERROR(INDEX('Match Entry'!$O$5:$O$228,5+($B14-1)*Setup!$B$13+$D14-1-4),""))</f>
        <v/>
      </c>
      <c r="T14" s="33" t="str">
        <f t="shared" si="2"/>
        <v/>
      </c>
      <c r="U14" s="33" t="str">
        <f t="shared" si="3"/>
        <v/>
      </c>
      <c r="V14" s="33" t="str">
        <f t="shared" si="4"/>
        <v/>
      </c>
      <c r="W14" s="33" t="str">
        <f t="shared" si="5"/>
        <v/>
      </c>
      <c r="X14" s="30" t="str">
        <f>IF(OR($G14="",$I14=""),"",IF(OR($T14&gt;=Setup!$B$8,$U14&gt;=Setup!$B$8),1,""))</f>
        <v/>
      </c>
      <c r="Y14" s="30" t="str">
        <f t="shared" si="6"/>
        <v/>
      </c>
      <c r="Z14" s="33" t="str">
        <f>IF($X14=1,IF($T14&gt;$U14,Setup!$B$9,Setup!$B$10),"")</f>
        <v/>
      </c>
      <c r="AA14" s="33" t="str">
        <f>IF($X14=1,IF($U14&gt;$T14,Setup!$B$9,Setup!$B$10),"")</f>
        <v/>
      </c>
      <c r="AB14" s="30" t="str">
        <f t="shared" si="7"/>
        <v/>
      </c>
      <c r="AC14" s="30" t="str">
        <f t="shared" si="8"/>
        <v/>
      </c>
      <c r="AD14" s="30" t="str">
        <f t="shared" si="9"/>
        <v/>
      </c>
    </row>
    <row r="15" spans="1:31">
      <c r="A15" s="29">
        <v>14</v>
      </c>
      <c r="B15" s="29" t="str">
        <f>IF(INT(($A15-1)/28)+1&lt;=Setup!$B$5,INT(($A15-1)/28)+1,"")</f>
        <v/>
      </c>
      <c r="C15" s="29" t="str">
        <f t="shared" si="0"/>
        <v/>
      </c>
      <c r="D15" s="29">
        <f t="shared" si="1"/>
        <v>14</v>
      </c>
      <c r="E15" s="29" t="str">
        <f>IF($B15="","",IFERROR(INDEX('Fixture Library'!$C$2:$C$200,MATCH(Setup!$B$6*100+$D15,'Fixture Library'!$F$2:$F$200,0)),""))</f>
        <v/>
      </c>
      <c r="F15" s="30" t="str">
        <f>IF($B15="","",IFERROR(INDEX('Fixture Library'!$D$2:$D$200,MATCH(Setup!$B$6*100+$D15,'Fixture Library'!$F$2:$F$200,0)),""))</f>
        <v/>
      </c>
      <c r="G15" s="30" t="str">
        <f>IF($F15="","",INDEX(Teams!$E$2:$E$65,($B15-1)*8+$F15))</f>
        <v/>
      </c>
      <c r="H15" s="30" t="str">
        <f>IF($B15="","",IFERROR(INDEX('Fixture Library'!$E$2:$E$200,MATCH(Setup!$B$6*100+$D15,'Fixture Library'!$F$2:$F$200,0)),""))</f>
        <v/>
      </c>
      <c r="I15" s="30" t="str">
        <f>IF($H15="","",INDEX(Teams!$E$2:$E$65,($B15-1)*8+$H15))</f>
        <v/>
      </c>
      <c r="J15" s="34" t="str">
        <f>IF($G15="","",IFERROR(INDEX('Match Entry'!$F$5:$F$228,5+($B15-1)*Setup!$B$13+$D15-1-4),""))</f>
        <v/>
      </c>
      <c r="K15" s="35" t="str">
        <f>IF($G15="","",IFERROR(INDEX('Match Entry'!$G$5:$G$228,5+($B15-1)*Setup!$B$13+$D15-1-4),""))</f>
        <v/>
      </c>
      <c r="L15" s="34" t="str">
        <f>IF($G15="","",IFERROR(INDEX('Match Entry'!$H$5:$H$228,5+($B15-1)*Setup!$B$13+$D15-1-4),""))</f>
        <v/>
      </c>
      <c r="M15" s="35" t="str">
        <f>IF($G15="","",IFERROR(INDEX('Match Entry'!$I$5:$I$228,5+($B15-1)*Setup!$B$13+$D15-1-4),""))</f>
        <v/>
      </c>
      <c r="N15" s="34" t="str">
        <f>IF($G15="","",IFERROR(INDEX('Match Entry'!$J$5:$J$228,5+($B15-1)*Setup!$B$13+$D15-1-4),""))</f>
        <v/>
      </c>
      <c r="O15" s="35" t="str">
        <f>IF($G15="","",IFERROR(INDEX('Match Entry'!$K$5:$K$228,5+($B15-1)*Setup!$B$13+$D15-1-4),""))</f>
        <v/>
      </c>
      <c r="P15" s="34" t="str">
        <f>IF($G15="","",IFERROR(INDEX('Match Entry'!$L$5:$L$228,5+($B15-1)*Setup!$B$13+$D15-1-4),""))</f>
        <v/>
      </c>
      <c r="Q15" s="35" t="str">
        <f>IF($G15="","",IFERROR(INDEX('Match Entry'!$M$5:$M$228,5+($B15-1)*Setup!$B$13+$D15-1-4),""))</f>
        <v/>
      </c>
      <c r="R15" s="34" t="str">
        <f>IF($G15="","",IFERROR(INDEX('Match Entry'!$N$5:$N$228,5+($B15-1)*Setup!$B$13+$D15-1-4),""))</f>
        <v/>
      </c>
      <c r="S15" s="35" t="str">
        <f>IF($G15="","",IFERROR(INDEX('Match Entry'!$O$5:$O$228,5+($B15-1)*Setup!$B$13+$D15-1-4),""))</f>
        <v/>
      </c>
      <c r="T15" s="33" t="str">
        <f t="shared" si="2"/>
        <v/>
      </c>
      <c r="U15" s="33" t="str">
        <f t="shared" si="3"/>
        <v/>
      </c>
      <c r="V15" s="33" t="str">
        <f t="shared" si="4"/>
        <v/>
      </c>
      <c r="W15" s="33" t="str">
        <f t="shared" si="5"/>
        <v/>
      </c>
      <c r="X15" s="30" t="str">
        <f>IF(OR($G15="",$I15=""),"",IF(OR($T15&gt;=Setup!$B$8,$U15&gt;=Setup!$B$8),1,""))</f>
        <v/>
      </c>
      <c r="Y15" s="30" t="str">
        <f t="shared" si="6"/>
        <v/>
      </c>
      <c r="Z15" s="33" t="str">
        <f>IF($X15=1,IF($T15&gt;$U15,Setup!$B$9,Setup!$B$10),"")</f>
        <v/>
      </c>
      <c r="AA15" s="33" t="str">
        <f>IF($X15=1,IF($U15&gt;$T15,Setup!$B$9,Setup!$B$10),"")</f>
        <v/>
      </c>
      <c r="AB15" s="30" t="str">
        <f t="shared" si="7"/>
        <v/>
      </c>
      <c r="AC15" s="30" t="str">
        <f t="shared" si="8"/>
        <v/>
      </c>
      <c r="AD15" s="30" t="str">
        <f t="shared" si="9"/>
        <v/>
      </c>
    </row>
    <row r="16" spans="1:31">
      <c r="A16" s="29">
        <v>15</v>
      </c>
      <c r="B16" s="29" t="str">
        <f>IF(INT(($A16-1)/28)+1&lt;=Setup!$B$5,INT(($A16-1)/28)+1,"")</f>
        <v/>
      </c>
      <c r="C16" s="29" t="str">
        <f t="shared" si="0"/>
        <v/>
      </c>
      <c r="D16" s="29">
        <f t="shared" si="1"/>
        <v>15</v>
      </c>
      <c r="E16" s="29" t="str">
        <f>IF($B16="","",IFERROR(INDEX('Fixture Library'!$C$2:$C$200,MATCH(Setup!$B$6*100+$D16,'Fixture Library'!$F$2:$F$200,0)),""))</f>
        <v/>
      </c>
      <c r="F16" s="30" t="str">
        <f>IF($B16="","",IFERROR(INDEX('Fixture Library'!$D$2:$D$200,MATCH(Setup!$B$6*100+$D16,'Fixture Library'!$F$2:$F$200,0)),""))</f>
        <v/>
      </c>
      <c r="G16" s="30" t="str">
        <f>IF($F16="","",INDEX(Teams!$E$2:$E$65,($B16-1)*8+$F16))</f>
        <v/>
      </c>
      <c r="H16" s="30" t="str">
        <f>IF($B16="","",IFERROR(INDEX('Fixture Library'!$E$2:$E$200,MATCH(Setup!$B$6*100+$D16,'Fixture Library'!$F$2:$F$200,0)),""))</f>
        <v/>
      </c>
      <c r="I16" s="30" t="str">
        <f>IF($H16="","",INDEX(Teams!$E$2:$E$65,($B16-1)*8+$H16))</f>
        <v/>
      </c>
      <c r="J16" s="34" t="str">
        <f>IF($G16="","",IFERROR(INDEX('Match Entry'!$F$5:$F$228,5+($B16-1)*Setup!$B$13+$D16-1-4),""))</f>
        <v/>
      </c>
      <c r="K16" s="35" t="str">
        <f>IF($G16="","",IFERROR(INDEX('Match Entry'!$G$5:$G$228,5+($B16-1)*Setup!$B$13+$D16-1-4),""))</f>
        <v/>
      </c>
      <c r="L16" s="34" t="str">
        <f>IF($G16="","",IFERROR(INDEX('Match Entry'!$H$5:$H$228,5+($B16-1)*Setup!$B$13+$D16-1-4),""))</f>
        <v/>
      </c>
      <c r="M16" s="35" t="str">
        <f>IF($G16="","",IFERROR(INDEX('Match Entry'!$I$5:$I$228,5+($B16-1)*Setup!$B$13+$D16-1-4),""))</f>
        <v/>
      </c>
      <c r="N16" s="34" t="str">
        <f>IF($G16="","",IFERROR(INDEX('Match Entry'!$J$5:$J$228,5+($B16-1)*Setup!$B$13+$D16-1-4),""))</f>
        <v/>
      </c>
      <c r="O16" s="35" t="str">
        <f>IF($G16="","",IFERROR(INDEX('Match Entry'!$K$5:$K$228,5+($B16-1)*Setup!$B$13+$D16-1-4),""))</f>
        <v/>
      </c>
      <c r="P16" s="34" t="str">
        <f>IF($G16="","",IFERROR(INDEX('Match Entry'!$L$5:$L$228,5+($B16-1)*Setup!$B$13+$D16-1-4),""))</f>
        <v/>
      </c>
      <c r="Q16" s="35" t="str">
        <f>IF($G16="","",IFERROR(INDEX('Match Entry'!$M$5:$M$228,5+($B16-1)*Setup!$B$13+$D16-1-4),""))</f>
        <v/>
      </c>
      <c r="R16" s="34" t="str">
        <f>IF($G16="","",IFERROR(INDEX('Match Entry'!$N$5:$N$228,5+($B16-1)*Setup!$B$13+$D16-1-4),""))</f>
        <v/>
      </c>
      <c r="S16" s="35" t="str">
        <f>IF($G16="","",IFERROR(INDEX('Match Entry'!$O$5:$O$228,5+($B16-1)*Setup!$B$13+$D16-1-4),""))</f>
        <v/>
      </c>
      <c r="T16" s="33" t="str">
        <f t="shared" si="2"/>
        <v/>
      </c>
      <c r="U16" s="33" t="str">
        <f t="shared" si="3"/>
        <v/>
      </c>
      <c r="V16" s="33" t="str">
        <f t="shared" si="4"/>
        <v/>
      </c>
      <c r="W16" s="33" t="str">
        <f t="shared" si="5"/>
        <v/>
      </c>
      <c r="X16" s="30" t="str">
        <f>IF(OR($G16="",$I16=""),"",IF(OR($T16&gt;=Setup!$B$8,$U16&gt;=Setup!$B$8),1,""))</f>
        <v/>
      </c>
      <c r="Y16" s="30" t="str">
        <f t="shared" si="6"/>
        <v/>
      </c>
      <c r="Z16" s="33" t="str">
        <f>IF($X16=1,IF($T16&gt;$U16,Setup!$B$9,Setup!$B$10),"")</f>
        <v/>
      </c>
      <c r="AA16" s="33" t="str">
        <f>IF($X16=1,IF($U16&gt;$T16,Setup!$B$9,Setup!$B$10),"")</f>
        <v/>
      </c>
      <c r="AB16" s="30" t="str">
        <f t="shared" si="7"/>
        <v/>
      </c>
      <c r="AC16" s="30" t="str">
        <f t="shared" si="8"/>
        <v/>
      </c>
      <c r="AD16" s="30" t="str">
        <f t="shared" si="9"/>
        <v/>
      </c>
    </row>
    <row r="17" spans="1:30">
      <c r="A17" s="29">
        <v>16</v>
      </c>
      <c r="B17" s="29" t="str">
        <f>IF(INT(($A17-1)/28)+1&lt;=Setup!$B$5,INT(($A17-1)/28)+1,"")</f>
        <v/>
      </c>
      <c r="C17" s="29" t="str">
        <f t="shared" si="0"/>
        <v/>
      </c>
      <c r="D17" s="29">
        <f t="shared" si="1"/>
        <v>16</v>
      </c>
      <c r="E17" s="29" t="str">
        <f>IF($B17="","",IFERROR(INDEX('Fixture Library'!$C$2:$C$200,MATCH(Setup!$B$6*100+$D17,'Fixture Library'!$F$2:$F$200,0)),""))</f>
        <v/>
      </c>
      <c r="F17" s="30" t="str">
        <f>IF($B17="","",IFERROR(INDEX('Fixture Library'!$D$2:$D$200,MATCH(Setup!$B$6*100+$D17,'Fixture Library'!$F$2:$F$200,0)),""))</f>
        <v/>
      </c>
      <c r="G17" s="30" t="str">
        <f>IF($F17="","",INDEX(Teams!$E$2:$E$65,($B17-1)*8+$F17))</f>
        <v/>
      </c>
      <c r="H17" s="30" t="str">
        <f>IF($B17="","",IFERROR(INDEX('Fixture Library'!$E$2:$E$200,MATCH(Setup!$B$6*100+$D17,'Fixture Library'!$F$2:$F$200,0)),""))</f>
        <v/>
      </c>
      <c r="I17" s="30" t="str">
        <f>IF($H17="","",INDEX(Teams!$E$2:$E$65,($B17-1)*8+$H17))</f>
        <v/>
      </c>
      <c r="J17" s="34" t="str">
        <f>IF($G17="","",IFERROR(INDEX('Match Entry'!$F$5:$F$228,5+($B17-1)*Setup!$B$13+$D17-1-4),""))</f>
        <v/>
      </c>
      <c r="K17" s="35" t="str">
        <f>IF($G17="","",IFERROR(INDEX('Match Entry'!$G$5:$G$228,5+($B17-1)*Setup!$B$13+$D17-1-4),""))</f>
        <v/>
      </c>
      <c r="L17" s="34" t="str">
        <f>IF($G17="","",IFERROR(INDEX('Match Entry'!$H$5:$H$228,5+($B17-1)*Setup!$B$13+$D17-1-4),""))</f>
        <v/>
      </c>
      <c r="M17" s="35" t="str">
        <f>IF($G17="","",IFERROR(INDEX('Match Entry'!$I$5:$I$228,5+($B17-1)*Setup!$B$13+$D17-1-4),""))</f>
        <v/>
      </c>
      <c r="N17" s="34" t="str">
        <f>IF($G17="","",IFERROR(INDEX('Match Entry'!$J$5:$J$228,5+($B17-1)*Setup!$B$13+$D17-1-4),""))</f>
        <v/>
      </c>
      <c r="O17" s="35" t="str">
        <f>IF($G17="","",IFERROR(INDEX('Match Entry'!$K$5:$K$228,5+($B17-1)*Setup!$B$13+$D17-1-4),""))</f>
        <v/>
      </c>
      <c r="P17" s="34" t="str">
        <f>IF($G17="","",IFERROR(INDEX('Match Entry'!$L$5:$L$228,5+($B17-1)*Setup!$B$13+$D17-1-4),""))</f>
        <v/>
      </c>
      <c r="Q17" s="35" t="str">
        <f>IF($G17="","",IFERROR(INDEX('Match Entry'!$M$5:$M$228,5+($B17-1)*Setup!$B$13+$D17-1-4),""))</f>
        <v/>
      </c>
      <c r="R17" s="34" t="str">
        <f>IF($G17="","",IFERROR(INDEX('Match Entry'!$N$5:$N$228,5+($B17-1)*Setup!$B$13+$D17-1-4),""))</f>
        <v/>
      </c>
      <c r="S17" s="35" t="str">
        <f>IF($G17="","",IFERROR(INDEX('Match Entry'!$O$5:$O$228,5+($B17-1)*Setup!$B$13+$D17-1-4),""))</f>
        <v/>
      </c>
      <c r="T17" s="33" t="str">
        <f t="shared" si="2"/>
        <v/>
      </c>
      <c r="U17" s="33" t="str">
        <f t="shared" si="3"/>
        <v/>
      </c>
      <c r="V17" s="33" t="str">
        <f t="shared" si="4"/>
        <v/>
      </c>
      <c r="W17" s="33" t="str">
        <f t="shared" si="5"/>
        <v/>
      </c>
      <c r="X17" s="30" t="str">
        <f>IF(OR($G17="",$I17=""),"",IF(OR($T17&gt;=Setup!$B$8,$U17&gt;=Setup!$B$8),1,""))</f>
        <v/>
      </c>
      <c r="Y17" s="30" t="str">
        <f t="shared" si="6"/>
        <v/>
      </c>
      <c r="Z17" s="33" t="str">
        <f>IF($X17=1,IF($T17&gt;$U17,Setup!$B$9,Setup!$B$10),"")</f>
        <v/>
      </c>
      <c r="AA17" s="33" t="str">
        <f>IF($X17=1,IF($U17&gt;$T17,Setup!$B$9,Setup!$B$10),"")</f>
        <v/>
      </c>
      <c r="AB17" s="30" t="str">
        <f t="shared" si="7"/>
        <v/>
      </c>
      <c r="AC17" s="30" t="str">
        <f t="shared" si="8"/>
        <v/>
      </c>
      <c r="AD17" s="30" t="str">
        <f t="shared" si="9"/>
        <v/>
      </c>
    </row>
    <row r="18" spans="1:30">
      <c r="A18" s="29">
        <v>17</v>
      </c>
      <c r="B18" s="29" t="str">
        <f>IF(INT(($A18-1)/28)+1&lt;=Setup!$B$5,INT(($A18-1)/28)+1,"")</f>
        <v/>
      </c>
      <c r="C18" s="29" t="str">
        <f t="shared" si="0"/>
        <v/>
      </c>
      <c r="D18" s="29">
        <f t="shared" si="1"/>
        <v>17</v>
      </c>
      <c r="E18" s="29" t="str">
        <f>IF($B18="","",IFERROR(INDEX('Fixture Library'!$C$2:$C$200,MATCH(Setup!$B$6*100+$D18,'Fixture Library'!$F$2:$F$200,0)),""))</f>
        <v/>
      </c>
      <c r="F18" s="30" t="str">
        <f>IF($B18="","",IFERROR(INDEX('Fixture Library'!$D$2:$D$200,MATCH(Setup!$B$6*100+$D18,'Fixture Library'!$F$2:$F$200,0)),""))</f>
        <v/>
      </c>
      <c r="G18" s="30" t="str">
        <f>IF($F18="","",INDEX(Teams!$E$2:$E$65,($B18-1)*8+$F18))</f>
        <v/>
      </c>
      <c r="H18" s="30" t="str">
        <f>IF($B18="","",IFERROR(INDEX('Fixture Library'!$E$2:$E$200,MATCH(Setup!$B$6*100+$D18,'Fixture Library'!$F$2:$F$200,0)),""))</f>
        <v/>
      </c>
      <c r="I18" s="30" t="str">
        <f>IF($H18="","",INDEX(Teams!$E$2:$E$65,($B18-1)*8+$H18))</f>
        <v/>
      </c>
      <c r="J18" s="34" t="str">
        <f>IF($G18="","",IFERROR(INDEX('Match Entry'!$F$5:$F$228,5+($B18-1)*Setup!$B$13+$D18-1-4),""))</f>
        <v/>
      </c>
      <c r="K18" s="35" t="str">
        <f>IF($G18="","",IFERROR(INDEX('Match Entry'!$G$5:$G$228,5+($B18-1)*Setup!$B$13+$D18-1-4),""))</f>
        <v/>
      </c>
      <c r="L18" s="34" t="str">
        <f>IF($G18="","",IFERROR(INDEX('Match Entry'!$H$5:$H$228,5+($B18-1)*Setup!$B$13+$D18-1-4),""))</f>
        <v/>
      </c>
      <c r="M18" s="35" t="str">
        <f>IF($G18="","",IFERROR(INDEX('Match Entry'!$I$5:$I$228,5+($B18-1)*Setup!$B$13+$D18-1-4),""))</f>
        <v/>
      </c>
      <c r="N18" s="34" t="str">
        <f>IF($G18="","",IFERROR(INDEX('Match Entry'!$J$5:$J$228,5+($B18-1)*Setup!$B$13+$D18-1-4),""))</f>
        <v/>
      </c>
      <c r="O18" s="35" t="str">
        <f>IF($G18="","",IFERROR(INDEX('Match Entry'!$K$5:$K$228,5+($B18-1)*Setup!$B$13+$D18-1-4),""))</f>
        <v/>
      </c>
      <c r="P18" s="34" t="str">
        <f>IF($G18="","",IFERROR(INDEX('Match Entry'!$L$5:$L$228,5+($B18-1)*Setup!$B$13+$D18-1-4),""))</f>
        <v/>
      </c>
      <c r="Q18" s="35" t="str">
        <f>IF($G18="","",IFERROR(INDEX('Match Entry'!$M$5:$M$228,5+($B18-1)*Setup!$B$13+$D18-1-4),""))</f>
        <v/>
      </c>
      <c r="R18" s="34" t="str">
        <f>IF($G18="","",IFERROR(INDEX('Match Entry'!$N$5:$N$228,5+($B18-1)*Setup!$B$13+$D18-1-4),""))</f>
        <v/>
      </c>
      <c r="S18" s="35" t="str">
        <f>IF($G18="","",IFERROR(INDEX('Match Entry'!$O$5:$O$228,5+($B18-1)*Setup!$B$13+$D18-1-4),""))</f>
        <v/>
      </c>
      <c r="T18" s="33" t="str">
        <f t="shared" si="2"/>
        <v/>
      </c>
      <c r="U18" s="33" t="str">
        <f t="shared" si="3"/>
        <v/>
      </c>
      <c r="V18" s="33" t="str">
        <f t="shared" si="4"/>
        <v/>
      </c>
      <c r="W18" s="33" t="str">
        <f t="shared" si="5"/>
        <v/>
      </c>
      <c r="X18" s="30" t="str">
        <f>IF(OR($G18="",$I18=""),"",IF(OR($T18&gt;=Setup!$B$8,$U18&gt;=Setup!$B$8),1,""))</f>
        <v/>
      </c>
      <c r="Y18" s="30" t="str">
        <f t="shared" si="6"/>
        <v/>
      </c>
      <c r="Z18" s="33" t="str">
        <f>IF($X18=1,IF($T18&gt;$U18,Setup!$B$9,Setup!$B$10),"")</f>
        <v/>
      </c>
      <c r="AA18" s="33" t="str">
        <f>IF($X18=1,IF($U18&gt;$T18,Setup!$B$9,Setup!$B$10),"")</f>
        <v/>
      </c>
      <c r="AB18" s="30" t="str">
        <f t="shared" si="7"/>
        <v/>
      </c>
      <c r="AC18" s="30" t="str">
        <f t="shared" si="8"/>
        <v/>
      </c>
      <c r="AD18" s="30" t="str">
        <f t="shared" si="9"/>
        <v/>
      </c>
    </row>
    <row r="19" spans="1:30">
      <c r="A19" s="29">
        <v>18</v>
      </c>
      <c r="B19" s="29" t="str">
        <f>IF(INT(($A19-1)/28)+1&lt;=Setup!$B$5,INT(($A19-1)/28)+1,"")</f>
        <v/>
      </c>
      <c r="C19" s="29" t="str">
        <f t="shared" si="0"/>
        <v/>
      </c>
      <c r="D19" s="29">
        <f t="shared" si="1"/>
        <v>18</v>
      </c>
      <c r="E19" s="29" t="str">
        <f>IF($B19="","",IFERROR(INDEX('Fixture Library'!$C$2:$C$200,MATCH(Setup!$B$6*100+$D19,'Fixture Library'!$F$2:$F$200,0)),""))</f>
        <v/>
      </c>
      <c r="F19" s="30" t="str">
        <f>IF($B19="","",IFERROR(INDEX('Fixture Library'!$D$2:$D$200,MATCH(Setup!$B$6*100+$D19,'Fixture Library'!$F$2:$F$200,0)),""))</f>
        <v/>
      </c>
      <c r="G19" s="30" t="str">
        <f>IF($F19="","",INDEX(Teams!$E$2:$E$65,($B19-1)*8+$F19))</f>
        <v/>
      </c>
      <c r="H19" s="30" t="str">
        <f>IF($B19="","",IFERROR(INDEX('Fixture Library'!$E$2:$E$200,MATCH(Setup!$B$6*100+$D19,'Fixture Library'!$F$2:$F$200,0)),""))</f>
        <v/>
      </c>
      <c r="I19" s="30" t="str">
        <f>IF($H19="","",INDEX(Teams!$E$2:$E$65,($B19-1)*8+$H19))</f>
        <v/>
      </c>
      <c r="J19" s="34" t="str">
        <f>IF($G19="","",IFERROR(INDEX('Match Entry'!$F$5:$F$228,5+($B19-1)*Setup!$B$13+$D19-1-4),""))</f>
        <v/>
      </c>
      <c r="K19" s="35" t="str">
        <f>IF($G19="","",IFERROR(INDEX('Match Entry'!$G$5:$G$228,5+($B19-1)*Setup!$B$13+$D19-1-4),""))</f>
        <v/>
      </c>
      <c r="L19" s="34" t="str">
        <f>IF($G19="","",IFERROR(INDEX('Match Entry'!$H$5:$H$228,5+($B19-1)*Setup!$B$13+$D19-1-4),""))</f>
        <v/>
      </c>
      <c r="M19" s="35" t="str">
        <f>IF($G19="","",IFERROR(INDEX('Match Entry'!$I$5:$I$228,5+($B19-1)*Setup!$B$13+$D19-1-4),""))</f>
        <v/>
      </c>
      <c r="N19" s="34" t="str">
        <f>IF($G19="","",IFERROR(INDEX('Match Entry'!$J$5:$J$228,5+($B19-1)*Setup!$B$13+$D19-1-4),""))</f>
        <v/>
      </c>
      <c r="O19" s="35" t="str">
        <f>IF($G19="","",IFERROR(INDEX('Match Entry'!$K$5:$K$228,5+($B19-1)*Setup!$B$13+$D19-1-4),""))</f>
        <v/>
      </c>
      <c r="P19" s="34" t="str">
        <f>IF($G19="","",IFERROR(INDEX('Match Entry'!$L$5:$L$228,5+($B19-1)*Setup!$B$13+$D19-1-4),""))</f>
        <v/>
      </c>
      <c r="Q19" s="35" t="str">
        <f>IF($G19="","",IFERROR(INDEX('Match Entry'!$M$5:$M$228,5+($B19-1)*Setup!$B$13+$D19-1-4),""))</f>
        <v/>
      </c>
      <c r="R19" s="34" t="str">
        <f>IF($G19="","",IFERROR(INDEX('Match Entry'!$N$5:$N$228,5+($B19-1)*Setup!$B$13+$D19-1-4),""))</f>
        <v/>
      </c>
      <c r="S19" s="35" t="str">
        <f>IF($G19="","",IFERROR(INDEX('Match Entry'!$O$5:$O$228,5+($B19-1)*Setup!$B$13+$D19-1-4),""))</f>
        <v/>
      </c>
      <c r="T19" s="33" t="str">
        <f t="shared" si="2"/>
        <v/>
      </c>
      <c r="U19" s="33" t="str">
        <f t="shared" si="3"/>
        <v/>
      </c>
      <c r="V19" s="33" t="str">
        <f t="shared" si="4"/>
        <v/>
      </c>
      <c r="W19" s="33" t="str">
        <f t="shared" si="5"/>
        <v/>
      </c>
      <c r="X19" s="30" t="str">
        <f>IF(OR($G19="",$I19=""),"",IF(OR($T19&gt;=Setup!$B$8,$U19&gt;=Setup!$B$8),1,""))</f>
        <v/>
      </c>
      <c r="Y19" s="30" t="str">
        <f t="shared" si="6"/>
        <v/>
      </c>
      <c r="Z19" s="33" t="str">
        <f>IF($X19=1,IF($T19&gt;$U19,Setup!$B$9,Setup!$B$10),"")</f>
        <v/>
      </c>
      <c r="AA19" s="33" t="str">
        <f>IF($X19=1,IF($U19&gt;$T19,Setup!$B$9,Setup!$B$10),"")</f>
        <v/>
      </c>
      <c r="AB19" s="30" t="str">
        <f t="shared" si="7"/>
        <v/>
      </c>
      <c r="AC19" s="30" t="str">
        <f t="shared" si="8"/>
        <v/>
      </c>
      <c r="AD19" s="30" t="str">
        <f t="shared" si="9"/>
        <v/>
      </c>
    </row>
    <row r="20" spans="1:30">
      <c r="A20" s="29">
        <v>19</v>
      </c>
      <c r="B20" s="29" t="str">
        <f>IF(INT(($A20-1)/28)+1&lt;=Setup!$B$5,INT(($A20-1)/28)+1,"")</f>
        <v/>
      </c>
      <c r="C20" s="29" t="str">
        <f t="shared" si="0"/>
        <v/>
      </c>
      <c r="D20" s="29">
        <f t="shared" si="1"/>
        <v>19</v>
      </c>
      <c r="E20" s="29" t="str">
        <f>IF($B20="","",IFERROR(INDEX('Fixture Library'!$C$2:$C$200,MATCH(Setup!$B$6*100+$D20,'Fixture Library'!$F$2:$F$200,0)),""))</f>
        <v/>
      </c>
      <c r="F20" s="30" t="str">
        <f>IF($B20="","",IFERROR(INDEX('Fixture Library'!$D$2:$D$200,MATCH(Setup!$B$6*100+$D20,'Fixture Library'!$F$2:$F$200,0)),""))</f>
        <v/>
      </c>
      <c r="G20" s="30" t="str">
        <f>IF($F20="","",INDEX(Teams!$E$2:$E$65,($B20-1)*8+$F20))</f>
        <v/>
      </c>
      <c r="H20" s="30" t="str">
        <f>IF($B20="","",IFERROR(INDEX('Fixture Library'!$E$2:$E$200,MATCH(Setup!$B$6*100+$D20,'Fixture Library'!$F$2:$F$200,0)),""))</f>
        <v/>
      </c>
      <c r="I20" s="30" t="str">
        <f>IF($H20="","",INDEX(Teams!$E$2:$E$65,($B20-1)*8+$H20))</f>
        <v/>
      </c>
      <c r="J20" s="34" t="str">
        <f>IF($G20="","",IFERROR(INDEX('Match Entry'!$F$5:$F$228,5+($B20-1)*Setup!$B$13+$D20-1-4),""))</f>
        <v/>
      </c>
      <c r="K20" s="35" t="str">
        <f>IF($G20="","",IFERROR(INDEX('Match Entry'!$G$5:$G$228,5+($B20-1)*Setup!$B$13+$D20-1-4),""))</f>
        <v/>
      </c>
      <c r="L20" s="34" t="str">
        <f>IF($G20="","",IFERROR(INDEX('Match Entry'!$H$5:$H$228,5+($B20-1)*Setup!$B$13+$D20-1-4),""))</f>
        <v/>
      </c>
      <c r="M20" s="35" t="str">
        <f>IF($G20="","",IFERROR(INDEX('Match Entry'!$I$5:$I$228,5+($B20-1)*Setup!$B$13+$D20-1-4),""))</f>
        <v/>
      </c>
      <c r="N20" s="34" t="str">
        <f>IF($G20="","",IFERROR(INDEX('Match Entry'!$J$5:$J$228,5+($B20-1)*Setup!$B$13+$D20-1-4),""))</f>
        <v/>
      </c>
      <c r="O20" s="35" t="str">
        <f>IF($G20="","",IFERROR(INDEX('Match Entry'!$K$5:$K$228,5+($B20-1)*Setup!$B$13+$D20-1-4),""))</f>
        <v/>
      </c>
      <c r="P20" s="34" t="str">
        <f>IF($G20="","",IFERROR(INDEX('Match Entry'!$L$5:$L$228,5+($B20-1)*Setup!$B$13+$D20-1-4),""))</f>
        <v/>
      </c>
      <c r="Q20" s="35" t="str">
        <f>IF($G20="","",IFERROR(INDEX('Match Entry'!$M$5:$M$228,5+($B20-1)*Setup!$B$13+$D20-1-4),""))</f>
        <v/>
      </c>
      <c r="R20" s="34" t="str">
        <f>IF($G20="","",IFERROR(INDEX('Match Entry'!$N$5:$N$228,5+($B20-1)*Setup!$B$13+$D20-1-4),""))</f>
        <v/>
      </c>
      <c r="S20" s="35" t="str">
        <f>IF($G20="","",IFERROR(INDEX('Match Entry'!$O$5:$O$228,5+($B20-1)*Setup!$B$13+$D20-1-4),""))</f>
        <v/>
      </c>
      <c r="T20" s="33" t="str">
        <f t="shared" si="2"/>
        <v/>
      </c>
      <c r="U20" s="33" t="str">
        <f t="shared" si="3"/>
        <v/>
      </c>
      <c r="V20" s="33" t="str">
        <f t="shared" si="4"/>
        <v/>
      </c>
      <c r="W20" s="33" t="str">
        <f t="shared" si="5"/>
        <v/>
      </c>
      <c r="X20" s="30" t="str">
        <f>IF(OR($G20="",$I20=""),"",IF(OR($T20&gt;=Setup!$B$8,$U20&gt;=Setup!$B$8),1,""))</f>
        <v/>
      </c>
      <c r="Y20" s="30" t="str">
        <f t="shared" si="6"/>
        <v/>
      </c>
      <c r="Z20" s="33" t="str">
        <f>IF($X20=1,IF($T20&gt;$U20,Setup!$B$9,Setup!$B$10),"")</f>
        <v/>
      </c>
      <c r="AA20" s="33" t="str">
        <f>IF($X20=1,IF($U20&gt;$T20,Setup!$B$9,Setup!$B$10),"")</f>
        <v/>
      </c>
      <c r="AB20" s="30" t="str">
        <f t="shared" si="7"/>
        <v/>
      </c>
      <c r="AC20" s="30" t="str">
        <f t="shared" si="8"/>
        <v/>
      </c>
      <c r="AD20" s="30" t="str">
        <f t="shared" si="9"/>
        <v/>
      </c>
    </row>
    <row r="21" spans="1:30">
      <c r="A21" s="29">
        <v>20</v>
      </c>
      <c r="B21" s="29" t="str">
        <f>IF(INT(($A21-1)/28)+1&lt;=Setup!$B$5,INT(($A21-1)/28)+1,"")</f>
        <v/>
      </c>
      <c r="C21" s="29" t="str">
        <f t="shared" si="0"/>
        <v/>
      </c>
      <c r="D21" s="29">
        <f t="shared" si="1"/>
        <v>20</v>
      </c>
      <c r="E21" s="29" t="str">
        <f>IF($B21="","",IFERROR(INDEX('Fixture Library'!$C$2:$C$200,MATCH(Setup!$B$6*100+$D21,'Fixture Library'!$F$2:$F$200,0)),""))</f>
        <v/>
      </c>
      <c r="F21" s="30" t="str">
        <f>IF($B21="","",IFERROR(INDEX('Fixture Library'!$D$2:$D$200,MATCH(Setup!$B$6*100+$D21,'Fixture Library'!$F$2:$F$200,0)),""))</f>
        <v/>
      </c>
      <c r="G21" s="30" t="str">
        <f>IF($F21="","",INDEX(Teams!$E$2:$E$65,($B21-1)*8+$F21))</f>
        <v/>
      </c>
      <c r="H21" s="30" t="str">
        <f>IF($B21="","",IFERROR(INDEX('Fixture Library'!$E$2:$E$200,MATCH(Setup!$B$6*100+$D21,'Fixture Library'!$F$2:$F$200,0)),""))</f>
        <v/>
      </c>
      <c r="I21" s="30" t="str">
        <f>IF($H21="","",INDEX(Teams!$E$2:$E$65,($B21-1)*8+$H21))</f>
        <v/>
      </c>
      <c r="J21" s="34" t="str">
        <f>IF($G21="","",IFERROR(INDEX('Match Entry'!$F$5:$F$228,5+($B21-1)*Setup!$B$13+$D21-1-4),""))</f>
        <v/>
      </c>
      <c r="K21" s="35" t="str">
        <f>IF($G21="","",IFERROR(INDEX('Match Entry'!$G$5:$G$228,5+($B21-1)*Setup!$B$13+$D21-1-4),""))</f>
        <v/>
      </c>
      <c r="L21" s="34" t="str">
        <f>IF($G21="","",IFERROR(INDEX('Match Entry'!$H$5:$H$228,5+($B21-1)*Setup!$B$13+$D21-1-4),""))</f>
        <v/>
      </c>
      <c r="M21" s="35" t="str">
        <f>IF($G21="","",IFERROR(INDEX('Match Entry'!$I$5:$I$228,5+($B21-1)*Setup!$B$13+$D21-1-4),""))</f>
        <v/>
      </c>
      <c r="N21" s="34" t="str">
        <f>IF($G21="","",IFERROR(INDEX('Match Entry'!$J$5:$J$228,5+($B21-1)*Setup!$B$13+$D21-1-4),""))</f>
        <v/>
      </c>
      <c r="O21" s="35" t="str">
        <f>IF($G21="","",IFERROR(INDEX('Match Entry'!$K$5:$K$228,5+($B21-1)*Setup!$B$13+$D21-1-4),""))</f>
        <v/>
      </c>
      <c r="P21" s="34" t="str">
        <f>IF($G21="","",IFERROR(INDEX('Match Entry'!$L$5:$L$228,5+($B21-1)*Setup!$B$13+$D21-1-4),""))</f>
        <v/>
      </c>
      <c r="Q21" s="35" t="str">
        <f>IF($G21="","",IFERROR(INDEX('Match Entry'!$M$5:$M$228,5+($B21-1)*Setup!$B$13+$D21-1-4),""))</f>
        <v/>
      </c>
      <c r="R21" s="34" t="str">
        <f>IF($G21="","",IFERROR(INDEX('Match Entry'!$N$5:$N$228,5+($B21-1)*Setup!$B$13+$D21-1-4),""))</f>
        <v/>
      </c>
      <c r="S21" s="35" t="str">
        <f>IF($G21="","",IFERROR(INDEX('Match Entry'!$O$5:$O$228,5+($B21-1)*Setup!$B$13+$D21-1-4),""))</f>
        <v/>
      </c>
      <c r="T21" s="33" t="str">
        <f t="shared" si="2"/>
        <v/>
      </c>
      <c r="U21" s="33" t="str">
        <f t="shared" si="3"/>
        <v/>
      </c>
      <c r="V21" s="33" t="str">
        <f t="shared" si="4"/>
        <v/>
      </c>
      <c r="W21" s="33" t="str">
        <f t="shared" si="5"/>
        <v/>
      </c>
      <c r="X21" s="30" t="str">
        <f>IF(OR($G21="",$I21=""),"",IF(OR($T21&gt;=Setup!$B$8,$U21&gt;=Setup!$B$8),1,""))</f>
        <v/>
      </c>
      <c r="Y21" s="30" t="str">
        <f t="shared" si="6"/>
        <v/>
      </c>
      <c r="Z21" s="33" t="str">
        <f>IF($X21=1,IF($T21&gt;$U21,Setup!$B$9,Setup!$B$10),"")</f>
        <v/>
      </c>
      <c r="AA21" s="33" t="str">
        <f>IF($X21=1,IF($U21&gt;$T21,Setup!$B$9,Setup!$B$10),"")</f>
        <v/>
      </c>
      <c r="AB21" s="30" t="str">
        <f t="shared" si="7"/>
        <v/>
      </c>
      <c r="AC21" s="30" t="str">
        <f t="shared" si="8"/>
        <v/>
      </c>
      <c r="AD21" s="30" t="str">
        <f t="shared" si="9"/>
        <v/>
      </c>
    </row>
    <row r="22" spans="1:30">
      <c r="A22" s="29">
        <v>21</v>
      </c>
      <c r="B22" s="29" t="str">
        <f>IF(INT(($A22-1)/28)+1&lt;=Setup!$B$5,INT(($A22-1)/28)+1,"")</f>
        <v/>
      </c>
      <c r="C22" s="29" t="str">
        <f t="shared" si="0"/>
        <v/>
      </c>
      <c r="D22" s="29">
        <f t="shared" si="1"/>
        <v>21</v>
      </c>
      <c r="E22" s="29" t="str">
        <f>IF($B22="","",IFERROR(INDEX('Fixture Library'!$C$2:$C$200,MATCH(Setup!$B$6*100+$D22,'Fixture Library'!$F$2:$F$200,0)),""))</f>
        <v/>
      </c>
      <c r="F22" s="30" t="str">
        <f>IF($B22="","",IFERROR(INDEX('Fixture Library'!$D$2:$D$200,MATCH(Setup!$B$6*100+$D22,'Fixture Library'!$F$2:$F$200,0)),""))</f>
        <v/>
      </c>
      <c r="G22" s="30" t="str">
        <f>IF($F22="","",INDEX(Teams!$E$2:$E$65,($B22-1)*8+$F22))</f>
        <v/>
      </c>
      <c r="H22" s="30" t="str">
        <f>IF($B22="","",IFERROR(INDEX('Fixture Library'!$E$2:$E$200,MATCH(Setup!$B$6*100+$D22,'Fixture Library'!$F$2:$F$200,0)),""))</f>
        <v/>
      </c>
      <c r="I22" s="30" t="str">
        <f>IF($H22="","",INDEX(Teams!$E$2:$E$65,($B22-1)*8+$H22))</f>
        <v/>
      </c>
      <c r="J22" s="34" t="str">
        <f>IF($G22="","",IFERROR(INDEX('Match Entry'!$F$5:$F$228,5+($B22-1)*Setup!$B$13+$D22-1-4),""))</f>
        <v/>
      </c>
      <c r="K22" s="35" t="str">
        <f>IF($G22="","",IFERROR(INDEX('Match Entry'!$G$5:$G$228,5+($B22-1)*Setup!$B$13+$D22-1-4),""))</f>
        <v/>
      </c>
      <c r="L22" s="34" t="str">
        <f>IF($G22="","",IFERROR(INDEX('Match Entry'!$H$5:$H$228,5+($B22-1)*Setup!$B$13+$D22-1-4),""))</f>
        <v/>
      </c>
      <c r="M22" s="35" t="str">
        <f>IF($G22="","",IFERROR(INDEX('Match Entry'!$I$5:$I$228,5+($B22-1)*Setup!$B$13+$D22-1-4),""))</f>
        <v/>
      </c>
      <c r="N22" s="34" t="str">
        <f>IF($G22="","",IFERROR(INDEX('Match Entry'!$J$5:$J$228,5+($B22-1)*Setup!$B$13+$D22-1-4),""))</f>
        <v/>
      </c>
      <c r="O22" s="35" t="str">
        <f>IF($G22="","",IFERROR(INDEX('Match Entry'!$K$5:$K$228,5+($B22-1)*Setup!$B$13+$D22-1-4),""))</f>
        <v/>
      </c>
      <c r="P22" s="34" t="str">
        <f>IF($G22="","",IFERROR(INDEX('Match Entry'!$L$5:$L$228,5+($B22-1)*Setup!$B$13+$D22-1-4),""))</f>
        <v/>
      </c>
      <c r="Q22" s="35" t="str">
        <f>IF($G22="","",IFERROR(INDEX('Match Entry'!$M$5:$M$228,5+($B22-1)*Setup!$B$13+$D22-1-4),""))</f>
        <v/>
      </c>
      <c r="R22" s="34" t="str">
        <f>IF($G22="","",IFERROR(INDEX('Match Entry'!$N$5:$N$228,5+($B22-1)*Setup!$B$13+$D22-1-4),""))</f>
        <v/>
      </c>
      <c r="S22" s="35" t="str">
        <f>IF($G22="","",IFERROR(INDEX('Match Entry'!$O$5:$O$228,5+($B22-1)*Setup!$B$13+$D22-1-4),""))</f>
        <v/>
      </c>
      <c r="T22" s="33" t="str">
        <f t="shared" si="2"/>
        <v/>
      </c>
      <c r="U22" s="33" t="str">
        <f t="shared" si="3"/>
        <v/>
      </c>
      <c r="V22" s="33" t="str">
        <f t="shared" si="4"/>
        <v/>
      </c>
      <c r="W22" s="33" t="str">
        <f t="shared" si="5"/>
        <v/>
      </c>
      <c r="X22" s="30" t="str">
        <f>IF(OR($G22="",$I22=""),"",IF(OR($T22&gt;=Setup!$B$8,$U22&gt;=Setup!$B$8),1,""))</f>
        <v/>
      </c>
      <c r="Y22" s="30" t="str">
        <f t="shared" si="6"/>
        <v/>
      </c>
      <c r="Z22" s="33" t="str">
        <f>IF($X22=1,IF($T22&gt;$U22,Setup!$B$9,Setup!$B$10),"")</f>
        <v/>
      </c>
      <c r="AA22" s="33" t="str">
        <f>IF($X22=1,IF($U22&gt;$T22,Setup!$B$9,Setup!$B$10),"")</f>
        <v/>
      </c>
      <c r="AB22" s="30" t="str">
        <f t="shared" si="7"/>
        <v/>
      </c>
      <c r="AC22" s="30" t="str">
        <f t="shared" si="8"/>
        <v/>
      </c>
      <c r="AD22" s="30" t="str">
        <f t="shared" si="9"/>
        <v/>
      </c>
    </row>
    <row r="23" spans="1:30">
      <c r="A23" s="29">
        <v>22</v>
      </c>
      <c r="B23" s="29" t="str">
        <f>IF(INT(($A23-1)/28)+1&lt;=Setup!$B$5,INT(($A23-1)/28)+1,"")</f>
        <v/>
      </c>
      <c r="C23" s="29" t="str">
        <f t="shared" si="0"/>
        <v/>
      </c>
      <c r="D23" s="29">
        <f t="shared" si="1"/>
        <v>22</v>
      </c>
      <c r="E23" s="29" t="str">
        <f>IF($B23="","",IFERROR(INDEX('Fixture Library'!$C$2:$C$200,MATCH(Setup!$B$6*100+$D23,'Fixture Library'!$F$2:$F$200,0)),""))</f>
        <v/>
      </c>
      <c r="F23" s="30" t="str">
        <f>IF($B23="","",IFERROR(INDEX('Fixture Library'!$D$2:$D$200,MATCH(Setup!$B$6*100+$D23,'Fixture Library'!$F$2:$F$200,0)),""))</f>
        <v/>
      </c>
      <c r="G23" s="30" t="str">
        <f>IF($F23="","",INDEX(Teams!$E$2:$E$65,($B23-1)*8+$F23))</f>
        <v/>
      </c>
      <c r="H23" s="30" t="str">
        <f>IF($B23="","",IFERROR(INDEX('Fixture Library'!$E$2:$E$200,MATCH(Setup!$B$6*100+$D23,'Fixture Library'!$F$2:$F$200,0)),""))</f>
        <v/>
      </c>
      <c r="I23" s="30" t="str">
        <f>IF($H23="","",INDEX(Teams!$E$2:$E$65,($B23-1)*8+$H23))</f>
        <v/>
      </c>
      <c r="J23" s="34" t="str">
        <f>IF($G23="","",IFERROR(INDEX('Match Entry'!$F$5:$F$228,5+($B23-1)*Setup!$B$13+$D23-1-4),""))</f>
        <v/>
      </c>
      <c r="K23" s="35" t="str">
        <f>IF($G23="","",IFERROR(INDEX('Match Entry'!$G$5:$G$228,5+($B23-1)*Setup!$B$13+$D23-1-4),""))</f>
        <v/>
      </c>
      <c r="L23" s="34" t="str">
        <f>IF($G23="","",IFERROR(INDEX('Match Entry'!$H$5:$H$228,5+($B23-1)*Setup!$B$13+$D23-1-4),""))</f>
        <v/>
      </c>
      <c r="M23" s="35" t="str">
        <f>IF($G23="","",IFERROR(INDEX('Match Entry'!$I$5:$I$228,5+($B23-1)*Setup!$B$13+$D23-1-4),""))</f>
        <v/>
      </c>
      <c r="N23" s="34" t="str">
        <f>IF($G23="","",IFERROR(INDEX('Match Entry'!$J$5:$J$228,5+($B23-1)*Setup!$B$13+$D23-1-4),""))</f>
        <v/>
      </c>
      <c r="O23" s="35" t="str">
        <f>IF($G23="","",IFERROR(INDEX('Match Entry'!$K$5:$K$228,5+($B23-1)*Setup!$B$13+$D23-1-4),""))</f>
        <v/>
      </c>
      <c r="P23" s="34" t="str">
        <f>IF($G23="","",IFERROR(INDEX('Match Entry'!$L$5:$L$228,5+($B23-1)*Setup!$B$13+$D23-1-4),""))</f>
        <v/>
      </c>
      <c r="Q23" s="35" t="str">
        <f>IF($G23="","",IFERROR(INDEX('Match Entry'!$M$5:$M$228,5+($B23-1)*Setup!$B$13+$D23-1-4),""))</f>
        <v/>
      </c>
      <c r="R23" s="34" t="str">
        <f>IF($G23="","",IFERROR(INDEX('Match Entry'!$N$5:$N$228,5+($B23-1)*Setup!$B$13+$D23-1-4),""))</f>
        <v/>
      </c>
      <c r="S23" s="35" t="str">
        <f>IF($G23="","",IFERROR(INDEX('Match Entry'!$O$5:$O$228,5+($B23-1)*Setup!$B$13+$D23-1-4),""))</f>
        <v/>
      </c>
      <c r="T23" s="33" t="str">
        <f t="shared" si="2"/>
        <v/>
      </c>
      <c r="U23" s="33" t="str">
        <f t="shared" si="3"/>
        <v/>
      </c>
      <c r="V23" s="33" t="str">
        <f t="shared" si="4"/>
        <v/>
      </c>
      <c r="W23" s="33" t="str">
        <f t="shared" si="5"/>
        <v/>
      </c>
      <c r="X23" s="30" t="str">
        <f>IF(OR($G23="",$I23=""),"",IF(OR($T23&gt;=Setup!$B$8,$U23&gt;=Setup!$B$8),1,""))</f>
        <v/>
      </c>
      <c r="Y23" s="30" t="str">
        <f t="shared" si="6"/>
        <v/>
      </c>
      <c r="Z23" s="33" t="str">
        <f>IF($X23=1,IF($T23&gt;$U23,Setup!$B$9,Setup!$B$10),"")</f>
        <v/>
      </c>
      <c r="AA23" s="33" t="str">
        <f>IF($X23=1,IF($U23&gt;$T23,Setup!$B$9,Setup!$B$10),"")</f>
        <v/>
      </c>
      <c r="AB23" s="30" t="str">
        <f t="shared" si="7"/>
        <v/>
      </c>
      <c r="AC23" s="30" t="str">
        <f t="shared" si="8"/>
        <v/>
      </c>
      <c r="AD23" s="30" t="str">
        <f t="shared" si="9"/>
        <v/>
      </c>
    </row>
    <row r="24" spans="1:30">
      <c r="A24" s="29">
        <v>23</v>
      </c>
      <c r="B24" s="29" t="str">
        <f>IF(INT(($A24-1)/28)+1&lt;=Setup!$B$5,INT(($A24-1)/28)+1,"")</f>
        <v/>
      </c>
      <c r="C24" s="29" t="str">
        <f t="shared" si="0"/>
        <v/>
      </c>
      <c r="D24" s="29">
        <f t="shared" si="1"/>
        <v>23</v>
      </c>
      <c r="E24" s="29" t="str">
        <f>IF($B24="","",IFERROR(INDEX('Fixture Library'!$C$2:$C$200,MATCH(Setup!$B$6*100+$D24,'Fixture Library'!$F$2:$F$200,0)),""))</f>
        <v/>
      </c>
      <c r="F24" s="30" t="str">
        <f>IF($B24="","",IFERROR(INDEX('Fixture Library'!$D$2:$D$200,MATCH(Setup!$B$6*100+$D24,'Fixture Library'!$F$2:$F$200,0)),""))</f>
        <v/>
      </c>
      <c r="G24" s="30" t="str">
        <f>IF($F24="","",INDEX(Teams!$E$2:$E$65,($B24-1)*8+$F24))</f>
        <v/>
      </c>
      <c r="H24" s="30" t="str">
        <f>IF($B24="","",IFERROR(INDEX('Fixture Library'!$E$2:$E$200,MATCH(Setup!$B$6*100+$D24,'Fixture Library'!$F$2:$F$200,0)),""))</f>
        <v/>
      </c>
      <c r="I24" s="30" t="str">
        <f>IF($H24="","",INDEX(Teams!$E$2:$E$65,($B24-1)*8+$H24))</f>
        <v/>
      </c>
      <c r="J24" s="34" t="str">
        <f>IF($G24="","",IFERROR(INDEX('Match Entry'!$F$5:$F$228,5+($B24-1)*Setup!$B$13+$D24-1-4),""))</f>
        <v/>
      </c>
      <c r="K24" s="35" t="str">
        <f>IF($G24="","",IFERROR(INDEX('Match Entry'!$G$5:$G$228,5+($B24-1)*Setup!$B$13+$D24-1-4),""))</f>
        <v/>
      </c>
      <c r="L24" s="34" t="str">
        <f>IF($G24="","",IFERROR(INDEX('Match Entry'!$H$5:$H$228,5+($B24-1)*Setup!$B$13+$D24-1-4),""))</f>
        <v/>
      </c>
      <c r="M24" s="35" t="str">
        <f>IF($G24="","",IFERROR(INDEX('Match Entry'!$I$5:$I$228,5+($B24-1)*Setup!$B$13+$D24-1-4),""))</f>
        <v/>
      </c>
      <c r="N24" s="34" t="str">
        <f>IF($G24="","",IFERROR(INDEX('Match Entry'!$J$5:$J$228,5+($B24-1)*Setup!$B$13+$D24-1-4),""))</f>
        <v/>
      </c>
      <c r="O24" s="35" t="str">
        <f>IF($G24="","",IFERROR(INDEX('Match Entry'!$K$5:$K$228,5+($B24-1)*Setup!$B$13+$D24-1-4),""))</f>
        <v/>
      </c>
      <c r="P24" s="34" t="str">
        <f>IF($G24="","",IFERROR(INDEX('Match Entry'!$L$5:$L$228,5+($B24-1)*Setup!$B$13+$D24-1-4),""))</f>
        <v/>
      </c>
      <c r="Q24" s="35" t="str">
        <f>IF($G24="","",IFERROR(INDEX('Match Entry'!$M$5:$M$228,5+($B24-1)*Setup!$B$13+$D24-1-4),""))</f>
        <v/>
      </c>
      <c r="R24" s="34" t="str">
        <f>IF($G24="","",IFERROR(INDEX('Match Entry'!$N$5:$N$228,5+($B24-1)*Setup!$B$13+$D24-1-4),""))</f>
        <v/>
      </c>
      <c r="S24" s="35" t="str">
        <f>IF($G24="","",IFERROR(INDEX('Match Entry'!$O$5:$O$228,5+($B24-1)*Setup!$B$13+$D24-1-4),""))</f>
        <v/>
      </c>
      <c r="T24" s="33" t="str">
        <f t="shared" si="2"/>
        <v/>
      </c>
      <c r="U24" s="33" t="str">
        <f t="shared" si="3"/>
        <v/>
      </c>
      <c r="V24" s="33" t="str">
        <f t="shared" si="4"/>
        <v/>
      </c>
      <c r="W24" s="33" t="str">
        <f t="shared" si="5"/>
        <v/>
      </c>
      <c r="X24" s="30" t="str">
        <f>IF(OR($G24="",$I24=""),"",IF(OR($T24&gt;=Setup!$B$8,$U24&gt;=Setup!$B$8),1,""))</f>
        <v/>
      </c>
      <c r="Y24" s="30" t="str">
        <f t="shared" si="6"/>
        <v/>
      </c>
      <c r="Z24" s="33" t="str">
        <f>IF($X24=1,IF($T24&gt;$U24,Setup!$B$9,Setup!$B$10),"")</f>
        <v/>
      </c>
      <c r="AA24" s="33" t="str">
        <f>IF($X24=1,IF($U24&gt;$T24,Setup!$B$9,Setup!$B$10),"")</f>
        <v/>
      </c>
      <c r="AB24" s="30" t="str">
        <f t="shared" si="7"/>
        <v/>
      </c>
      <c r="AC24" s="30" t="str">
        <f t="shared" si="8"/>
        <v/>
      </c>
      <c r="AD24" s="30" t="str">
        <f t="shared" si="9"/>
        <v/>
      </c>
    </row>
    <row r="25" spans="1:30">
      <c r="A25" s="29">
        <v>24</v>
      </c>
      <c r="B25" s="29" t="str">
        <f>IF(INT(($A25-1)/28)+1&lt;=Setup!$B$5,INT(($A25-1)/28)+1,"")</f>
        <v/>
      </c>
      <c r="C25" s="29" t="str">
        <f t="shared" si="0"/>
        <v/>
      </c>
      <c r="D25" s="29">
        <f t="shared" si="1"/>
        <v>24</v>
      </c>
      <c r="E25" s="29" t="str">
        <f>IF($B25="","",IFERROR(INDEX('Fixture Library'!$C$2:$C$200,MATCH(Setup!$B$6*100+$D25,'Fixture Library'!$F$2:$F$200,0)),""))</f>
        <v/>
      </c>
      <c r="F25" s="30" t="str">
        <f>IF($B25="","",IFERROR(INDEX('Fixture Library'!$D$2:$D$200,MATCH(Setup!$B$6*100+$D25,'Fixture Library'!$F$2:$F$200,0)),""))</f>
        <v/>
      </c>
      <c r="G25" s="30" t="str">
        <f>IF($F25="","",INDEX(Teams!$E$2:$E$65,($B25-1)*8+$F25))</f>
        <v/>
      </c>
      <c r="H25" s="30" t="str">
        <f>IF($B25="","",IFERROR(INDEX('Fixture Library'!$E$2:$E$200,MATCH(Setup!$B$6*100+$D25,'Fixture Library'!$F$2:$F$200,0)),""))</f>
        <v/>
      </c>
      <c r="I25" s="30" t="str">
        <f>IF($H25="","",INDEX(Teams!$E$2:$E$65,($B25-1)*8+$H25))</f>
        <v/>
      </c>
      <c r="J25" s="34" t="str">
        <f>IF($G25="","",IFERROR(INDEX('Match Entry'!$F$5:$F$228,5+($B25-1)*Setup!$B$13+$D25-1-4),""))</f>
        <v/>
      </c>
      <c r="K25" s="35" t="str">
        <f>IF($G25="","",IFERROR(INDEX('Match Entry'!$G$5:$G$228,5+($B25-1)*Setup!$B$13+$D25-1-4),""))</f>
        <v/>
      </c>
      <c r="L25" s="34" t="str">
        <f>IF($G25="","",IFERROR(INDEX('Match Entry'!$H$5:$H$228,5+($B25-1)*Setup!$B$13+$D25-1-4),""))</f>
        <v/>
      </c>
      <c r="M25" s="35" t="str">
        <f>IF($G25="","",IFERROR(INDEX('Match Entry'!$I$5:$I$228,5+($B25-1)*Setup!$B$13+$D25-1-4),""))</f>
        <v/>
      </c>
      <c r="N25" s="34" t="str">
        <f>IF($G25="","",IFERROR(INDEX('Match Entry'!$J$5:$J$228,5+($B25-1)*Setup!$B$13+$D25-1-4),""))</f>
        <v/>
      </c>
      <c r="O25" s="35" t="str">
        <f>IF($G25="","",IFERROR(INDEX('Match Entry'!$K$5:$K$228,5+($B25-1)*Setup!$B$13+$D25-1-4),""))</f>
        <v/>
      </c>
      <c r="P25" s="34" t="str">
        <f>IF($G25="","",IFERROR(INDEX('Match Entry'!$L$5:$L$228,5+($B25-1)*Setup!$B$13+$D25-1-4),""))</f>
        <v/>
      </c>
      <c r="Q25" s="35" t="str">
        <f>IF($G25="","",IFERROR(INDEX('Match Entry'!$M$5:$M$228,5+($B25-1)*Setup!$B$13+$D25-1-4),""))</f>
        <v/>
      </c>
      <c r="R25" s="34" t="str">
        <f>IF($G25="","",IFERROR(INDEX('Match Entry'!$N$5:$N$228,5+($B25-1)*Setup!$B$13+$D25-1-4),""))</f>
        <v/>
      </c>
      <c r="S25" s="35" t="str">
        <f>IF($G25="","",IFERROR(INDEX('Match Entry'!$O$5:$O$228,5+($B25-1)*Setup!$B$13+$D25-1-4),""))</f>
        <v/>
      </c>
      <c r="T25" s="33" t="str">
        <f t="shared" si="2"/>
        <v/>
      </c>
      <c r="U25" s="33" t="str">
        <f t="shared" si="3"/>
        <v/>
      </c>
      <c r="V25" s="33" t="str">
        <f t="shared" si="4"/>
        <v/>
      </c>
      <c r="W25" s="33" t="str">
        <f t="shared" si="5"/>
        <v/>
      </c>
      <c r="X25" s="30" t="str">
        <f>IF(OR($G25="",$I25=""),"",IF(OR($T25&gt;=Setup!$B$8,$U25&gt;=Setup!$B$8),1,""))</f>
        <v/>
      </c>
      <c r="Y25" s="30" t="str">
        <f t="shared" si="6"/>
        <v/>
      </c>
      <c r="Z25" s="33" t="str">
        <f>IF($X25=1,IF($T25&gt;$U25,Setup!$B$9,Setup!$B$10),"")</f>
        <v/>
      </c>
      <c r="AA25" s="33" t="str">
        <f>IF($X25=1,IF($U25&gt;$T25,Setup!$B$9,Setup!$B$10),"")</f>
        <v/>
      </c>
      <c r="AB25" s="30" t="str">
        <f t="shared" si="7"/>
        <v/>
      </c>
      <c r="AC25" s="30" t="str">
        <f t="shared" si="8"/>
        <v/>
      </c>
      <c r="AD25" s="30" t="str">
        <f t="shared" si="9"/>
        <v/>
      </c>
    </row>
    <row r="26" spans="1:30">
      <c r="A26" s="29">
        <v>25</v>
      </c>
      <c r="B26" s="29" t="str">
        <f>IF(INT(($A26-1)/28)+1&lt;=Setup!$B$5,INT(($A26-1)/28)+1,"")</f>
        <v/>
      </c>
      <c r="C26" s="29" t="str">
        <f t="shared" si="0"/>
        <v/>
      </c>
      <c r="D26" s="29">
        <f t="shared" si="1"/>
        <v>25</v>
      </c>
      <c r="E26" s="29" t="str">
        <f>IF($B26="","",IFERROR(INDEX('Fixture Library'!$C$2:$C$200,MATCH(Setup!$B$6*100+$D26,'Fixture Library'!$F$2:$F$200,0)),""))</f>
        <v/>
      </c>
      <c r="F26" s="30" t="str">
        <f>IF($B26="","",IFERROR(INDEX('Fixture Library'!$D$2:$D$200,MATCH(Setup!$B$6*100+$D26,'Fixture Library'!$F$2:$F$200,0)),""))</f>
        <v/>
      </c>
      <c r="G26" s="30" t="str">
        <f>IF($F26="","",INDEX(Teams!$E$2:$E$65,($B26-1)*8+$F26))</f>
        <v/>
      </c>
      <c r="H26" s="30" t="str">
        <f>IF($B26="","",IFERROR(INDEX('Fixture Library'!$E$2:$E$200,MATCH(Setup!$B$6*100+$D26,'Fixture Library'!$F$2:$F$200,0)),""))</f>
        <v/>
      </c>
      <c r="I26" s="30" t="str">
        <f>IF($H26="","",INDEX(Teams!$E$2:$E$65,($B26-1)*8+$H26))</f>
        <v/>
      </c>
      <c r="J26" s="34" t="str">
        <f>IF($G26="","",IFERROR(INDEX('Match Entry'!$F$5:$F$228,5+($B26-1)*Setup!$B$13+$D26-1-4),""))</f>
        <v/>
      </c>
      <c r="K26" s="35" t="str">
        <f>IF($G26="","",IFERROR(INDEX('Match Entry'!$G$5:$G$228,5+($B26-1)*Setup!$B$13+$D26-1-4),""))</f>
        <v/>
      </c>
      <c r="L26" s="34" t="str">
        <f>IF($G26="","",IFERROR(INDEX('Match Entry'!$H$5:$H$228,5+($B26-1)*Setup!$B$13+$D26-1-4),""))</f>
        <v/>
      </c>
      <c r="M26" s="35" t="str">
        <f>IF($G26="","",IFERROR(INDEX('Match Entry'!$I$5:$I$228,5+($B26-1)*Setup!$B$13+$D26-1-4),""))</f>
        <v/>
      </c>
      <c r="N26" s="34" t="str">
        <f>IF($G26="","",IFERROR(INDEX('Match Entry'!$J$5:$J$228,5+($B26-1)*Setup!$B$13+$D26-1-4),""))</f>
        <v/>
      </c>
      <c r="O26" s="35" t="str">
        <f>IF($G26="","",IFERROR(INDEX('Match Entry'!$K$5:$K$228,5+($B26-1)*Setup!$B$13+$D26-1-4),""))</f>
        <v/>
      </c>
      <c r="P26" s="34" t="str">
        <f>IF($G26="","",IFERROR(INDEX('Match Entry'!$L$5:$L$228,5+($B26-1)*Setup!$B$13+$D26-1-4),""))</f>
        <v/>
      </c>
      <c r="Q26" s="35" t="str">
        <f>IF($G26="","",IFERROR(INDEX('Match Entry'!$M$5:$M$228,5+($B26-1)*Setup!$B$13+$D26-1-4),""))</f>
        <v/>
      </c>
      <c r="R26" s="34" t="str">
        <f>IF($G26="","",IFERROR(INDEX('Match Entry'!$N$5:$N$228,5+($B26-1)*Setup!$B$13+$D26-1-4),""))</f>
        <v/>
      </c>
      <c r="S26" s="35" t="str">
        <f>IF($G26="","",IFERROR(INDEX('Match Entry'!$O$5:$O$228,5+($B26-1)*Setup!$B$13+$D26-1-4),""))</f>
        <v/>
      </c>
      <c r="T26" s="33" t="str">
        <f t="shared" si="2"/>
        <v/>
      </c>
      <c r="U26" s="33" t="str">
        <f t="shared" si="3"/>
        <v/>
      </c>
      <c r="V26" s="33" t="str">
        <f t="shared" si="4"/>
        <v/>
      </c>
      <c r="W26" s="33" t="str">
        <f t="shared" si="5"/>
        <v/>
      </c>
      <c r="X26" s="30" t="str">
        <f>IF(OR($G26="",$I26=""),"",IF(OR($T26&gt;=Setup!$B$8,$U26&gt;=Setup!$B$8),1,""))</f>
        <v/>
      </c>
      <c r="Y26" s="30" t="str">
        <f t="shared" si="6"/>
        <v/>
      </c>
      <c r="Z26" s="33" t="str">
        <f>IF($X26=1,IF($T26&gt;$U26,Setup!$B$9,Setup!$B$10),"")</f>
        <v/>
      </c>
      <c r="AA26" s="33" t="str">
        <f>IF($X26=1,IF($U26&gt;$T26,Setup!$B$9,Setup!$B$10),"")</f>
        <v/>
      </c>
      <c r="AB26" s="30" t="str">
        <f t="shared" si="7"/>
        <v/>
      </c>
      <c r="AC26" s="30" t="str">
        <f t="shared" si="8"/>
        <v/>
      </c>
      <c r="AD26" s="30" t="str">
        <f t="shared" si="9"/>
        <v/>
      </c>
    </row>
    <row r="27" spans="1:30">
      <c r="A27" s="29">
        <v>26</v>
      </c>
      <c r="B27" s="29" t="str">
        <f>IF(INT(($A27-1)/28)+1&lt;=Setup!$B$5,INT(($A27-1)/28)+1,"")</f>
        <v/>
      </c>
      <c r="C27" s="29" t="str">
        <f t="shared" si="0"/>
        <v/>
      </c>
      <c r="D27" s="29">
        <f t="shared" si="1"/>
        <v>26</v>
      </c>
      <c r="E27" s="29" t="str">
        <f>IF($B27="","",IFERROR(INDEX('Fixture Library'!$C$2:$C$200,MATCH(Setup!$B$6*100+$D27,'Fixture Library'!$F$2:$F$200,0)),""))</f>
        <v/>
      </c>
      <c r="F27" s="30" t="str">
        <f>IF($B27="","",IFERROR(INDEX('Fixture Library'!$D$2:$D$200,MATCH(Setup!$B$6*100+$D27,'Fixture Library'!$F$2:$F$200,0)),""))</f>
        <v/>
      </c>
      <c r="G27" s="30" t="str">
        <f>IF($F27="","",INDEX(Teams!$E$2:$E$65,($B27-1)*8+$F27))</f>
        <v/>
      </c>
      <c r="H27" s="30" t="str">
        <f>IF($B27="","",IFERROR(INDEX('Fixture Library'!$E$2:$E$200,MATCH(Setup!$B$6*100+$D27,'Fixture Library'!$F$2:$F$200,0)),""))</f>
        <v/>
      </c>
      <c r="I27" s="30" t="str">
        <f>IF($H27="","",INDEX(Teams!$E$2:$E$65,($B27-1)*8+$H27))</f>
        <v/>
      </c>
      <c r="J27" s="34" t="str">
        <f>IF($G27="","",IFERROR(INDEX('Match Entry'!$F$5:$F$228,5+($B27-1)*Setup!$B$13+$D27-1-4),""))</f>
        <v/>
      </c>
      <c r="K27" s="35" t="str">
        <f>IF($G27="","",IFERROR(INDEX('Match Entry'!$G$5:$G$228,5+($B27-1)*Setup!$B$13+$D27-1-4),""))</f>
        <v/>
      </c>
      <c r="L27" s="34" t="str">
        <f>IF($G27="","",IFERROR(INDEX('Match Entry'!$H$5:$H$228,5+($B27-1)*Setup!$B$13+$D27-1-4),""))</f>
        <v/>
      </c>
      <c r="M27" s="35" t="str">
        <f>IF($G27="","",IFERROR(INDEX('Match Entry'!$I$5:$I$228,5+($B27-1)*Setup!$B$13+$D27-1-4),""))</f>
        <v/>
      </c>
      <c r="N27" s="34" t="str">
        <f>IF($G27="","",IFERROR(INDEX('Match Entry'!$J$5:$J$228,5+($B27-1)*Setup!$B$13+$D27-1-4),""))</f>
        <v/>
      </c>
      <c r="O27" s="35" t="str">
        <f>IF($G27="","",IFERROR(INDEX('Match Entry'!$K$5:$K$228,5+($B27-1)*Setup!$B$13+$D27-1-4),""))</f>
        <v/>
      </c>
      <c r="P27" s="34" t="str">
        <f>IF($G27="","",IFERROR(INDEX('Match Entry'!$L$5:$L$228,5+($B27-1)*Setup!$B$13+$D27-1-4),""))</f>
        <v/>
      </c>
      <c r="Q27" s="35" t="str">
        <f>IF($G27="","",IFERROR(INDEX('Match Entry'!$M$5:$M$228,5+($B27-1)*Setup!$B$13+$D27-1-4),""))</f>
        <v/>
      </c>
      <c r="R27" s="34" t="str">
        <f>IF($G27="","",IFERROR(INDEX('Match Entry'!$N$5:$N$228,5+($B27-1)*Setup!$B$13+$D27-1-4),""))</f>
        <v/>
      </c>
      <c r="S27" s="35" t="str">
        <f>IF($G27="","",IFERROR(INDEX('Match Entry'!$O$5:$O$228,5+($B27-1)*Setup!$B$13+$D27-1-4),""))</f>
        <v/>
      </c>
      <c r="T27" s="33" t="str">
        <f t="shared" si="2"/>
        <v/>
      </c>
      <c r="U27" s="33" t="str">
        <f t="shared" si="3"/>
        <v/>
      </c>
      <c r="V27" s="33" t="str">
        <f t="shared" si="4"/>
        <v/>
      </c>
      <c r="W27" s="33" t="str">
        <f t="shared" si="5"/>
        <v/>
      </c>
      <c r="X27" s="30" t="str">
        <f>IF(OR($G27="",$I27=""),"",IF(OR($T27&gt;=Setup!$B$8,$U27&gt;=Setup!$B$8),1,""))</f>
        <v/>
      </c>
      <c r="Y27" s="30" t="str">
        <f t="shared" si="6"/>
        <v/>
      </c>
      <c r="Z27" s="33" t="str">
        <f>IF($X27=1,IF($T27&gt;$U27,Setup!$B$9,Setup!$B$10),"")</f>
        <v/>
      </c>
      <c r="AA27" s="33" t="str">
        <f>IF($X27=1,IF($U27&gt;$T27,Setup!$B$9,Setup!$B$10),"")</f>
        <v/>
      </c>
      <c r="AB27" s="30" t="str">
        <f t="shared" si="7"/>
        <v/>
      </c>
      <c r="AC27" s="30" t="str">
        <f t="shared" si="8"/>
        <v/>
      </c>
      <c r="AD27" s="30" t="str">
        <f t="shared" si="9"/>
        <v/>
      </c>
    </row>
    <row r="28" spans="1:30">
      <c r="A28" s="29">
        <v>27</v>
      </c>
      <c r="B28" s="29" t="str">
        <f>IF(INT(($A28-1)/28)+1&lt;=Setup!$B$5,INT(($A28-1)/28)+1,"")</f>
        <v/>
      </c>
      <c r="C28" s="29" t="str">
        <f t="shared" si="0"/>
        <v/>
      </c>
      <c r="D28" s="29">
        <f t="shared" si="1"/>
        <v>27</v>
      </c>
      <c r="E28" s="29" t="str">
        <f>IF($B28="","",IFERROR(INDEX('Fixture Library'!$C$2:$C$200,MATCH(Setup!$B$6*100+$D28,'Fixture Library'!$F$2:$F$200,0)),""))</f>
        <v/>
      </c>
      <c r="F28" s="30" t="str">
        <f>IF($B28="","",IFERROR(INDEX('Fixture Library'!$D$2:$D$200,MATCH(Setup!$B$6*100+$D28,'Fixture Library'!$F$2:$F$200,0)),""))</f>
        <v/>
      </c>
      <c r="G28" s="30" t="str">
        <f>IF($F28="","",INDEX(Teams!$E$2:$E$65,($B28-1)*8+$F28))</f>
        <v/>
      </c>
      <c r="H28" s="30" t="str">
        <f>IF($B28="","",IFERROR(INDEX('Fixture Library'!$E$2:$E$200,MATCH(Setup!$B$6*100+$D28,'Fixture Library'!$F$2:$F$200,0)),""))</f>
        <v/>
      </c>
      <c r="I28" s="30" t="str">
        <f>IF($H28="","",INDEX(Teams!$E$2:$E$65,($B28-1)*8+$H28))</f>
        <v/>
      </c>
      <c r="J28" s="34" t="str">
        <f>IF($G28="","",IFERROR(INDEX('Match Entry'!$F$5:$F$228,5+($B28-1)*Setup!$B$13+$D28-1-4),""))</f>
        <v/>
      </c>
      <c r="K28" s="35" t="str">
        <f>IF($G28="","",IFERROR(INDEX('Match Entry'!$G$5:$G$228,5+($B28-1)*Setup!$B$13+$D28-1-4),""))</f>
        <v/>
      </c>
      <c r="L28" s="34" t="str">
        <f>IF($G28="","",IFERROR(INDEX('Match Entry'!$H$5:$H$228,5+($B28-1)*Setup!$B$13+$D28-1-4),""))</f>
        <v/>
      </c>
      <c r="M28" s="35" t="str">
        <f>IF($G28="","",IFERROR(INDEX('Match Entry'!$I$5:$I$228,5+($B28-1)*Setup!$B$13+$D28-1-4),""))</f>
        <v/>
      </c>
      <c r="N28" s="34" t="str">
        <f>IF($G28="","",IFERROR(INDEX('Match Entry'!$J$5:$J$228,5+($B28-1)*Setup!$B$13+$D28-1-4),""))</f>
        <v/>
      </c>
      <c r="O28" s="35" t="str">
        <f>IF($G28="","",IFERROR(INDEX('Match Entry'!$K$5:$K$228,5+($B28-1)*Setup!$B$13+$D28-1-4),""))</f>
        <v/>
      </c>
      <c r="P28" s="34" t="str">
        <f>IF($G28="","",IFERROR(INDEX('Match Entry'!$L$5:$L$228,5+($B28-1)*Setup!$B$13+$D28-1-4),""))</f>
        <v/>
      </c>
      <c r="Q28" s="35" t="str">
        <f>IF($G28="","",IFERROR(INDEX('Match Entry'!$M$5:$M$228,5+($B28-1)*Setup!$B$13+$D28-1-4),""))</f>
        <v/>
      </c>
      <c r="R28" s="34" t="str">
        <f>IF($G28="","",IFERROR(INDEX('Match Entry'!$N$5:$N$228,5+($B28-1)*Setup!$B$13+$D28-1-4),""))</f>
        <v/>
      </c>
      <c r="S28" s="35" t="str">
        <f>IF($G28="","",IFERROR(INDEX('Match Entry'!$O$5:$O$228,5+($B28-1)*Setup!$B$13+$D28-1-4),""))</f>
        <v/>
      </c>
      <c r="T28" s="33" t="str">
        <f t="shared" si="2"/>
        <v/>
      </c>
      <c r="U28" s="33" t="str">
        <f t="shared" si="3"/>
        <v/>
      </c>
      <c r="V28" s="33" t="str">
        <f t="shared" si="4"/>
        <v/>
      </c>
      <c r="W28" s="33" t="str">
        <f t="shared" si="5"/>
        <v/>
      </c>
      <c r="X28" s="30" t="str">
        <f>IF(OR($G28="",$I28=""),"",IF(OR($T28&gt;=Setup!$B$8,$U28&gt;=Setup!$B$8),1,""))</f>
        <v/>
      </c>
      <c r="Y28" s="30" t="str">
        <f t="shared" si="6"/>
        <v/>
      </c>
      <c r="Z28" s="33" t="str">
        <f>IF($X28=1,IF($T28&gt;$U28,Setup!$B$9,Setup!$B$10),"")</f>
        <v/>
      </c>
      <c r="AA28" s="33" t="str">
        <f>IF($X28=1,IF($U28&gt;$T28,Setup!$B$9,Setup!$B$10),"")</f>
        <v/>
      </c>
      <c r="AB28" s="30" t="str">
        <f t="shared" si="7"/>
        <v/>
      </c>
      <c r="AC28" s="30" t="str">
        <f t="shared" si="8"/>
        <v/>
      </c>
      <c r="AD28" s="30" t="str">
        <f t="shared" si="9"/>
        <v/>
      </c>
    </row>
    <row r="29" spans="1:30">
      <c r="A29" s="29">
        <v>28</v>
      </c>
      <c r="B29" s="29" t="str">
        <f>IF(INT(($A29-1)/28)+1&lt;=Setup!$B$5,INT(($A29-1)/28)+1,"")</f>
        <v/>
      </c>
      <c r="C29" s="29" t="str">
        <f t="shared" si="0"/>
        <v/>
      </c>
      <c r="D29" s="29">
        <f t="shared" si="1"/>
        <v>28</v>
      </c>
      <c r="E29" s="29" t="str">
        <f>IF($B29="","",IFERROR(INDEX('Fixture Library'!$C$2:$C$200,MATCH(Setup!$B$6*100+$D29,'Fixture Library'!$F$2:$F$200,0)),""))</f>
        <v/>
      </c>
      <c r="F29" s="30" t="str">
        <f>IF($B29="","",IFERROR(INDEX('Fixture Library'!$D$2:$D$200,MATCH(Setup!$B$6*100+$D29,'Fixture Library'!$F$2:$F$200,0)),""))</f>
        <v/>
      </c>
      <c r="G29" s="30" t="str">
        <f>IF($F29="","",INDEX(Teams!$E$2:$E$65,($B29-1)*8+$F29))</f>
        <v/>
      </c>
      <c r="H29" s="30" t="str">
        <f>IF($B29="","",IFERROR(INDEX('Fixture Library'!$E$2:$E$200,MATCH(Setup!$B$6*100+$D29,'Fixture Library'!$F$2:$F$200,0)),""))</f>
        <v/>
      </c>
      <c r="I29" s="30" t="str">
        <f>IF($H29="","",INDEX(Teams!$E$2:$E$65,($B29-1)*8+$H29))</f>
        <v/>
      </c>
      <c r="J29" s="34" t="str">
        <f>IF($G29="","",IFERROR(INDEX('Match Entry'!$F$5:$F$228,5+($B29-1)*Setup!$B$13+$D29-1-4),""))</f>
        <v/>
      </c>
      <c r="K29" s="35" t="str">
        <f>IF($G29="","",IFERROR(INDEX('Match Entry'!$G$5:$G$228,5+($B29-1)*Setup!$B$13+$D29-1-4),""))</f>
        <v/>
      </c>
      <c r="L29" s="34" t="str">
        <f>IF($G29="","",IFERROR(INDEX('Match Entry'!$H$5:$H$228,5+($B29-1)*Setup!$B$13+$D29-1-4),""))</f>
        <v/>
      </c>
      <c r="M29" s="35" t="str">
        <f>IF($G29="","",IFERROR(INDEX('Match Entry'!$I$5:$I$228,5+($B29-1)*Setup!$B$13+$D29-1-4),""))</f>
        <v/>
      </c>
      <c r="N29" s="34" t="str">
        <f>IF($G29="","",IFERROR(INDEX('Match Entry'!$J$5:$J$228,5+($B29-1)*Setup!$B$13+$D29-1-4),""))</f>
        <v/>
      </c>
      <c r="O29" s="35" t="str">
        <f>IF($G29="","",IFERROR(INDEX('Match Entry'!$K$5:$K$228,5+($B29-1)*Setup!$B$13+$D29-1-4),""))</f>
        <v/>
      </c>
      <c r="P29" s="34" t="str">
        <f>IF($G29="","",IFERROR(INDEX('Match Entry'!$L$5:$L$228,5+($B29-1)*Setup!$B$13+$D29-1-4),""))</f>
        <v/>
      </c>
      <c r="Q29" s="35" t="str">
        <f>IF($G29="","",IFERROR(INDEX('Match Entry'!$M$5:$M$228,5+($B29-1)*Setup!$B$13+$D29-1-4),""))</f>
        <v/>
      </c>
      <c r="R29" s="34" t="str">
        <f>IF($G29="","",IFERROR(INDEX('Match Entry'!$N$5:$N$228,5+($B29-1)*Setup!$B$13+$D29-1-4),""))</f>
        <v/>
      </c>
      <c r="S29" s="35" t="str">
        <f>IF($G29="","",IFERROR(INDEX('Match Entry'!$O$5:$O$228,5+($B29-1)*Setup!$B$13+$D29-1-4),""))</f>
        <v/>
      </c>
      <c r="T29" s="33" t="str">
        <f t="shared" si="2"/>
        <v/>
      </c>
      <c r="U29" s="33" t="str">
        <f t="shared" si="3"/>
        <v/>
      </c>
      <c r="V29" s="33" t="str">
        <f t="shared" si="4"/>
        <v/>
      </c>
      <c r="W29" s="33" t="str">
        <f t="shared" si="5"/>
        <v/>
      </c>
      <c r="X29" s="30" t="str">
        <f>IF(OR($G29="",$I29=""),"",IF(OR($T29&gt;=Setup!$B$8,$U29&gt;=Setup!$B$8),1,""))</f>
        <v/>
      </c>
      <c r="Y29" s="30" t="str">
        <f t="shared" si="6"/>
        <v/>
      </c>
      <c r="Z29" s="33" t="str">
        <f>IF($X29=1,IF($T29&gt;$U29,Setup!$B$9,Setup!$B$10),"")</f>
        <v/>
      </c>
      <c r="AA29" s="33" t="str">
        <f>IF($X29=1,IF($U29&gt;$T29,Setup!$B$9,Setup!$B$10),"")</f>
        <v/>
      </c>
      <c r="AB29" s="30" t="str">
        <f t="shared" si="7"/>
        <v/>
      </c>
      <c r="AC29" s="30" t="str">
        <f t="shared" si="8"/>
        <v/>
      </c>
      <c r="AD29" s="30" t="str">
        <f t="shared" si="9"/>
        <v/>
      </c>
    </row>
    <row r="30" spans="1:30">
      <c r="A30" s="29">
        <v>29</v>
      </c>
      <c r="B30" s="29" t="str">
        <f>IF(INT(($A30-1)/28)+1&lt;=Setup!$B$5,INT(($A30-1)/28)+1,"")</f>
        <v/>
      </c>
      <c r="C30" s="29" t="str">
        <f t="shared" si="0"/>
        <v/>
      </c>
      <c r="D30" s="29">
        <f t="shared" si="1"/>
        <v>1</v>
      </c>
      <c r="E30" s="29" t="str">
        <f>IF($B30="","",IFERROR(INDEX('Fixture Library'!$C$2:$C$200,MATCH(Setup!$B$6*100+$D30,'Fixture Library'!$F$2:$F$200,0)),""))</f>
        <v/>
      </c>
      <c r="F30" s="30" t="str">
        <f>IF($B30="","",IFERROR(INDEX('Fixture Library'!$D$2:$D$200,MATCH(Setup!$B$6*100+$D30,'Fixture Library'!$F$2:$F$200,0)),""))</f>
        <v/>
      </c>
      <c r="G30" s="30" t="str">
        <f>IF($F30="","",INDEX(Teams!$E$2:$E$65,($B30-1)*8+$F30))</f>
        <v/>
      </c>
      <c r="H30" s="30" t="str">
        <f>IF($B30="","",IFERROR(INDEX('Fixture Library'!$E$2:$E$200,MATCH(Setup!$B$6*100+$D30,'Fixture Library'!$F$2:$F$200,0)),""))</f>
        <v/>
      </c>
      <c r="I30" s="30" t="str">
        <f>IF($H30="","",INDEX(Teams!$E$2:$E$65,($B30-1)*8+$H30))</f>
        <v/>
      </c>
      <c r="J30" s="34" t="str">
        <f>IF($G30="","",IFERROR(INDEX('Match Entry'!$F$5:$F$228,5+($B30-1)*Setup!$B$13+$D30-1-4),""))</f>
        <v/>
      </c>
      <c r="K30" s="35" t="str">
        <f>IF($G30="","",IFERROR(INDEX('Match Entry'!$G$5:$G$228,5+($B30-1)*Setup!$B$13+$D30-1-4),""))</f>
        <v/>
      </c>
      <c r="L30" s="34" t="str">
        <f>IF($G30="","",IFERROR(INDEX('Match Entry'!$H$5:$H$228,5+($B30-1)*Setup!$B$13+$D30-1-4),""))</f>
        <v/>
      </c>
      <c r="M30" s="35" t="str">
        <f>IF($G30="","",IFERROR(INDEX('Match Entry'!$I$5:$I$228,5+($B30-1)*Setup!$B$13+$D30-1-4),""))</f>
        <v/>
      </c>
      <c r="N30" s="34" t="str">
        <f>IF($G30="","",IFERROR(INDEX('Match Entry'!$J$5:$J$228,5+($B30-1)*Setup!$B$13+$D30-1-4),""))</f>
        <v/>
      </c>
      <c r="O30" s="35" t="str">
        <f>IF($G30="","",IFERROR(INDEX('Match Entry'!$K$5:$K$228,5+($B30-1)*Setup!$B$13+$D30-1-4),""))</f>
        <v/>
      </c>
      <c r="P30" s="34" t="str">
        <f>IF($G30="","",IFERROR(INDEX('Match Entry'!$L$5:$L$228,5+($B30-1)*Setup!$B$13+$D30-1-4),""))</f>
        <v/>
      </c>
      <c r="Q30" s="35" t="str">
        <f>IF($G30="","",IFERROR(INDEX('Match Entry'!$M$5:$M$228,5+($B30-1)*Setup!$B$13+$D30-1-4),""))</f>
        <v/>
      </c>
      <c r="R30" s="34" t="str">
        <f>IF($G30="","",IFERROR(INDEX('Match Entry'!$N$5:$N$228,5+($B30-1)*Setup!$B$13+$D30-1-4),""))</f>
        <v/>
      </c>
      <c r="S30" s="35" t="str">
        <f>IF($G30="","",IFERROR(INDEX('Match Entry'!$O$5:$O$228,5+($B30-1)*Setup!$B$13+$D30-1-4),""))</f>
        <v/>
      </c>
      <c r="T30" s="33" t="str">
        <f t="shared" si="2"/>
        <v/>
      </c>
      <c r="U30" s="33" t="str">
        <f t="shared" si="3"/>
        <v/>
      </c>
      <c r="V30" s="33" t="str">
        <f t="shared" si="4"/>
        <v/>
      </c>
      <c r="W30" s="33" t="str">
        <f t="shared" si="5"/>
        <v/>
      </c>
      <c r="X30" s="30" t="str">
        <f>IF(OR($G30="",$I30=""),"",IF(OR($T30&gt;=Setup!$B$8,$U30&gt;=Setup!$B$8),1,""))</f>
        <v/>
      </c>
      <c r="Y30" s="30" t="str">
        <f t="shared" si="6"/>
        <v/>
      </c>
      <c r="Z30" s="33" t="str">
        <f>IF($X30=1,IF($T30&gt;$U30,Setup!$B$9,Setup!$B$10),"")</f>
        <v/>
      </c>
      <c r="AA30" s="33" t="str">
        <f>IF($X30=1,IF($U30&gt;$T30,Setup!$B$9,Setup!$B$10),"")</f>
        <v/>
      </c>
      <c r="AB30" s="30" t="str">
        <f t="shared" si="7"/>
        <v/>
      </c>
      <c r="AC30" s="30" t="str">
        <f t="shared" si="8"/>
        <v/>
      </c>
      <c r="AD30" s="30" t="str">
        <f t="shared" si="9"/>
        <v/>
      </c>
    </row>
    <row r="31" spans="1:30">
      <c r="A31" s="29">
        <v>30</v>
      </c>
      <c r="B31" s="29" t="str">
        <f>IF(INT(($A31-1)/28)+1&lt;=Setup!$B$5,INT(($A31-1)/28)+1,"")</f>
        <v/>
      </c>
      <c r="C31" s="29" t="str">
        <f t="shared" si="0"/>
        <v/>
      </c>
      <c r="D31" s="29">
        <f t="shared" si="1"/>
        <v>2</v>
      </c>
      <c r="E31" s="29" t="str">
        <f>IF($B31="","",IFERROR(INDEX('Fixture Library'!$C$2:$C$200,MATCH(Setup!$B$6*100+$D31,'Fixture Library'!$F$2:$F$200,0)),""))</f>
        <v/>
      </c>
      <c r="F31" s="30" t="str">
        <f>IF($B31="","",IFERROR(INDEX('Fixture Library'!$D$2:$D$200,MATCH(Setup!$B$6*100+$D31,'Fixture Library'!$F$2:$F$200,0)),""))</f>
        <v/>
      </c>
      <c r="G31" s="30" t="str">
        <f>IF($F31="","",INDEX(Teams!$E$2:$E$65,($B31-1)*8+$F31))</f>
        <v/>
      </c>
      <c r="H31" s="30" t="str">
        <f>IF($B31="","",IFERROR(INDEX('Fixture Library'!$E$2:$E$200,MATCH(Setup!$B$6*100+$D31,'Fixture Library'!$F$2:$F$200,0)),""))</f>
        <v/>
      </c>
      <c r="I31" s="30" t="str">
        <f>IF($H31="","",INDEX(Teams!$E$2:$E$65,($B31-1)*8+$H31))</f>
        <v/>
      </c>
      <c r="J31" s="34" t="str">
        <f>IF($G31="","",IFERROR(INDEX('Match Entry'!$F$5:$F$228,5+($B31-1)*Setup!$B$13+$D31-1-4),""))</f>
        <v/>
      </c>
      <c r="K31" s="35" t="str">
        <f>IF($G31="","",IFERROR(INDEX('Match Entry'!$G$5:$G$228,5+($B31-1)*Setup!$B$13+$D31-1-4),""))</f>
        <v/>
      </c>
      <c r="L31" s="34" t="str">
        <f>IF($G31="","",IFERROR(INDEX('Match Entry'!$H$5:$H$228,5+($B31-1)*Setup!$B$13+$D31-1-4),""))</f>
        <v/>
      </c>
      <c r="M31" s="35" t="str">
        <f>IF($G31="","",IFERROR(INDEX('Match Entry'!$I$5:$I$228,5+($B31-1)*Setup!$B$13+$D31-1-4),""))</f>
        <v/>
      </c>
      <c r="N31" s="34" t="str">
        <f>IF($G31="","",IFERROR(INDEX('Match Entry'!$J$5:$J$228,5+($B31-1)*Setup!$B$13+$D31-1-4),""))</f>
        <v/>
      </c>
      <c r="O31" s="35" t="str">
        <f>IF($G31="","",IFERROR(INDEX('Match Entry'!$K$5:$K$228,5+($B31-1)*Setup!$B$13+$D31-1-4),""))</f>
        <v/>
      </c>
      <c r="P31" s="34" t="str">
        <f>IF($G31="","",IFERROR(INDEX('Match Entry'!$L$5:$L$228,5+($B31-1)*Setup!$B$13+$D31-1-4),""))</f>
        <v/>
      </c>
      <c r="Q31" s="35" t="str">
        <f>IF($G31="","",IFERROR(INDEX('Match Entry'!$M$5:$M$228,5+($B31-1)*Setup!$B$13+$D31-1-4),""))</f>
        <v/>
      </c>
      <c r="R31" s="34" t="str">
        <f>IF($G31="","",IFERROR(INDEX('Match Entry'!$N$5:$N$228,5+($B31-1)*Setup!$B$13+$D31-1-4),""))</f>
        <v/>
      </c>
      <c r="S31" s="35" t="str">
        <f>IF($G31="","",IFERROR(INDEX('Match Entry'!$O$5:$O$228,5+($B31-1)*Setup!$B$13+$D31-1-4),""))</f>
        <v/>
      </c>
      <c r="T31" s="33" t="str">
        <f t="shared" si="2"/>
        <v/>
      </c>
      <c r="U31" s="33" t="str">
        <f t="shared" si="3"/>
        <v/>
      </c>
      <c r="V31" s="33" t="str">
        <f t="shared" si="4"/>
        <v/>
      </c>
      <c r="W31" s="33" t="str">
        <f t="shared" si="5"/>
        <v/>
      </c>
      <c r="X31" s="30" t="str">
        <f>IF(OR($G31="",$I31=""),"",IF(OR($T31&gt;=Setup!$B$8,$U31&gt;=Setup!$B$8),1,""))</f>
        <v/>
      </c>
      <c r="Y31" s="30" t="str">
        <f t="shared" si="6"/>
        <v/>
      </c>
      <c r="Z31" s="33" t="str">
        <f>IF($X31=1,IF($T31&gt;$U31,Setup!$B$9,Setup!$B$10),"")</f>
        <v/>
      </c>
      <c r="AA31" s="33" t="str">
        <f>IF($X31=1,IF($U31&gt;$T31,Setup!$B$9,Setup!$B$10),"")</f>
        <v/>
      </c>
      <c r="AB31" s="30" t="str">
        <f t="shared" si="7"/>
        <v/>
      </c>
      <c r="AC31" s="30" t="str">
        <f t="shared" si="8"/>
        <v/>
      </c>
      <c r="AD31" s="30" t="str">
        <f t="shared" si="9"/>
        <v/>
      </c>
    </row>
    <row r="32" spans="1:30">
      <c r="A32" s="29">
        <v>31</v>
      </c>
      <c r="B32" s="29" t="str">
        <f>IF(INT(($A32-1)/28)+1&lt;=Setup!$B$5,INT(($A32-1)/28)+1,"")</f>
        <v/>
      </c>
      <c r="C32" s="29" t="str">
        <f t="shared" si="0"/>
        <v/>
      </c>
      <c r="D32" s="29">
        <f t="shared" si="1"/>
        <v>3</v>
      </c>
      <c r="E32" s="29" t="str">
        <f>IF($B32="","",IFERROR(INDEX('Fixture Library'!$C$2:$C$200,MATCH(Setup!$B$6*100+$D32,'Fixture Library'!$F$2:$F$200,0)),""))</f>
        <v/>
      </c>
      <c r="F32" s="30" t="str">
        <f>IF($B32="","",IFERROR(INDEX('Fixture Library'!$D$2:$D$200,MATCH(Setup!$B$6*100+$D32,'Fixture Library'!$F$2:$F$200,0)),""))</f>
        <v/>
      </c>
      <c r="G32" s="30" t="str">
        <f>IF($F32="","",INDEX(Teams!$E$2:$E$65,($B32-1)*8+$F32))</f>
        <v/>
      </c>
      <c r="H32" s="30" t="str">
        <f>IF($B32="","",IFERROR(INDEX('Fixture Library'!$E$2:$E$200,MATCH(Setup!$B$6*100+$D32,'Fixture Library'!$F$2:$F$200,0)),""))</f>
        <v/>
      </c>
      <c r="I32" s="30" t="str">
        <f>IF($H32="","",INDEX(Teams!$E$2:$E$65,($B32-1)*8+$H32))</f>
        <v/>
      </c>
      <c r="J32" s="34" t="str">
        <f>IF($G32="","",IFERROR(INDEX('Match Entry'!$F$5:$F$228,5+($B32-1)*Setup!$B$13+$D32-1-4),""))</f>
        <v/>
      </c>
      <c r="K32" s="35" t="str">
        <f>IF($G32="","",IFERROR(INDEX('Match Entry'!$G$5:$G$228,5+($B32-1)*Setup!$B$13+$D32-1-4),""))</f>
        <v/>
      </c>
      <c r="L32" s="34" t="str">
        <f>IF($G32="","",IFERROR(INDEX('Match Entry'!$H$5:$H$228,5+($B32-1)*Setup!$B$13+$D32-1-4),""))</f>
        <v/>
      </c>
      <c r="M32" s="35" t="str">
        <f>IF($G32="","",IFERROR(INDEX('Match Entry'!$I$5:$I$228,5+($B32-1)*Setup!$B$13+$D32-1-4),""))</f>
        <v/>
      </c>
      <c r="N32" s="34" t="str">
        <f>IF($G32="","",IFERROR(INDEX('Match Entry'!$J$5:$J$228,5+($B32-1)*Setup!$B$13+$D32-1-4),""))</f>
        <v/>
      </c>
      <c r="O32" s="35" t="str">
        <f>IF($G32="","",IFERROR(INDEX('Match Entry'!$K$5:$K$228,5+($B32-1)*Setup!$B$13+$D32-1-4),""))</f>
        <v/>
      </c>
      <c r="P32" s="34" t="str">
        <f>IF($G32="","",IFERROR(INDEX('Match Entry'!$L$5:$L$228,5+($B32-1)*Setup!$B$13+$D32-1-4),""))</f>
        <v/>
      </c>
      <c r="Q32" s="35" t="str">
        <f>IF($G32="","",IFERROR(INDEX('Match Entry'!$M$5:$M$228,5+($B32-1)*Setup!$B$13+$D32-1-4),""))</f>
        <v/>
      </c>
      <c r="R32" s="34" t="str">
        <f>IF($G32="","",IFERROR(INDEX('Match Entry'!$N$5:$N$228,5+($B32-1)*Setup!$B$13+$D32-1-4),""))</f>
        <v/>
      </c>
      <c r="S32" s="35" t="str">
        <f>IF($G32="","",IFERROR(INDEX('Match Entry'!$O$5:$O$228,5+($B32-1)*Setup!$B$13+$D32-1-4),""))</f>
        <v/>
      </c>
      <c r="T32" s="33" t="str">
        <f t="shared" si="2"/>
        <v/>
      </c>
      <c r="U32" s="33" t="str">
        <f t="shared" si="3"/>
        <v/>
      </c>
      <c r="V32" s="33" t="str">
        <f t="shared" si="4"/>
        <v/>
      </c>
      <c r="W32" s="33" t="str">
        <f t="shared" si="5"/>
        <v/>
      </c>
      <c r="X32" s="30" t="str">
        <f>IF(OR($G32="",$I32=""),"",IF(OR($T32&gt;=Setup!$B$8,$U32&gt;=Setup!$B$8),1,""))</f>
        <v/>
      </c>
      <c r="Y32" s="30" t="str">
        <f t="shared" si="6"/>
        <v/>
      </c>
      <c r="Z32" s="33" t="str">
        <f>IF($X32=1,IF($T32&gt;$U32,Setup!$B$9,Setup!$B$10),"")</f>
        <v/>
      </c>
      <c r="AA32" s="33" t="str">
        <f>IF($X32=1,IF($U32&gt;$T32,Setup!$B$9,Setup!$B$10),"")</f>
        <v/>
      </c>
      <c r="AB32" s="30" t="str">
        <f t="shared" si="7"/>
        <v/>
      </c>
      <c r="AC32" s="30" t="str">
        <f t="shared" si="8"/>
        <v/>
      </c>
      <c r="AD32" s="30" t="str">
        <f t="shared" si="9"/>
        <v/>
      </c>
    </row>
    <row r="33" spans="1:30">
      <c r="A33" s="29">
        <v>32</v>
      </c>
      <c r="B33" s="29" t="str">
        <f>IF(INT(($A33-1)/28)+1&lt;=Setup!$B$5,INT(($A33-1)/28)+1,"")</f>
        <v/>
      </c>
      <c r="C33" s="29" t="str">
        <f t="shared" si="0"/>
        <v/>
      </c>
      <c r="D33" s="29">
        <f t="shared" si="1"/>
        <v>4</v>
      </c>
      <c r="E33" s="29" t="str">
        <f>IF($B33="","",IFERROR(INDEX('Fixture Library'!$C$2:$C$200,MATCH(Setup!$B$6*100+$D33,'Fixture Library'!$F$2:$F$200,0)),""))</f>
        <v/>
      </c>
      <c r="F33" s="30" t="str">
        <f>IF($B33="","",IFERROR(INDEX('Fixture Library'!$D$2:$D$200,MATCH(Setup!$B$6*100+$D33,'Fixture Library'!$F$2:$F$200,0)),""))</f>
        <v/>
      </c>
      <c r="G33" s="30" t="str">
        <f>IF($F33="","",INDEX(Teams!$E$2:$E$65,($B33-1)*8+$F33))</f>
        <v/>
      </c>
      <c r="H33" s="30" t="str">
        <f>IF($B33="","",IFERROR(INDEX('Fixture Library'!$E$2:$E$200,MATCH(Setup!$B$6*100+$D33,'Fixture Library'!$F$2:$F$200,0)),""))</f>
        <v/>
      </c>
      <c r="I33" s="30" t="str">
        <f>IF($H33="","",INDEX(Teams!$E$2:$E$65,($B33-1)*8+$H33))</f>
        <v/>
      </c>
      <c r="J33" s="34" t="str">
        <f>IF($G33="","",IFERROR(INDEX('Match Entry'!$F$5:$F$228,5+($B33-1)*Setup!$B$13+$D33-1-4),""))</f>
        <v/>
      </c>
      <c r="K33" s="35" t="str">
        <f>IF($G33="","",IFERROR(INDEX('Match Entry'!$G$5:$G$228,5+($B33-1)*Setup!$B$13+$D33-1-4),""))</f>
        <v/>
      </c>
      <c r="L33" s="34" t="str">
        <f>IF($G33="","",IFERROR(INDEX('Match Entry'!$H$5:$H$228,5+($B33-1)*Setup!$B$13+$D33-1-4),""))</f>
        <v/>
      </c>
      <c r="M33" s="35" t="str">
        <f>IF($G33="","",IFERROR(INDEX('Match Entry'!$I$5:$I$228,5+($B33-1)*Setup!$B$13+$D33-1-4),""))</f>
        <v/>
      </c>
      <c r="N33" s="34" t="str">
        <f>IF($G33="","",IFERROR(INDEX('Match Entry'!$J$5:$J$228,5+($B33-1)*Setup!$B$13+$D33-1-4),""))</f>
        <v/>
      </c>
      <c r="O33" s="35" t="str">
        <f>IF($G33="","",IFERROR(INDEX('Match Entry'!$K$5:$K$228,5+($B33-1)*Setup!$B$13+$D33-1-4),""))</f>
        <v/>
      </c>
      <c r="P33" s="34" t="str">
        <f>IF($G33="","",IFERROR(INDEX('Match Entry'!$L$5:$L$228,5+($B33-1)*Setup!$B$13+$D33-1-4),""))</f>
        <v/>
      </c>
      <c r="Q33" s="35" t="str">
        <f>IF($G33="","",IFERROR(INDEX('Match Entry'!$M$5:$M$228,5+($B33-1)*Setup!$B$13+$D33-1-4),""))</f>
        <v/>
      </c>
      <c r="R33" s="34" t="str">
        <f>IF($G33="","",IFERROR(INDEX('Match Entry'!$N$5:$N$228,5+($B33-1)*Setup!$B$13+$D33-1-4),""))</f>
        <v/>
      </c>
      <c r="S33" s="35" t="str">
        <f>IF($G33="","",IFERROR(INDEX('Match Entry'!$O$5:$O$228,5+($B33-1)*Setup!$B$13+$D33-1-4),""))</f>
        <v/>
      </c>
      <c r="T33" s="33" t="str">
        <f t="shared" si="2"/>
        <v/>
      </c>
      <c r="U33" s="33" t="str">
        <f t="shared" si="3"/>
        <v/>
      </c>
      <c r="V33" s="33" t="str">
        <f t="shared" si="4"/>
        <v/>
      </c>
      <c r="W33" s="33" t="str">
        <f t="shared" si="5"/>
        <v/>
      </c>
      <c r="X33" s="30" t="str">
        <f>IF(OR($G33="",$I33=""),"",IF(OR($T33&gt;=Setup!$B$8,$U33&gt;=Setup!$B$8),1,""))</f>
        <v/>
      </c>
      <c r="Y33" s="30" t="str">
        <f t="shared" si="6"/>
        <v/>
      </c>
      <c r="Z33" s="33" t="str">
        <f>IF($X33=1,IF($T33&gt;$U33,Setup!$B$9,Setup!$B$10),"")</f>
        <v/>
      </c>
      <c r="AA33" s="33" t="str">
        <f>IF($X33=1,IF($U33&gt;$T33,Setup!$B$9,Setup!$B$10),"")</f>
        <v/>
      </c>
      <c r="AB33" s="30" t="str">
        <f t="shared" si="7"/>
        <v/>
      </c>
      <c r="AC33" s="30" t="str">
        <f t="shared" si="8"/>
        <v/>
      </c>
      <c r="AD33" s="30" t="str">
        <f t="shared" si="9"/>
        <v/>
      </c>
    </row>
    <row r="34" spans="1:30">
      <c r="A34" s="29">
        <v>33</v>
      </c>
      <c r="B34" s="29" t="str">
        <f>IF(INT(($A34-1)/28)+1&lt;=Setup!$B$5,INT(($A34-1)/28)+1,"")</f>
        <v/>
      </c>
      <c r="C34" s="29" t="str">
        <f t="shared" si="0"/>
        <v/>
      </c>
      <c r="D34" s="29">
        <f t="shared" si="1"/>
        <v>5</v>
      </c>
      <c r="E34" s="29" t="str">
        <f>IF($B34="","",IFERROR(INDEX('Fixture Library'!$C$2:$C$200,MATCH(Setup!$B$6*100+$D34,'Fixture Library'!$F$2:$F$200,0)),""))</f>
        <v/>
      </c>
      <c r="F34" s="30" t="str">
        <f>IF($B34="","",IFERROR(INDEX('Fixture Library'!$D$2:$D$200,MATCH(Setup!$B$6*100+$D34,'Fixture Library'!$F$2:$F$200,0)),""))</f>
        <v/>
      </c>
      <c r="G34" s="30" t="str">
        <f>IF($F34="","",INDEX(Teams!$E$2:$E$65,($B34-1)*8+$F34))</f>
        <v/>
      </c>
      <c r="H34" s="30" t="str">
        <f>IF($B34="","",IFERROR(INDEX('Fixture Library'!$E$2:$E$200,MATCH(Setup!$B$6*100+$D34,'Fixture Library'!$F$2:$F$200,0)),""))</f>
        <v/>
      </c>
      <c r="I34" s="30" t="str">
        <f>IF($H34="","",INDEX(Teams!$E$2:$E$65,($B34-1)*8+$H34))</f>
        <v/>
      </c>
      <c r="J34" s="34" t="str">
        <f>IF($G34="","",IFERROR(INDEX('Match Entry'!$F$5:$F$228,5+($B34-1)*Setup!$B$13+$D34-1-4),""))</f>
        <v/>
      </c>
      <c r="K34" s="35" t="str">
        <f>IF($G34="","",IFERROR(INDEX('Match Entry'!$G$5:$G$228,5+($B34-1)*Setup!$B$13+$D34-1-4),""))</f>
        <v/>
      </c>
      <c r="L34" s="34" t="str">
        <f>IF($G34="","",IFERROR(INDEX('Match Entry'!$H$5:$H$228,5+($B34-1)*Setup!$B$13+$D34-1-4),""))</f>
        <v/>
      </c>
      <c r="M34" s="35" t="str">
        <f>IF($G34="","",IFERROR(INDEX('Match Entry'!$I$5:$I$228,5+($B34-1)*Setup!$B$13+$D34-1-4),""))</f>
        <v/>
      </c>
      <c r="N34" s="34" t="str">
        <f>IF($G34="","",IFERROR(INDEX('Match Entry'!$J$5:$J$228,5+($B34-1)*Setup!$B$13+$D34-1-4),""))</f>
        <v/>
      </c>
      <c r="O34" s="35" t="str">
        <f>IF($G34="","",IFERROR(INDEX('Match Entry'!$K$5:$K$228,5+($B34-1)*Setup!$B$13+$D34-1-4),""))</f>
        <v/>
      </c>
      <c r="P34" s="34" t="str">
        <f>IF($G34="","",IFERROR(INDEX('Match Entry'!$L$5:$L$228,5+($B34-1)*Setup!$B$13+$D34-1-4),""))</f>
        <v/>
      </c>
      <c r="Q34" s="35" t="str">
        <f>IF($G34="","",IFERROR(INDEX('Match Entry'!$M$5:$M$228,5+($B34-1)*Setup!$B$13+$D34-1-4),""))</f>
        <v/>
      </c>
      <c r="R34" s="34" t="str">
        <f>IF($G34="","",IFERROR(INDEX('Match Entry'!$N$5:$N$228,5+($B34-1)*Setup!$B$13+$D34-1-4),""))</f>
        <v/>
      </c>
      <c r="S34" s="35" t="str">
        <f>IF($G34="","",IFERROR(INDEX('Match Entry'!$O$5:$O$228,5+($B34-1)*Setup!$B$13+$D34-1-4),""))</f>
        <v/>
      </c>
      <c r="T34" s="33" t="str">
        <f t="shared" si="2"/>
        <v/>
      </c>
      <c r="U34" s="33" t="str">
        <f t="shared" si="3"/>
        <v/>
      </c>
      <c r="V34" s="33" t="str">
        <f t="shared" si="4"/>
        <v/>
      </c>
      <c r="W34" s="33" t="str">
        <f t="shared" si="5"/>
        <v/>
      </c>
      <c r="X34" s="30" t="str">
        <f>IF(OR($G34="",$I34=""),"",IF(OR($T34&gt;=Setup!$B$8,$U34&gt;=Setup!$B$8),1,""))</f>
        <v/>
      </c>
      <c r="Y34" s="30" t="str">
        <f t="shared" si="6"/>
        <v/>
      </c>
      <c r="Z34" s="33" t="str">
        <f>IF($X34=1,IF($T34&gt;$U34,Setup!$B$9,Setup!$B$10),"")</f>
        <v/>
      </c>
      <c r="AA34" s="33" t="str">
        <f>IF($X34=1,IF($U34&gt;$T34,Setup!$B$9,Setup!$B$10),"")</f>
        <v/>
      </c>
      <c r="AB34" s="30" t="str">
        <f t="shared" si="7"/>
        <v/>
      </c>
      <c r="AC34" s="30" t="str">
        <f t="shared" si="8"/>
        <v/>
      </c>
      <c r="AD34" s="30" t="str">
        <f t="shared" si="9"/>
        <v/>
      </c>
    </row>
    <row r="35" spans="1:30">
      <c r="A35" s="29">
        <v>34</v>
      </c>
      <c r="B35" s="29" t="str">
        <f>IF(INT(($A35-1)/28)+1&lt;=Setup!$B$5,INT(($A35-1)/28)+1,"")</f>
        <v/>
      </c>
      <c r="C35" s="29" t="str">
        <f t="shared" si="0"/>
        <v/>
      </c>
      <c r="D35" s="29">
        <f t="shared" si="1"/>
        <v>6</v>
      </c>
      <c r="E35" s="29" t="str">
        <f>IF($B35="","",IFERROR(INDEX('Fixture Library'!$C$2:$C$200,MATCH(Setup!$B$6*100+$D35,'Fixture Library'!$F$2:$F$200,0)),""))</f>
        <v/>
      </c>
      <c r="F35" s="30" t="str">
        <f>IF($B35="","",IFERROR(INDEX('Fixture Library'!$D$2:$D$200,MATCH(Setup!$B$6*100+$D35,'Fixture Library'!$F$2:$F$200,0)),""))</f>
        <v/>
      </c>
      <c r="G35" s="30" t="str">
        <f>IF($F35="","",INDEX(Teams!$E$2:$E$65,($B35-1)*8+$F35))</f>
        <v/>
      </c>
      <c r="H35" s="30" t="str">
        <f>IF($B35="","",IFERROR(INDEX('Fixture Library'!$E$2:$E$200,MATCH(Setup!$B$6*100+$D35,'Fixture Library'!$F$2:$F$200,0)),""))</f>
        <v/>
      </c>
      <c r="I35" s="30" t="str">
        <f>IF($H35="","",INDEX(Teams!$E$2:$E$65,($B35-1)*8+$H35))</f>
        <v/>
      </c>
      <c r="J35" s="34" t="str">
        <f>IF($G35="","",IFERROR(INDEX('Match Entry'!$F$5:$F$228,5+($B35-1)*Setup!$B$13+$D35-1-4),""))</f>
        <v/>
      </c>
      <c r="K35" s="35" t="str">
        <f>IF($G35="","",IFERROR(INDEX('Match Entry'!$G$5:$G$228,5+($B35-1)*Setup!$B$13+$D35-1-4),""))</f>
        <v/>
      </c>
      <c r="L35" s="34" t="str">
        <f>IF($G35="","",IFERROR(INDEX('Match Entry'!$H$5:$H$228,5+($B35-1)*Setup!$B$13+$D35-1-4),""))</f>
        <v/>
      </c>
      <c r="M35" s="35" t="str">
        <f>IF($G35="","",IFERROR(INDEX('Match Entry'!$I$5:$I$228,5+($B35-1)*Setup!$B$13+$D35-1-4),""))</f>
        <v/>
      </c>
      <c r="N35" s="34" t="str">
        <f>IF($G35="","",IFERROR(INDEX('Match Entry'!$J$5:$J$228,5+($B35-1)*Setup!$B$13+$D35-1-4),""))</f>
        <v/>
      </c>
      <c r="O35" s="35" t="str">
        <f>IF($G35="","",IFERROR(INDEX('Match Entry'!$K$5:$K$228,5+($B35-1)*Setup!$B$13+$D35-1-4),""))</f>
        <v/>
      </c>
      <c r="P35" s="34" t="str">
        <f>IF($G35="","",IFERROR(INDEX('Match Entry'!$L$5:$L$228,5+($B35-1)*Setup!$B$13+$D35-1-4),""))</f>
        <v/>
      </c>
      <c r="Q35" s="35" t="str">
        <f>IF($G35="","",IFERROR(INDEX('Match Entry'!$M$5:$M$228,5+($B35-1)*Setup!$B$13+$D35-1-4),""))</f>
        <v/>
      </c>
      <c r="R35" s="34" t="str">
        <f>IF($G35="","",IFERROR(INDEX('Match Entry'!$N$5:$N$228,5+($B35-1)*Setup!$B$13+$D35-1-4),""))</f>
        <v/>
      </c>
      <c r="S35" s="35" t="str">
        <f>IF($G35="","",IFERROR(INDEX('Match Entry'!$O$5:$O$228,5+($B35-1)*Setup!$B$13+$D35-1-4),""))</f>
        <v/>
      </c>
      <c r="T35" s="33" t="str">
        <f t="shared" si="2"/>
        <v/>
      </c>
      <c r="U35" s="33" t="str">
        <f t="shared" si="3"/>
        <v/>
      </c>
      <c r="V35" s="33" t="str">
        <f t="shared" si="4"/>
        <v/>
      </c>
      <c r="W35" s="33" t="str">
        <f t="shared" si="5"/>
        <v/>
      </c>
      <c r="X35" s="30" t="str">
        <f>IF(OR($G35="",$I35=""),"",IF(OR($T35&gt;=Setup!$B$8,$U35&gt;=Setup!$B$8),1,""))</f>
        <v/>
      </c>
      <c r="Y35" s="30" t="str">
        <f t="shared" si="6"/>
        <v/>
      </c>
      <c r="Z35" s="33" t="str">
        <f>IF($X35=1,IF($T35&gt;$U35,Setup!$B$9,Setup!$B$10),"")</f>
        <v/>
      </c>
      <c r="AA35" s="33" t="str">
        <f>IF($X35=1,IF($U35&gt;$T35,Setup!$B$9,Setup!$B$10),"")</f>
        <v/>
      </c>
      <c r="AB35" s="30" t="str">
        <f t="shared" si="7"/>
        <v/>
      </c>
      <c r="AC35" s="30" t="str">
        <f t="shared" si="8"/>
        <v/>
      </c>
      <c r="AD35" s="30" t="str">
        <f t="shared" si="9"/>
        <v/>
      </c>
    </row>
    <row r="36" spans="1:30">
      <c r="A36" s="29">
        <v>35</v>
      </c>
      <c r="B36" s="29" t="str">
        <f>IF(INT(($A36-1)/28)+1&lt;=Setup!$B$5,INT(($A36-1)/28)+1,"")</f>
        <v/>
      </c>
      <c r="C36" s="29" t="str">
        <f t="shared" si="0"/>
        <v/>
      </c>
      <c r="D36" s="29">
        <f t="shared" si="1"/>
        <v>7</v>
      </c>
      <c r="E36" s="29" t="str">
        <f>IF($B36="","",IFERROR(INDEX('Fixture Library'!$C$2:$C$200,MATCH(Setup!$B$6*100+$D36,'Fixture Library'!$F$2:$F$200,0)),""))</f>
        <v/>
      </c>
      <c r="F36" s="30" t="str">
        <f>IF($B36="","",IFERROR(INDEX('Fixture Library'!$D$2:$D$200,MATCH(Setup!$B$6*100+$D36,'Fixture Library'!$F$2:$F$200,0)),""))</f>
        <v/>
      </c>
      <c r="G36" s="30" t="str">
        <f>IF($F36="","",INDEX(Teams!$E$2:$E$65,($B36-1)*8+$F36))</f>
        <v/>
      </c>
      <c r="H36" s="30" t="str">
        <f>IF($B36="","",IFERROR(INDEX('Fixture Library'!$E$2:$E$200,MATCH(Setup!$B$6*100+$D36,'Fixture Library'!$F$2:$F$200,0)),""))</f>
        <v/>
      </c>
      <c r="I36" s="30" t="str">
        <f>IF($H36="","",INDEX(Teams!$E$2:$E$65,($B36-1)*8+$H36))</f>
        <v/>
      </c>
      <c r="J36" s="34" t="str">
        <f>IF($G36="","",IFERROR(INDEX('Match Entry'!$F$5:$F$228,5+($B36-1)*Setup!$B$13+$D36-1-4),""))</f>
        <v/>
      </c>
      <c r="K36" s="35" t="str">
        <f>IF($G36="","",IFERROR(INDEX('Match Entry'!$G$5:$G$228,5+($B36-1)*Setup!$B$13+$D36-1-4),""))</f>
        <v/>
      </c>
      <c r="L36" s="34" t="str">
        <f>IF($G36="","",IFERROR(INDEX('Match Entry'!$H$5:$H$228,5+($B36-1)*Setup!$B$13+$D36-1-4),""))</f>
        <v/>
      </c>
      <c r="M36" s="35" t="str">
        <f>IF($G36="","",IFERROR(INDEX('Match Entry'!$I$5:$I$228,5+($B36-1)*Setup!$B$13+$D36-1-4),""))</f>
        <v/>
      </c>
      <c r="N36" s="34" t="str">
        <f>IF($G36="","",IFERROR(INDEX('Match Entry'!$J$5:$J$228,5+($B36-1)*Setup!$B$13+$D36-1-4),""))</f>
        <v/>
      </c>
      <c r="O36" s="35" t="str">
        <f>IF($G36="","",IFERROR(INDEX('Match Entry'!$K$5:$K$228,5+($B36-1)*Setup!$B$13+$D36-1-4),""))</f>
        <v/>
      </c>
      <c r="P36" s="34" t="str">
        <f>IF($G36="","",IFERROR(INDEX('Match Entry'!$L$5:$L$228,5+($B36-1)*Setup!$B$13+$D36-1-4),""))</f>
        <v/>
      </c>
      <c r="Q36" s="35" t="str">
        <f>IF($G36="","",IFERROR(INDEX('Match Entry'!$M$5:$M$228,5+($B36-1)*Setup!$B$13+$D36-1-4),""))</f>
        <v/>
      </c>
      <c r="R36" s="34" t="str">
        <f>IF($G36="","",IFERROR(INDEX('Match Entry'!$N$5:$N$228,5+($B36-1)*Setup!$B$13+$D36-1-4),""))</f>
        <v/>
      </c>
      <c r="S36" s="35" t="str">
        <f>IF($G36="","",IFERROR(INDEX('Match Entry'!$O$5:$O$228,5+($B36-1)*Setup!$B$13+$D36-1-4),""))</f>
        <v/>
      </c>
      <c r="T36" s="33" t="str">
        <f t="shared" si="2"/>
        <v/>
      </c>
      <c r="U36" s="33" t="str">
        <f t="shared" si="3"/>
        <v/>
      </c>
      <c r="V36" s="33" t="str">
        <f t="shared" si="4"/>
        <v/>
      </c>
      <c r="W36" s="33" t="str">
        <f t="shared" si="5"/>
        <v/>
      </c>
      <c r="X36" s="30" t="str">
        <f>IF(OR($G36="",$I36=""),"",IF(OR($T36&gt;=Setup!$B$8,$U36&gt;=Setup!$B$8),1,""))</f>
        <v/>
      </c>
      <c r="Y36" s="30" t="str">
        <f t="shared" si="6"/>
        <v/>
      </c>
      <c r="Z36" s="33" t="str">
        <f>IF($X36=1,IF($T36&gt;$U36,Setup!$B$9,Setup!$B$10),"")</f>
        <v/>
      </c>
      <c r="AA36" s="33" t="str">
        <f>IF($X36=1,IF($U36&gt;$T36,Setup!$B$9,Setup!$B$10),"")</f>
        <v/>
      </c>
      <c r="AB36" s="30" t="str">
        <f t="shared" si="7"/>
        <v/>
      </c>
      <c r="AC36" s="30" t="str">
        <f t="shared" si="8"/>
        <v/>
      </c>
      <c r="AD36" s="30" t="str">
        <f t="shared" si="9"/>
        <v/>
      </c>
    </row>
    <row r="37" spans="1:30">
      <c r="A37" s="29">
        <v>36</v>
      </c>
      <c r="B37" s="29" t="str">
        <f>IF(INT(($A37-1)/28)+1&lt;=Setup!$B$5,INT(($A37-1)/28)+1,"")</f>
        <v/>
      </c>
      <c r="C37" s="29" t="str">
        <f t="shared" si="0"/>
        <v/>
      </c>
      <c r="D37" s="29">
        <f t="shared" si="1"/>
        <v>8</v>
      </c>
      <c r="E37" s="29" t="str">
        <f>IF($B37="","",IFERROR(INDEX('Fixture Library'!$C$2:$C$200,MATCH(Setup!$B$6*100+$D37,'Fixture Library'!$F$2:$F$200,0)),""))</f>
        <v/>
      </c>
      <c r="F37" s="30" t="str">
        <f>IF($B37="","",IFERROR(INDEX('Fixture Library'!$D$2:$D$200,MATCH(Setup!$B$6*100+$D37,'Fixture Library'!$F$2:$F$200,0)),""))</f>
        <v/>
      </c>
      <c r="G37" s="30" t="str">
        <f>IF($F37="","",INDEX(Teams!$E$2:$E$65,($B37-1)*8+$F37))</f>
        <v/>
      </c>
      <c r="H37" s="30" t="str">
        <f>IF($B37="","",IFERROR(INDEX('Fixture Library'!$E$2:$E$200,MATCH(Setup!$B$6*100+$D37,'Fixture Library'!$F$2:$F$200,0)),""))</f>
        <v/>
      </c>
      <c r="I37" s="30" t="str">
        <f>IF($H37="","",INDEX(Teams!$E$2:$E$65,($B37-1)*8+$H37))</f>
        <v/>
      </c>
      <c r="J37" s="34" t="str">
        <f>IF($G37="","",IFERROR(INDEX('Match Entry'!$F$5:$F$228,5+($B37-1)*Setup!$B$13+$D37-1-4),""))</f>
        <v/>
      </c>
      <c r="K37" s="35" t="str">
        <f>IF($G37="","",IFERROR(INDEX('Match Entry'!$G$5:$G$228,5+($B37-1)*Setup!$B$13+$D37-1-4),""))</f>
        <v/>
      </c>
      <c r="L37" s="34" t="str">
        <f>IF($G37="","",IFERROR(INDEX('Match Entry'!$H$5:$H$228,5+($B37-1)*Setup!$B$13+$D37-1-4),""))</f>
        <v/>
      </c>
      <c r="M37" s="35" t="str">
        <f>IF($G37="","",IFERROR(INDEX('Match Entry'!$I$5:$I$228,5+($B37-1)*Setup!$B$13+$D37-1-4),""))</f>
        <v/>
      </c>
      <c r="N37" s="34" t="str">
        <f>IF($G37="","",IFERROR(INDEX('Match Entry'!$J$5:$J$228,5+($B37-1)*Setup!$B$13+$D37-1-4),""))</f>
        <v/>
      </c>
      <c r="O37" s="35" t="str">
        <f>IF($G37="","",IFERROR(INDEX('Match Entry'!$K$5:$K$228,5+($B37-1)*Setup!$B$13+$D37-1-4),""))</f>
        <v/>
      </c>
      <c r="P37" s="34" t="str">
        <f>IF($G37="","",IFERROR(INDEX('Match Entry'!$L$5:$L$228,5+($B37-1)*Setup!$B$13+$D37-1-4),""))</f>
        <v/>
      </c>
      <c r="Q37" s="35" t="str">
        <f>IF($G37="","",IFERROR(INDEX('Match Entry'!$M$5:$M$228,5+($B37-1)*Setup!$B$13+$D37-1-4),""))</f>
        <v/>
      </c>
      <c r="R37" s="34" t="str">
        <f>IF($G37="","",IFERROR(INDEX('Match Entry'!$N$5:$N$228,5+($B37-1)*Setup!$B$13+$D37-1-4),""))</f>
        <v/>
      </c>
      <c r="S37" s="35" t="str">
        <f>IF($G37="","",IFERROR(INDEX('Match Entry'!$O$5:$O$228,5+($B37-1)*Setup!$B$13+$D37-1-4),""))</f>
        <v/>
      </c>
      <c r="T37" s="33" t="str">
        <f t="shared" si="2"/>
        <v/>
      </c>
      <c r="U37" s="33" t="str">
        <f t="shared" si="3"/>
        <v/>
      </c>
      <c r="V37" s="33" t="str">
        <f t="shared" si="4"/>
        <v/>
      </c>
      <c r="W37" s="33" t="str">
        <f t="shared" si="5"/>
        <v/>
      </c>
      <c r="X37" s="30" t="str">
        <f>IF(OR($G37="",$I37=""),"",IF(OR($T37&gt;=Setup!$B$8,$U37&gt;=Setup!$B$8),1,""))</f>
        <v/>
      </c>
      <c r="Y37" s="30" t="str">
        <f t="shared" si="6"/>
        <v/>
      </c>
      <c r="Z37" s="33" t="str">
        <f>IF($X37=1,IF($T37&gt;$U37,Setup!$B$9,Setup!$B$10),"")</f>
        <v/>
      </c>
      <c r="AA37" s="33" t="str">
        <f>IF($X37=1,IF($U37&gt;$T37,Setup!$B$9,Setup!$B$10),"")</f>
        <v/>
      </c>
      <c r="AB37" s="30" t="str">
        <f t="shared" si="7"/>
        <v/>
      </c>
      <c r="AC37" s="30" t="str">
        <f t="shared" si="8"/>
        <v/>
      </c>
      <c r="AD37" s="30" t="str">
        <f t="shared" si="9"/>
        <v/>
      </c>
    </row>
    <row r="38" spans="1:30">
      <c r="A38" s="29">
        <v>37</v>
      </c>
      <c r="B38" s="29" t="str">
        <f>IF(INT(($A38-1)/28)+1&lt;=Setup!$B$5,INT(($A38-1)/28)+1,"")</f>
        <v/>
      </c>
      <c r="C38" s="29" t="str">
        <f t="shared" si="0"/>
        <v/>
      </c>
      <c r="D38" s="29">
        <f t="shared" si="1"/>
        <v>9</v>
      </c>
      <c r="E38" s="29" t="str">
        <f>IF($B38="","",IFERROR(INDEX('Fixture Library'!$C$2:$C$200,MATCH(Setup!$B$6*100+$D38,'Fixture Library'!$F$2:$F$200,0)),""))</f>
        <v/>
      </c>
      <c r="F38" s="30" t="str">
        <f>IF($B38="","",IFERROR(INDEX('Fixture Library'!$D$2:$D$200,MATCH(Setup!$B$6*100+$D38,'Fixture Library'!$F$2:$F$200,0)),""))</f>
        <v/>
      </c>
      <c r="G38" s="30" t="str">
        <f>IF($F38="","",INDEX(Teams!$E$2:$E$65,($B38-1)*8+$F38))</f>
        <v/>
      </c>
      <c r="H38" s="30" t="str">
        <f>IF($B38="","",IFERROR(INDEX('Fixture Library'!$E$2:$E$200,MATCH(Setup!$B$6*100+$D38,'Fixture Library'!$F$2:$F$200,0)),""))</f>
        <v/>
      </c>
      <c r="I38" s="30" t="str">
        <f>IF($H38="","",INDEX(Teams!$E$2:$E$65,($B38-1)*8+$H38))</f>
        <v/>
      </c>
      <c r="J38" s="34" t="str">
        <f>IF($G38="","",IFERROR(INDEX('Match Entry'!$F$5:$F$228,5+($B38-1)*Setup!$B$13+$D38-1-4),""))</f>
        <v/>
      </c>
      <c r="K38" s="35" t="str">
        <f>IF($G38="","",IFERROR(INDEX('Match Entry'!$G$5:$G$228,5+($B38-1)*Setup!$B$13+$D38-1-4),""))</f>
        <v/>
      </c>
      <c r="L38" s="34" t="str">
        <f>IF($G38="","",IFERROR(INDEX('Match Entry'!$H$5:$H$228,5+($B38-1)*Setup!$B$13+$D38-1-4),""))</f>
        <v/>
      </c>
      <c r="M38" s="35" t="str">
        <f>IF($G38="","",IFERROR(INDEX('Match Entry'!$I$5:$I$228,5+($B38-1)*Setup!$B$13+$D38-1-4),""))</f>
        <v/>
      </c>
      <c r="N38" s="34" t="str">
        <f>IF($G38="","",IFERROR(INDEX('Match Entry'!$J$5:$J$228,5+($B38-1)*Setup!$B$13+$D38-1-4),""))</f>
        <v/>
      </c>
      <c r="O38" s="35" t="str">
        <f>IF($G38="","",IFERROR(INDEX('Match Entry'!$K$5:$K$228,5+($B38-1)*Setup!$B$13+$D38-1-4),""))</f>
        <v/>
      </c>
      <c r="P38" s="34" t="str">
        <f>IF($G38="","",IFERROR(INDEX('Match Entry'!$L$5:$L$228,5+($B38-1)*Setup!$B$13+$D38-1-4),""))</f>
        <v/>
      </c>
      <c r="Q38" s="35" t="str">
        <f>IF($G38="","",IFERROR(INDEX('Match Entry'!$M$5:$M$228,5+($B38-1)*Setup!$B$13+$D38-1-4),""))</f>
        <v/>
      </c>
      <c r="R38" s="34" t="str">
        <f>IF($G38="","",IFERROR(INDEX('Match Entry'!$N$5:$N$228,5+($B38-1)*Setup!$B$13+$D38-1-4),""))</f>
        <v/>
      </c>
      <c r="S38" s="35" t="str">
        <f>IF($G38="","",IFERROR(INDEX('Match Entry'!$O$5:$O$228,5+($B38-1)*Setup!$B$13+$D38-1-4),""))</f>
        <v/>
      </c>
      <c r="T38" s="33" t="str">
        <f t="shared" si="2"/>
        <v/>
      </c>
      <c r="U38" s="33" t="str">
        <f t="shared" si="3"/>
        <v/>
      </c>
      <c r="V38" s="33" t="str">
        <f t="shared" si="4"/>
        <v/>
      </c>
      <c r="W38" s="33" t="str">
        <f t="shared" si="5"/>
        <v/>
      </c>
      <c r="X38" s="30" t="str">
        <f>IF(OR($G38="",$I38=""),"",IF(OR($T38&gt;=Setup!$B$8,$U38&gt;=Setup!$B$8),1,""))</f>
        <v/>
      </c>
      <c r="Y38" s="30" t="str">
        <f t="shared" si="6"/>
        <v/>
      </c>
      <c r="Z38" s="33" t="str">
        <f>IF($X38=1,IF($T38&gt;$U38,Setup!$B$9,Setup!$B$10),"")</f>
        <v/>
      </c>
      <c r="AA38" s="33" t="str">
        <f>IF($X38=1,IF($U38&gt;$T38,Setup!$B$9,Setup!$B$10),"")</f>
        <v/>
      </c>
      <c r="AB38" s="30" t="str">
        <f t="shared" si="7"/>
        <v/>
      </c>
      <c r="AC38" s="30" t="str">
        <f t="shared" si="8"/>
        <v/>
      </c>
      <c r="AD38" s="30" t="str">
        <f t="shared" si="9"/>
        <v/>
      </c>
    </row>
    <row r="39" spans="1:30">
      <c r="A39" s="29">
        <v>38</v>
      </c>
      <c r="B39" s="29" t="str">
        <f>IF(INT(($A39-1)/28)+1&lt;=Setup!$B$5,INT(($A39-1)/28)+1,"")</f>
        <v/>
      </c>
      <c r="C39" s="29" t="str">
        <f t="shared" si="0"/>
        <v/>
      </c>
      <c r="D39" s="29">
        <f t="shared" si="1"/>
        <v>10</v>
      </c>
      <c r="E39" s="29" t="str">
        <f>IF($B39="","",IFERROR(INDEX('Fixture Library'!$C$2:$C$200,MATCH(Setup!$B$6*100+$D39,'Fixture Library'!$F$2:$F$200,0)),""))</f>
        <v/>
      </c>
      <c r="F39" s="30" t="str">
        <f>IF($B39="","",IFERROR(INDEX('Fixture Library'!$D$2:$D$200,MATCH(Setup!$B$6*100+$D39,'Fixture Library'!$F$2:$F$200,0)),""))</f>
        <v/>
      </c>
      <c r="G39" s="30" t="str">
        <f>IF($F39="","",INDEX(Teams!$E$2:$E$65,($B39-1)*8+$F39))</f>
        <v/>
      </c>
      <c r="H39" s="30" t="str">
        <f>IF($B39="","",IFERROR(INDEX('Fixture Library'!$E$2:$E$200,MATCH(Setup!$B$6*100+$D39,'Fixture Library'!$F$2:$F$200,0)),""))</f>
        <v/>
      </c>
      <c r="I39" s="30" t="str">
        <f>IF($H39="","",INDEX(Teams!$E$2:$E$65,($B39-1)*8+$H39))</f>
        <v/>
      </c>
      <c r="J39" s="34" t="str">
        <f>IF($G39="","",IFERROR(INDEX('Match Entry'!$F$5:$F$228,5+($B39-1)*Setup!$B$13+$D39-1-4),""))</f>
        <v/>
      </c>
      <c r="K39" s="35" t="str">
        <f>IF($G39="","",IFERROR(INDEX('Match Entry'!$G$5:$G$228,5+($B39-1)*Setup!$B$13+$D39-1-4),""))</f>
        <v/>
      </c>
      <c r="L39" s="34" t="str">
        <f>IF($G39="","",IFERROR(INDEX('Match Entry'!$H$5:$H$228,5+($B39-1)*Setup!$B$13+$D39-1-4),""))</f>
        <v/>
      </c>
      <c r="M39" s="35" t="str">
        <f>IF($G39="","",IFERROR(INDEX('Match Entry'!$I$5:$I$228,5+($B39-1)*Setup!$B$13+$D39-1-4),""))</f>
        <v/>
      </c>
      <c r="N39" s="34" t="str">
        <f>IF($G39="","",IFERROR(INDEX('Match Entry'!$J$5:$J$228,5+($B39-1)*Setup!$B$13+$D39-1-4),""))</f>
        <v/>
      </c>
      <c r="O39" s="35" t="str">
        <f>IF($G39="","",IFERROR(INDEX('Match Entry'!$K$5:$K$228,5+($B39-1)*Setup!$B$13+$D39-1-4),""))</f>
        <v/>
      </c>
      <c r="P39" s="34" t="str">
        <f>IF($G39="","",IFERROR(INDEX('Match Entry'!$L$5:$L$228,5+($B39-1)*Setup!$B$13+$D39-1-4),""))</f>
        <v/>
      </c>
      <c r="Q39" s="35" t="str">
        <f>IF($G39="","",IFERROR(INDEX('Match Entry'!$M$5:$M$228,5+($B39-1)*Setup!$B$13+$D39-1-4),""))</f>
        <v/>
      </c>
      <c r="R39" s="34" t="str">
        <f>IF($G39="","",IFERROR(INDEX('Match Entry'!$N$5:$N$228,5+($B39-1)*Setup!$B$13+$D39-1-4),""))</f>
        <v/>
      </c>
      <c r="S39" s="35" t="str">
        <f>IF($G39="","",IFERROR(INDEX('Match Entry'!$O$5:$O$228,5+($B39-1)*Setup!$B$13+$D39-1-4),""))</f>
        <v/>
      </c>
      <c r="T39" s="33" t="str">
        <f t="shared" si="2"/>
        <v/>
      </c>
      <c r="U39" s="33" t="str">
        <f t="shared" si="3"/>
        <v/>
      </c>
      <c r="V39" s="33" t="str">
        <f t="shared" si="4"/>
        <v/>
      </c>
      <c r="W39" s="33" t="str">
        <f t="shared" si="5"/>
        <v/>
      </c>
      <c r="X39" s="30" t="str">
        <f>IF(OR($G39="",$I39=""),"",IF(OR($T39&gt;=Setup!$B$8,$U39&gt;=Setup!$B$8),1,""))</f>
        <v/>
      </c>
      <c r="Y39" s="30" t="str">
        <f t="shared" si="6"/>
        <v/>
      </c>
      <c r="Z39" s="33" t="str">
        <f>IF($X39=1,IF($T39&gt;$U39,Setup!$B$9,Setup!$B$10),"")</f>
        <v/>
      </c>
      <c r="AA39" s="33" t="str">
        <f>IF($X39=1,IF($U39&gt;$T39,Setup!$B$9,Setup!$B$10),"")</f>
        <v/>
      </c>
      <c r="AB39" s="30" t="str">
        <f t="shared" si="7"/>
        <v/>
      </c>
      <c r="AC39" s="30" t="str">
        <f t="shared" si="8"/>
        <v/>
      </c>
      <c r="AD39" s="30" t="str">
        <f t="shared" si="9"/>
        <v/>
      </c>
    </row>
    <row r="40" spans="1:30">
      <c r="A40" s="29">
        <v>39</v>
      </c>
      <c r="B40" s="29" t="str">
        <f>IF(INT(($A40-1)/28)+1&lt;=Setup!$B$5,INT(($A40-1)/28)+1,"")</f>
        <v/>
      </c>
      <c r="C40" s="29" t="str">
        <f t="shared" si="0"/>
        <v/>
      </c>
      <c r="D40" s="29">
        <f t="shared" si="1"/>
        <v>11</v>
      </c>
      <c r="E40" s="29" t="str">
        <f>IF($B40="","",IFERROR(INDEX('Fixture Library'!$C$2:$C$200,MATCH(Setup!$B$6*100+$D40,'Fixture Library'!$F$2:$F$200,0)),""))</f>
        <v/>
      </c>
      <c r="F40" s="30" t="str">
        <f>IF($B40="","",IFERROR(INDEX('Fixture Library'!$D$2:$D$200,MATCH(Setup!$B$6*100+$D40,'Fixture Library'!$F$2:$F$200,0)),""))</f>
        <v/>
      </c>
      <c r="G40" s="30" t="str">
        <f>IF($F40="","",INDEX(Teams!$E$2:$E$65,($B40-1)*8+$F40))</f>
        <v/>
      </c>
      <c r="H40" s="30" t="str">
        <f>IF($B40="","",IFERROR(INDEX('Fixture Library'!$E$2:$E$200,MATCH(Setup!$B$6*100+$D40,'Fixture Library'!$F$2:$F$200,0)),""))</f>
        <v/>
      </c>
      <c r="I40" s="30" t="str">
        <f>IF($H40="","",INDEX(Teams!$E$2:$E$65,($B40-1)*8+$H40))</f>
        <v/>
      </c>
      <c r="J40" s="34" t="str">
        <f>IF($G40="","",IFERROR(INDEX('Match Entry'!$F$5:$F$228,5+($B40-1)*Setup!$B$13+$D40-1-4),""))</f>
        <v/>
      </c>
      <c r="K40" s="35" t="str">
        <f>IF($G40="","",IFERROR(INDEX('Match Entry'!$G$5:$G$228,5+($B40-1)*Setup!$B$13+$D40-1-4),""))</f>
        <v/>
      </c>
      <c r="L40" s="34" t="str">
        <f>IF($G40="","",IFERROR(INDEX('Match Entry'!$H$5:$H$228,5+($B40-1)*Setup!$B$13+$D40-1-4),""))</f>
        <v/>
      </c>
      <c r="M40" s="35" t="str">
        <f>IF($G40="","",IFERROR(INDEX('Match Entry'!$I$5:$I$228,5+($B40-1)*Setup!$B$13+$D40-1-4),""))</f>
        <v/>
      </c>
      <c r="N40" s="34" t="str">
        <f>IF($G40="","",IFERROR(INDEX('Match Entry'!$J$5:$J$228,5+($B40-1)*Setup!$B$13+$D40-1-4),""))</f>
        <v/>
      </c>
      <c r="O40" s="35" t="str">
        <f>IF($G40="","",IFERROR(INDEX('Match Entry'!$K$5:$K$228,5+($B40-1)*Setup!$B$13+$D40-1-4),""))</f>
        <v/>
      </c>
      <c r="P40" s="34" t="str">
        <f>IF($G40="","",IFERROR(INDEX('Match Entry'!$L$5:$L$228,5+($B40-1)*Setup!$B$13+$D40-1-4),""))</f>
        <v/>
      </c>
      <c r="Q40" s="35" t="str">
        <f>IF($G40="","",IFERROR(INDEX('Match Entry'!$M$5:$M$228,5+($B40-1)*Setup!$B$13+$D40-1-4),""))</f>
        <v/>
      </c>
      <c r="R40" s="34" t="str">
        <f>IF($G40="","",IFERROR(INDEX('Match Entry'!$N$5:$N$228,5+($B40-1)*Setup!$B$13+$D40-1-4),""))</f>
        <v/>
      </c>
      <c r="S40" s="35" t="str">
        <f>IF($G40="","",IFERROR(INDEX('Match Entry'!$O$5:$O$228,5+($B40-1)*Setup!$B$13+$D40-1-4),""))</f>
        <v/>
      </c>
      <c r="T40" s="33" t="str">
        <f t="shared" si="2"/>
        <v/>
      </c>
      <c r="U40" s="33" t="str">
        <f t="shared" si="3"/>
        <v/>
      </c>
      <c r="V40" s="33" t="str">
        <f t="shared" si="4"/>
        <v/>
      </c>
      <c r="W40" s="33" t="str">
        <f t="shared" si="5"/>
        <v/>
      </c>
      <c r="X40" s="30" t="str">
        <f>IF(OR($G40="",$I40=""),"",IF(OR($T40&gt;=Setup!$B$8,$U40&gt;=Setup!$B$8),1,""))</f>
        <v/>
      </c>
      <c r="Y40" s="30" t="str">
        <f t="shared" si="6"/>
        <v/>
      </c>
      <c r="Z40" s="33" t="str">
        <f>IF($X40=1,IF($T40&gt;$U40,Setup!$B$9,Setup!$B$10),"")</f>
        <v/>
      </c>
      <c r="AA40" s="33" t="str">
        <f>IF($X40=1,IF($U40&gt;$T40,Setup!$B$9,Setup!$B$10),"")</f>
        <v/>
      </c>
      <c r="AB40" s="30" t="str">
        <f t="shared" si="7"/>
        <v/>
      </c>
      <c r="AC40" s="30" t="str">
        <f t="shared" si="8"/>
        <v/>
      </c>
      <c r="AD40" s="30" t="str">
        <f t="shared" si="9"/>
        <v/>
      </c>
    </row>
    <row r="41" spans="1:30">
      <c r="A41" s="29">
        <v>40</v>
      </c>
      <c r="B41" s="29" t="str">
        <f>IF(INT(($A41-1)/28)+1&lt;=Setup!$B$5,INT(($A41-1)/28)+1,"")</f>
        <v/>
      </c>
      <c r="C41" s="29" t="str">
        <f t="shared" si="0"/>
        <v/>
      </c>
      <c r="D41" s="29">
        <f t="shared" si="1"/>
        <v>12</v>
      </c>
      <c r="E41" s="29" t="str">
        <f>IF($B41="","",IFERROR(INDEX('Fixture Library'!$C$2:$C$200,MATCH(Setup!$B$6*100+$D41,'Fixture Library'!$F$2:$F$200,0)),""))</f>
        <v/>
      </c>
      <c r="F41" s="30" t="str">
        <f>IF($B41="","",IFERROR(INDEX('Fixture Library'!$D$2:$D$200,MATCH(Setup!$B$6*100+$D41,'Fixture Library'!$F$2:$F$200,0)),""))</f>
        <v/>
      </c>
      <c r="G41" s="30" t="str">
        <f>IF($F41="","",INDEX(Teams!$E$2:$E$65,($B41-1)*8+$F41))</f>
        <v/>
      </c>
      <c r="H41" s="30" t="str">
        <f>IF($B41="","",IFERROR(INDEX('Fixture Library'!$E$2:$E$200,MATCH(Setup!$B$6*100+$D41,'Fixture Library'!$F$2:$F$200,0)),""))</f>
        <v/>
      </c>
      <c r="I41" s="30" t="str">
        <f>IF($H41="","",INDEX(Teams!$E$2:$E$65,($B41-1)*8+$H41))</f>
        <v/>
      </c>
      <c r="J41" s="34" t="str">
        <f>IF($G41="","",IFERROR(INDEX('Match Entry'!$F$5:$F$228,5+($B41-1)*Setup!$B$13+$D41-1-4),""))</f>
        <v/>
      </c>
      <c r="K41" s="35" t="str">
        <f>IF($G41="","",IFERROR(INDEX('Match Entry'!$G$5:$G$228,5+($B41-1)*Setup!$B$13+$D41-1-4),""))</f>
        <v/>
      </c>
      <c r="L41" s="34" t="str">
        <f>IF($G41="","",IFERROR(INDEX('Match Entry'!$H$5:$H$228,5+($B41-1)*Setup!$B$13+$D41-1-4),""))</f>
        <v/>
      </c>
      <c r="M41" s="35" t="str">
        <f>IF($G41="","",IFERROR(INDEX('Match Entry'!$I$5:$I$228,5+($B41-1)*Setup!$B$13+$D41-1-4),""))</f>
        <v/>
      </c>
      <c r="N41" s="34" t="str">
        <f>IF($G41="","",IFERROR(INDEX('Match Entry'!$J$5:$J$228,5+($B41-1)*Setup!$B$13+$D41-1-4),""))</f>
        <v/>
      </c>
      <c r="O41" s="35" t="str">
        <f>IF($G41="","",IFERROR(INDEX('Match Entry'!$K$5:$K$228,5+($B41-1)*Setup!$B$13+$D41-1-4),""))</f>
        <v/>
      </c>
      <c r="P41" s="34" t="str">
        <f>IF($G41="","",IFERROR(INDEX('Match Entry'!$L$5:$L$228,5+($B41-1)*Setup!$B$13+$D41-1-4),""))</f>
        <v/>
      </c>
      <c r="Q41" s="35" t="str">
        <f>IF($G41="","",IFERROR(INDEX('Match Entry'!$M$5:$M$228,5+($B41-1)*Setup!$B$13+$D41-1-4),""))</f>
        <v/>
      </c>
      <c r="R41" s="34" t="str">
        <f>IF($G41="","",IFERROR(INDEX('Match Entry'!$N$5:$N$228,5+($B41-1)*Setup!$B$13+$D41-1-4),""))</f>
        <v/>
      </c>
      <c r="S41" s="35" t="str">
        <f>IF($G41="","",IFERROR(INDEX('Match Entry'!$O$5:$O$228,5+($B41-1)*Setup!$B$13+$D41-1-4),""))</f>
        <v/>
      </c>
      <c r="T41" s="33" t="str">
        <f t="shared" si="2"/>
        <v/>
      </c>
      <c r="U41" s="33" t="str">
        <f t="shared" si="3"/>
        <v/>
      </c>
      <c r="V41" s="33" t="str">
        <f t="shared" si="4"/>
        <v/>
      </c>
      <c r="W41" s="33" t="str">
        <f t="shared" si="5"/>
        <v/>
      </c>
      <c r="X41" s="30" t="str">
        <f>IF(OR($G41="",$I41=""),"",IF(OR($T41&gt;=Setup!$B$8,$U41&gt;=Setup!$B$8),1,""))</f>
        <v/>
      </c>
      <c r="Y41" s="30" t="str">
        <f t="shared" si="6"/>
        <v/>
      </c>
      <c r="Z41" s="33" t="str">
        <f>IF($X41=1,IF($T41&gt;$U41,Setup!$B$9,Setup!$B$10),"")</f>
        <v/>
      </c>
      <c r="AA41" s="33" t="str">
        <f>IF($X41=1,IF($U41&gt;$T41,Setup!$B$9,Setup!$B$10),"")</f>
        <v/>
      </c>
      <c r="AB41" s="30" t="str">
        <f t="shared" si="7"/>
        <v/>
      </c>
      <c r="AC41" s="30" t="str">
        <f t="shared" si="8"/>
        <v/>
      </c>
      <c r="AD41" s="30" t="str">
        <f t="shared" si="9"/>
        <v/>
      </c>
    </row>
    <row r="42" spans="1:30">
      <c r="A42" s="29">
        <v>41</v>
      </c>
      <c r="B42" s="29" t="str">
        <f>IF(INT(($A42-1)/28)+1&lt;=Setup!$B$5,INT(($A42-1)/28)+1,"")</f>
        <v/>
      </c>
      <c r="C42" s="29" t="str">
        <f t="shared" si="0"/>
        <v/>
      </c>
      <c r="D42" s="29">
        <f t="shared" si="1"/>
        <v>13</v>
      </c>
      <c r="E42" s="29" t="str">
        <f>IF($B42="","",IFERROR(INDEX('Fixture Library'!$C$2:$C$200,MATCH(Setup!$B$6*100+$D42,'Fixture Library'!$F$2:$F$200,0)),""))</f>
        <v/>
      </c>
      <c r="F42" s="30" t="str">
        <f>IF($B42="","",IFERROR(INDEX('Fixture Library'!$D$2:$D$200,MATCH(Setup!$B$6*100+$D42,'Fixture Library'!$F$2:$F$200,0)),""))</f>
        <v/>
      </c>
      <c r="G42" s="30" t="str">
        <f>IF($F42="","",INDEX(Teams!$E$2:$E$65,($B42-1)*8+$F42))</f>
        <v/>
      </c>
      <c r="H42" s="30" t="str">
        <f>IF($B42="","",IFERROR(INDEX('Fixture Library'!$E$2:$E$200,MATCH(Setup!$B$6*100+$D42,'Fixture Library'!$F$2:$F$200,0)),""))</f>
        <v/>
      </c>
      <c r="I42" s="30" t="str">
        <f>IF($H42="","",INDEX(Teams!$E$2:$E$65,($B42-1)*8+$H42))</f>
        <v/>
      </c>
      <c r="J42" s="34" t="str">
        <f>IF($G42="","",IFERROR(INDEX('Match Entry'!$F$5:$F$228,5+($B42-1)*Setup!$B$13+$D42-1-4),""))</f>
        <v/>
      </c>
      <c r="K42" s="35" t="str">
        <f>IF($G42="","",IFERROR(INDEX('Match Entry'!$G$5:$G$228,5+($B42-1)*Setup!$B$13+$D42-1-4),""))</f>
        <v/>
      </c>
      <c r="L42" s="34" t="str">
        <f>IF($G42="","",IFERROR(INDEX('Match Entry'!$H$5:$H$228,5+($B42-1)*Setup!$B$13+$D42-1-4),""))</f>
        <v/>
      </c>
      <c r="M42" s="35" t="str">
        <f>IF($G42="","",IFERROR(INDEX('Match Entry'!$I$5:$I$228,5+($B42-1)*Setup!$B$13+$D42-1-4),""))</f>
        <v/>
      </c>
      <c r="N42" s="34" t="str">
        <f>IF($G42="","",IFERROR(INDEX('Match Entry'!$J$5:$J$228,5+($B42-1)*Setup!$B$13+$D42-1-4),""))</f>
        <v/>
      </c>
      <c r="O42" s="35" t="str">
        <f>IF($G42="","",IFERROR(INDEX('Match Entry'!$K$5:$K$228,5+($B42-1)*Setup!$B$13+$D42-1-4),""))</f>
        <v/>
      </c>
      <c r="P42" s="34" t="str">
        <f>IF($G42="","",IFERROR(INDEX('Match Entry'!$L$5:$L$228,5+($B42-1)*Setup!$B$13+$D42-1-4),""))</f>
        <v/>
      </c>
      <c r="Q42" s="35" t="str">
        <f>IF($G42="","",IFERROR(INDEX('Match Entry'!$M$5:$M$228,5+($B42-1)*Setup!$B$13+$D42-1-4),""))</f>
        <v/>
      </c>
      <c r="R42" s="34" t="str">
        <f>IF($G42="","",IFERROR(INDEX('Match Entry'!$N$5:$N$228,5+($B42-1)*Setup!$B$13+$D42-1-4),""))</f>
        <v/>
      </c>
      <c r="S42" s="35" t="str">
        <f>IF($G42="","",IFERROR(INDEX('Match Entry'!$O$5:$O$228,5+($B42-1)*Setup!$B$13+$D42-1-4),""))</f>
        <v/>
      </c>
      <c r="T42" s="33" t="str">
        <f t="shared" si="2"/>
        <v/>
      </c>
      <c r="U42" s="33" t="str">
        <f t="shared" si="3"/>
        <v/>
      </c>
      <c r="V42" s="33" t="str">
        <f t="shared" si="4"/>
        <v/>
      </c>
      <c r="W42" s="33" t="str">
        <f t="shared" si="5"/>
        <v/>
      </c>
      <c r="X42" s="30" t="str">
        <f>IF(OR($G42="",$I42=""),"",IF(OR($T42&gt;=Setup!$B$8,$U42&gt;=Setup!$B$8),1,""))</f>
        <v/>
      </c>
      <c r="Y42" s="30" t="str">
        <f t="shared" si="6"/>
        <v/>
      </c>
      <c r="Z42" s="33" t="str">
        <f>IF($X42=1,IF($T42&gt;$U42,Setup!$B$9,Setup!$B$10),"")</f>
        <v/>
      </c>
      <c r="AA42" s="33" t="str">
        <f>IF($X42=1,IF($U42&gt;$T42,Setup!$B$9,Setup!$B$10),"")</f>
        <v/>
      </c>
      <c r="AB42" s="30" t="str">
        <f t="shared" si="7"/>
        <v/>
      </c>
      <c r="AC42" s="30" t="str">
        <f t="shared" si="8"/>
        <v/>
      </c>
      <c r="AD42" s="30" t="str">
        <f t="shared" si="9"/>
        <v/>
      </c>
    </row>
    <row r="43" spans="1:30">
      <c r="A43" s="29">
        <v>42</v>
      </c>
      <c r="B43" s="29" t="str">
        <f>IF(INT(($A43-1)/28)+1&lt;=Setup!$B$5,INT(($A43-1)/28)+1,"")</f>
        <v/>
      </c>
      <c r="C43" s="29" t="str">
        <f t="shared" si="0"/>
        <v/>
      </c>
      <c r="D43" s="29">
        <f t="shared" si="1"/>
        <v>14</v>
      </c>
      <c r="E43" s="29" t="str">
        <f>IF($B43="","",IFERROR(INDEX('Fixture Library'!$C$2:$C$200,MATCH(Setup!$B$6*100+$D43,'Fixture Library'!$F$2:$F$200,0)),""))</f>
        <v/>
      </c>
      <c r="F43" s="30" t="str">
        <f>IF($B43="","",IFERROR(INDEX('Fixture Library'!$D$2:$D$200,MATCH(Setup!$B$6*100+$D43,'Fixture Library'!$F$2:$F$200,0)),""))</f>
        <v/>
      </c>
      <c r="G43" s="30" t="str">
        <f>IF($F43="","",INDEX(Teams!$E$2:$E$65,($B43-1)*8+$F43))</f>
        <v/>
      </c>
      <c r="H43" s="30" t="str">
        <f>IF($B43="","",IFERROR(INDEX('Fixture Library'!$E$2:$E$200,MATCH(Setup!$B$6*100+$D43,'Fixture Library'!$F$2:$F$200,0)),""))</f>
        <v/>
      </c>
      <c r="I43" s="30" t="str">
        <f>IF($H43="","",INDEX(Teams!$E$2:$E$65,($B43-1)*8+$H43))</f>
        <v/>
      </c>
      <c r="J43" s="34" t="str">
        <f>IF($G43="","",IFERROR(INDEX('Match Entry'!$F$5:$F$228,5+($B43-1)*Setup!$B$13+$D43-1-4),""))</f>
        <v/>
      </c>
      <c r="K43" s="35" t="str">
        <f>IF($G43="","",IFERROR(INDEX('Match Entry'!$G$5:$G$228,5+($B43-1)*Setup!$B$13+$D43-1-4),""))</f>
        <v/>
      </c>
      <c r="L43" s="34" t="str">
        <f>IF($G43="","",IFERROR(INDEX('Match Entry'!$H$5:$H$228,5+($B43-1)*Setup!$B$13+$D43-1-4),""))</f>
        <v/>
      </c>
      <c r="M43" s="35" t="str">
        <f>IF($G43="","",IFERROR(INDEX('Match Entry'!$I$5:$I$228,5+($B43-1)*Setup!$B$13+$D43-1-4),""))</f>
        <v/>
      </c>
      <c r="N43" s="34" t="str">
        <f>IF($G43="","",IFERROR(INDEX('Match Entry'!$J$5:$J$228,5+($B43-1)*Setup!$B$13+$D43-1-4),""))</f>
        <v/>
      </c>
      <c r="O43" s="35" t="str">
        <f>IF($G43="","",IFERROR(INDEX('Match Entry'!$K$5:$K$228,5+($B43-1)*Setup!$B$13+$D43-1-4),""))</f>
        <v/>
      </c>
      <c r="P43" s="34" t="str">
        <f>IF($G43="","",IFERROR(INDEX('Match Entry'!$L$5:$L$228,5+($B43-1)*Setup!$B$13+$D43-1-4),""))</f>
        <v/>
      </c>
      <c r="Q43" s="35" t="str">
        <f>IF($G43="","",IFERROR(INDEX('Match Entry'!$M$5:$M$228,5+($B43-1)*Setup!$B$13+$D43-1-4),""))</f>
        <v/>
      </c>
      <c r="R43" s="34" t="str">
        <f>IF($G43="","",IFERROR(INDEX('Match Entry'!$N$5:$N$228,5+($B43-1)*Setup!$B$13+$D43-1-4),""))</f>
        <v/>
      </c>
      <c r="S43" s="35" t="str">
        <f>IF($G43="","",IFERROR(INDEX('Match Entry'!$O$5:$O$228,5+($B43-1)*Setup!$B$13+$D43-1-4),""))</f>
        <v/>
      </c>
      <c r="T43" s="33" t="str">
        <f t="shared" si="2"/>
        <v/>
      </c>
      <c r="U43" s="33" t="str">
        <f t="shared" si="3"/>
        <v/>
      </c>
      <c r="V43" s="33" t="str">
        <f t="shared" si="4"/>
        <v/>
      </c>
      <c r="W43" s="33" t="str">
        <f t="shared" si="5"/>
        <v/>
      </c>
      <c r="X43" s="30" t="str">
        <f>IF(OR($G43="",$I43=""),"",IF(OR($T43&gt;=Setup!$B$8,$U43&gt;=Setup!$B$8),1,""))</f>
        <v/>
      </c>
      <c r="Y43" s="30" t="str">
        <f t="shared" si="6"/>
        <v/>
      </c>
      <c r="Z43" s="33" t="str">
        <f>IF($X43=1,IF($T43&gt;$U43,Setup!$B$9,Setup!$B$10),"")</f>
        <v/>
      </c>
      <c r="AA43" s="33" t="str">
        <f>IF($X43=1,IF($U43&gt;$T43,Setup!$B$9,Setup!$B$10),"")</f>
        <v/>
      </c>
      <c r="AB43" s="30" t="str">
        <f t="shared" si="7"/>
        <v/>
      </c>
      <c r="AC43" s="30" t="str">
        <f t="shared" si="8"/>
        <v/>
      </c>
      <c r="AD43" s="30" t="str">
        <f t="shared" si="9"/>
        <v/>
      </c>
    </row>
    <row r="44" spans="1:30">
      <c r="A44" s="29">
        <v>43</v>
      </c>
      <c r="B44" s="29" t="str">
        <f>IF(INT(($A44-1)/28)+1&lt;=Setup!$B$5,INT(($A44-1)/28)+1,"")</f>
        <v/>
      </c>
      <c r="C44" s="29" t="str">
        <f t="shared" si="0"/>
        <v/>
      </c>
      <c r="D44" s="29">
        <f t="shared" si="1"/>
        <v>15</v>
      </c>
      <c r="E44" s="29" t="str">
        <f>IF($B44="","",IFERROR(INDEX('Fixture Library'!$C$2:$C$200,MATCH(Setup!$B$6*100+$D44,'Fixture Library'!$F$2:$F$200,0)),""))</f>
        <v/>
      </c>
      <c r="F44" s="30" t="str">
        <f>IF($B44="","",IFERROR(INDEX('Fixture Library'!$D$2:$D$200,MATCH(Setup!$B$6*100+$D44,'Fixture Library'!$F$2:$F$200,0)),""))</f>
        <v/>
      </c>
      <c r="G44" s="30" t="str">
        <f>IF($F44="","",INDEX(Teams!$E$2:$E$65,($B44-1)*8+$F44))</f>
        <v/>
      </c>
      <c r="H44" s="30" t="str">
        <f>IF($B44="","",IFERROR(INDEX('Fixture Library'!$E$2:$E$200,MATCH(Setup!$B$6*100+$D44,'Fixture Library'!$F$2:$F$200,0)),""))</f>
        <v/>
      </c>
      <c r="I44" s="30" t="str">
        <f>IF($H44="","",INDEX(Teams!$E$2:$E$65,($B44-1)*8+$H44))</f>
        <v/>
      </c>
      <c r="J44" s="34" t="str">
        <f>IF($G44="","",IFERROR(INDEX('Match Entry'!$F$5:$F$228,5+($B44-1)*Setup!$B$13+$D44-1-4),""))</f>
        <v/>
      </c>
      <c r="K44" s="35" t="str">
        <f>IF($G44="","",IFERROR(INDEX('Match Entry'!$G$5:$G$228,5+($B44-1)*Setup!$B$13+$D44-1-4),""))</f>
        <v/>
      </c>
      <c r="L44" s="34" t="str">
        <f>IF($G44="","",IFERROR(INDEX('Match Entry'!$H$5:$H$228,5+($B44-1)*Setup!$B$13+$D44-1-4),""))</f>
        <v/>
      </c>
      <c r="M44" s="35" t="str">
        <f>IF($G44="","",IFERROR(INDEX('Match Entry'!$I$5:$I$228,5+($B44-1)*Setup!$B$13+$D44-1-4),""))</f>
        <v/>
      </c>
      <c r="N44" s="34" t="str">
        <f>IF($G44="","",IFERROR(INDEX('Match Entry'!$J$5:$J$228,5+($B44-1)*Setup!$B$13+$D44-1-4),""))</f>
        <v/>
      </c>
      <c r="O44" s="35" t="str">
        <f>IF($G44="","",IFERROR(INDEX('Match Entry'!$K$5:$K$228,5+($B44-1)*Setup!$B$13+$D44-1-4),""))</f>
        <v/>
      </c>
      <c r="P44" s="34" t="str">
        <f>IF($G44="","",IFERROR(INDEX('Match Entry'!$L$5:$L$228,5+($B44-1)*Setup!$B$13+$D44-1-4),""))</f>
        <v/>
      </c>
      <c r="Q44" s="35" t="str">
        <f>IF($G44="","",IFERROR(INDEX('Match Entry'!$M$5:$M$228,5+($B44-1)*Setup!$B$13+$D44-1-4),""))</f>
        <v/>
      </c>
      <c r="R44" s="34" t="str">
        <f>IF($G44="","",IFERROR(INDEX('Match Entry'!$N$5:$N$228,5+($B44-1)*Setup!$B$13+$D44-1-4),""))</f>
        <v/>
      </c>
      <c r="S44" s="35" t="str">
        <f>IF($G44="","",IFERROR(INDEX('Match Entry'!$O$5:$O$228,5+($B44-1)*Setup!$B$13+$D44-1-4),""))</f>
        <v/>
      </c>
      <c r="T44" s="33" t="str">
        <f t="shared" si="2"/>
        <v/>
      </c>
      <c r="U44" s="33" t="str">
        <f t="shared" si="3"/>
        <v/>
      </c>
      <c r="V44" s="33" t="str">
        <f t="shared" si="4"/>
        <v/>
      </c>
      <c r="W44" s="33" t="str">
        <f t="shared" si="5"/>
        <v/>
      </c>
      <c r="X44" s="30" t="str">
        <f>IF(OR($G44="",$I44=""),"",IF(OR($T44&gt;=Setup!$B$8,$U44&gt;=Setup!$B$8),1,""))</f>
        <v/>
      </c>
      <c r="Y44" s="30" t="str">
        <f t="shared" si="6"/>
        <v/>
      </c>
      <c r="Z44" s="33" t="str">
        <f>IF($X44=1,IF($T44&gt;$U44,Setup!$B$9,Setup!$B$10),"")</f>
        <v/>
      </c>
      <c r="AA44" s="33" t="str">
        <f>IF($X44=1,IF($U44&gt;$T44,Setup!$B$9,Setup!$B$10),"")</f>
        <v/>
      </c>
      <c r="AB44" s="30" t="str">
        <f t="shared" si="7"/>
        <v/>
      </c>
      <c r="AC44" s="30" t="str">
        <f t="shared" si="8"/>
        <v/>
      </c>
      <c r="AD44" s="30" t="str">
        <f t="shared" si="9"/>
        <v/>
      </c>
    </row>
    <row r="45" spans="1:30">
      <c r="A45" s="29">
        <v>44</v>
      </c>
      <c r="B45" s="29" t="str">
        <f>IF(INT(($A45-1)/28)+1&lt;=Setup!$B$5,INT(($A45-1)/28)+1,"")</f>
        <v/>
      </c>
      <c r="C45" s="29" t="str">
        <f t="shared" si="0"/>
        <v/>
      </c>
      <c r="D45" s="29">
        <f t="shared" si="1"/>
        <v>16</v>
      </c>
      <c r="E45" s="29" t="str">
        <f>IF($B45="","",IFERROR(INDEX('Fixture Library'!$C$2:$C$200,MATCH(Setup!$B$6*100+$D45,'Fixture Library'!$F$2:$F$200,0)),""))</f>
        <v/>
      </c>
      <c r="F45" s="30" t="str">
        <f>IF($B45="","",IFERROR(INDEX('Fixture Library'!$D$2:$D$200,MATCH(Setup!$B$6*100+$D45,'Fixture Library'!$F$2:$F$200,0)),""))</f>
        <v/>
      </c>
      <c r="G45" s="30" t="str">
        <f>IF($F45="","",INDEX(Teams!$E$2:$E$65,($B45-1)*8+$F45))</f>
        <v/>
      </c>
      <c r="H45" s="30" t="str">
        <f>IF($B45="","",IFERROR(INDEX('Fixture Library'!$E$2:$E$200,MATCH(Setup!$B$6*100+$D45,'Fixture Library'!$F$2:$F$200,0)),""))</f>
        <v/>
      </c>
      <c r="I45" s="30" t="str">
        <f>IF($H45="","",INDEX(Teams!$E$2:$E$65,($B45-1)*8+$H45))</f>
        <v/>
      </c>
      <c r="J45" s="34" t="str">
        <f>IF($G45="","",IFERROR(INDEX('Match Entry'!$F$5:$F$228,5+($B45-1)*Setup!$B$13+$D45-1-4),""))</f>
        <v/>
      </c>
      <c r="K45" s="35" t="str">
        <f>IF($G45="","",IFERROR(INDEX('Match Entry'!$G$5:$G$228,5+($B45-1)*Setup!$B$13+$D45-1-4),""))</f>
        <v/>
      </c>
      <c r="L45" s="34" t="str">
        <f>IF($G45="","",IFERROR(INDEX('Match Entry'!$H$5:$H$228,5+($B45-1)*Setup!$B$13+$D45-1-4),""))</f>
        <v/>
      </c>
      <c r="M45" s="35" t="str">
        <f>IF($G45="","",IFERROR(INDEX('Match Entry'!$I$5:$I$228,5+($B45-1)*Setup!$B$13+$D45-1-4),""))</f>
        <v/>
      </c>
      <c r="N45" s="34" t="str">
        <f>IF($G45="","",IFERROR(INDEX('Match Entry'!$J$5:$J$228,5+($B45-1)*Setup!$B$13+$D45-1-4),""))</f>
        <v/>
      </c>
      <c r="O45" s="35" t="str">
        <f>IF($G45="","",IFERROR(INDEX('Match Entry'!$K$5:$K$228,5+($B45-1)*Setup!$B$13+$D45-1-4),""))</f>
        <v/>
      </c>
      <c r="P45" s="34" t="str">
        <f>IF($G45="","",IFERROR(INDEX('Match Entry'!$L$5:$L$228,5+($B45-1)*Setup!$B$13+$D45-1-4),""))</f>
        <v/>
      </c>
      <c r="Q45" s="35" t="str">
        <f>IF($G45="","",IFERROR(INDEX('Match Entry'!$M$5:$M$228,5+($B45-1)*Setup!$B$13+$D45-1-4),""))</f>
        <v/>
      </c>
      <c r="R45" s="34" t="str">
        <f>IF($G45="","",IFERROR(INDEX('Match Entry'!$N$5:$N$228,5+($B45-1)*Setup!$B$13+$D45-1-4),""))</f>
        <v/>
      </c>
      <c r="S45" s="35" t="str">
        <f>IF($G45="","",IFERROR(INDEX('Match Entry'!$O$5:$O$228,5+($B45-1)*Setup!$B$13+$D45-1-4),""))</f>
        <v/>
      </c>
      <c r="T45" s="33" t="str">
        <f t="shared" si="2"/>
        <v/>
      </c>
      <c r="U45" s="33" t="str">
        <f t="shared" si="3"/>
        <v/>
      </c>
      <c r="V45" s="33" t="str">
        <f t="shared" si="4"/>
        <v/>
      </c>
      <c r="W45" s="33" t="str">
        <f t="shared" si="5"/>
        <v/>
      </c>
      <c r="X45" s="30" t="str">
        <f>IF(OR($G45="",$I45=""),"",IF(OR($T45&gt;=Setup!$B$8,$U45&gt;=Setup!$B$8),1,""))</f>
        <v/>
      </c>
      <c r="Y45" s="30" t="str">
        <f t="shared" si="6"/>
        <v/>
      </c>
      <c r="Z45" s="33" t="str">
        <f>IF($X45=1,IF($T45&gt;$U45,Setup!$B$9,Setup!$B$10),"")</f>
        <v/>
      </c>
      <c r="AA45" s="33" t="str">
        <f>IF($X45=1,IF($U45&gt;$T45,Setup!$B$9,Setup!$B$10),"")</f>
        <v/>
      </c>
      <c r="AB45" s="30" t="str">
        <f t="shared" si="7"/>
        <v/>
      </c>
      <c r="AC45" s="30" t="str">
        <f t="shared" si="8"/>
        <v/>
      </c>
      <c r="AD45" s="30" t="str">
        <f t="shared" si="9"/>
        <v/>
      </c>
    </row>
    <row r="46" spans="1:30">
      <c r="A46" s="29">
        <v>45</v>
      </c>
      <c r="B46" s="29" t="str">
        <f>IF(INT(($A46-1)/28)+1&lt;=Setup!$B$5,INT(($A46-1)/28)+1,"")</f>
        <v/>
      </c>
      <c r="C46" s="29" t="str">
        <f t="shared" si="0"/>
        <v/>
      </c>
      <c r="D46" s="29">
        <f t="shared" si="1"/>
        <v>17</v>
      </c>
      <c r="E46" s="29" t="str">
        <f>IF($B46="","",IFERROR(INDEX('Fixture Library'!$C$2:$C$200,MATCH(Setup!$B$6*100+$D46,'Fixture Library'!$F$2:$F$200,0)),""))</f>
        <v/>
      </c>
      <c r="F46" s="30" t="str">
        <f>IF($B46="","",IFERROR(INDEX('Fixture Library'!$D$2:$D$200,MATCH(Setup!$B$6*100+$D46,'Fixture Library'!$F$2:$F$200,0)),""))</f>
        <v/>
      </c>
      <c r="G46" s="30" t="str">
        <f>IF($F46="","",INDEX(Teams!$E$2:$E$65,($B46-1)*8+$F46))</f>
        <v/>
      </c>
      <c r="H46" s="30" t="str">
        <f>IF($B46="","",IFERROR(INDEX('Fixture Library'!$E$2:$E$200,MATCH(Setup!$B$6*100+$D46,'Fixture Library'!$F$2:$F$200,0)),""))</f>
        <v/>
      </c>
      <c r="I46" s="30" t="str">
        <f>IF($H46="","",INDEX(Teams!$E$2:$E$65,($B46-1)*8+$H46))</f>
        <v/>
      </c>
      <c r="J46" s="34" t="str">
        <f>IF($G46="","",IFERROR(INDEX('Match Entry'!$F$5:$F$228,5+($B46-1)*Setup!$B$13+$D46-1-4),""))</f>
        <v/>
      </c>
      <c r="K46" s="35" t="str">
        <f>IF($G46="","",IFERROR(INDEX('Match Entry'!$G$5:$G$228,5+($B46-1)*Setup!$B$13+$D46-1-4),""))</f>
        <v/>
      </c>
      <c r="L46" s="34" t="str">
        <f>IF($G46="","",IFERROR(INDEX('Match Entry'!$H$5:$H$228,5+($B46-1)*Setup!$B$13+$D46-1-4),""))</f>
        <v/>
      </c>
      <c r="M46" s="35" t="str">
        <f>IF($G46="","",IFERROR(INDEX('Match Entry'!$I$5:$I$228,5+($B46-1)*Setup!$B$13+$D46-1-4),""))</f>
        <v/>
      </c>
      <c r="N46" s="34" t="str">
        <f>IF($G46="","",IFERROR(INDEX('Match Entry'!$J$5:$J$228,5+($B46-1)*Setup!$B$13+$D46-1-4),""))</f>
        <v/>
      </c>
      <c r="O46" s="35" t="str">
        <f>IF($G46="","",IFERROR(INDEX('Match Entry'!$K$5:$K$228,5+($B46-1)*Setup!$B$13+$D46-1-4),""))</f>
        <v/>
      </c>
      <c r="P46" s="34" t="str">
        <f>IF($G46="","",IFERROR(INDEX('Match Entry'!$L$5:$L$228,5+($B46-1)*Setup!$B$13+$D46-1-4),""))</f>
        <v/>
      </c>
      <c r="Q46" s="35" t="str">
        <f>IF($G46="","",IFERROR(INDEX('Match Entry'!$M$5:$M$228,5+($B46-1)*Setup!$B$13+$D46-1-4),""))</f>
        <v/>
      </c>
      <c r="R46" s="34" t="str">
        <f>IF($G46="","",IFERROR(INDEX('Match Entry'!$N$5:$N$228,5+($B46-1)*Setup!$B$13+$D46-1-4),""))</f>
        <v/>
      </c>
      <c r="S46" s="35" t="str">
        <f>IF($G46="","",IFERROR(INDEX('Match Entry'!$O$5:$O$228,5+($B46-1)*Setup!$B$13+$D46-1-4),""))</f>
        <v/>
      </c>
      <c r="T46" s="33" t="str">
        <f t="shared" si="2"/>
        <v/>
      </c>
      <c r="U46" s="33" t="str">
        <f t="shared" si="3"/>
        <v/>
      </c>
      <c r="V46" s="33" t="str">
        <f t="shared" si="4"/>
        <v/>
      </c>
      <c r="W46" s="33" t="str">
        <f t="shared" si="5"/>
        <v/>
      </c>
      <c r="X46" s="30" t="str">
        <f>IF(OR($G46="",$I46=""),"",IF(OR($T46&gt;=Setup!$B$8,$U46&gt;=Setup!$B$8),1,""))</f>
        <v/>
      </c>
      <c r="Y46" s="30" t="str">
        <f t="shared" si="6"/>
        <v/>
      </c>
      <c r="Z46" s="33" t="str">
        <f>IF($X46=1,IF($T46&gt;$U46,Setup!$B$9,Setup!$B$10),"")</f>
        <v/>
      </c>
      <c r="AA46" s="33" t="str">
        <f>IF($X46=1,IF($U46&gt;$T46,Setup!$B$9,Setup!$B$10),"")</f>
        <v/>
      </c>
      <c r="AB46" s="30" t="str">
        <f t="shared" si="7"/>
        <v/>
      </c>
      <c r="AC46" s="30" t="str">
        <f t="shared" si="8"/>
        <v/>
      </c>
      <c r="AD46" s="30" t="str">
        <f t="shared" si="9"/>
        <v/>
      </c>
    </row>
    <row r="47" spans="1:30">
      <c r="A47" s="29">
        <v>46</v>
      </c>
      <c r="B47" s="29" t="str">
        <f>IF(INT(($A47-1)/28)+1&lt;=Setup!$B$5,INT(($A47-1)/28)+1,"")</f>
        <v/>
      </c>
      <c r="C47" s="29" t="str">
        <f t="shared" si="0"/>
        <v/>
      </c>
      <c r="D47" s="29">
        <f t="shared" si="1"/>
        <v>18</v>
      </c>
      <c r="E47" s="29" t="str">
        <f>IF($B47="","",IFERROR(INDEX('Fixture Library'!$C$2:$C$200,MATCH(Setup!$B$6*100+$D47,'Fixture Library'!$F$2:$F$200,0)),""))</f>
        <v/>
      </c>
      <c r="F47" s="30" t="str">
        <f>IF($B47="","",IFERROR(INDEX('Fixture Library'!$D$2:$D$200,MATCH(Setup!$B$6*100+$D47,'Fixture Library'!$F$2:$F$200,0)),""))</f>
        <v/>
      </c>
      <c r="G47" s="30" t="str">
        <f>IF($F47="","",INDEX(Teams!$E$2:$E$65,($B47-1)*8+$F47))</f>
        <v/>
      </c>
      <c r="H47" s="30" t="str">
        <f>IF($B47="","",IFERROR(INDEX('Fixture Library'!$E$2:$E$200,MATCH(Setup!$B$6*100+$D47,'Fixture Library'!$F$2:$F$200,0)),""))</f>
        <v/>
      </c>
      <c r="I47" s="30" t="str">
        <f>IF($H47="","",INDEX(Teams!$E$2:$E$65,($B47-1)*8+$H47))</f>
        <v/>
      </c>
      <c r="J47" s="34" t="str">
        <f>IF($G47="","",IFERROR(INDEX('Match Entry'!$F$5:$F$228,5+($B47-1)*Setup!$B$13+$D47-1-4),""))</f>
        <v/>
      </c>
      <c r="K47" s="35" t="str">
        <f>IF($G47="","",IFERROR(INDEX('Match Entry'!$G$5:$G$228,5+($B47-1)*Setup!$B$13+$D47-1-4),""))</f>
        <v/>
      </c>
      <c r="L47" s="34" t="str">
        <f>IF($G47="","",IFERROR(INDEX('Match Entry'!$H$5:$H$228,5+($B47-1)*Setup!$B$13+$D47-1-4),""))</f>
        <v/>
      </c>
      <c r="M47" s="35" t="str">
        <f>IF($G47="","",IFERROR(INDEX('Match Entry'!$I$5:$I$228,5+($B47-1)*Setup!$B$13+$D47-1-4),""))</f>
        <v/>
      </c>
      <c r="N47" s="34" t="str">
        <f>IF($G47="","",IFERROR(INDEX('Match Entry'!$J$5:$J$228,5+($B47-1)*Setup!$B$13+$D47-1-4),""))</f>
        <v/>
      </c>
      <c r="O47" s="35" t="str">
        <f>IF($G47="","",IFERROR(INDEX('Match Entry'!$K$5:$K$228,5+($B47-1)*Setup!$B$13+$D47-1-4),""))</f>
        <v/>
      </c>
      <c r="P47" s="34" t="str">
        <f>IF($G47="","",IFERROR(INDEX('Match Entry'!$L$5:$L$228,5+($B47-1)*Setup!$B$13+$D47-1-4),""))</f>
        <v/>
      </c>
      <c r="Q47" s="35" t="str">
        <f>IF($G47="","",IFERROR(INDEX('Match Entry'!$M$5:$M$228,5+($B47-1)*Setup!$B$13+$D47-1-4),""))</f>
        <v/>
      </c>
      <c r="R47" s="34" t="str">
        <f>IF($G47="","",IFERROR(INDEX('Match Entry'!$N$5:$N$228,5+($B47-1)*Setup!$B$13+$D47-1-4),""))</f>
        <v/>
      </c>
      <c r="S47" s="35" t="str">
        <f>IF($G47="","",IFERROR(INDEX('Match Entry'!$O$5:$O$228,5+($B47-1)*Setup!$B$13+$D47-1-4),""))</f>
        <v/>
      </c>
      <c r="T47" s="33" t="str">
        <f t="shared" si="2"/>
        <v/>
      </c>
      <c r="U47" s="33" t="str">
        <f t="shared" si="3"/>
        <v/>
      </c>
      <c r="V47" s="33" t="str">
        <f t="shared" si="4"/>
        <v/>
      </c>
      <c r="W47" s="33" t="str">
        <f t="shared" si="5"/>
        <v/>
      </c>
      <c r="X47" s="30" t="str">
        <f>IF(OR($G47="",$I47=""),"",IF(OR($T47&gt;=Setup!$B$8,$U47&gt;=Setup!$B$8),1,""))</f>
        <v/>
      </c>
      <c r="Y47" s="30" t="str">
        <f t="shared" si="6"/>
        <v/>
      </c>
      <c r="Z47" s="33" t="str">
        <f>IF($X47=1,IF($T47&gt;$U47,Setup!$B$9,Setup!$B$10),"")</f>
        <v/>
      </c>
      <c r="AA47" s="33" t="str">
        <f>IF($X47=1,IF($U47&gt;$T47,Setup!$B$9,Setup!$B$10),"")</f>
        <v/>
      </c>
      <c r="AB47" s="30" t="str">
        <f t="shared" si="7"/>
        <v/>
      </c>
      <c r="AC47" s="30" t="str">
        <f t="shared" si="8"/>
        <v/>
      </c>
      <c r="AD47" s="30" t="str">
        <f t="shared" si="9"/>
        <v/>
      </c>
    </row>
    <row r="48" spans="1:30">
      <c r="A48" s="29">
        <v>47</v>
      </c>
      <c r="B48" s="29" t="str">
        <f>IF(INT(($A48-1)/28)+1&lt;=Setup!$B$5,INT(($A48-1)/28)+1,"")</f>
        <v/>
      </c>
      <c r="C48" s="29" t="str">
        <f t="shared" si="0"/>
        <v/>
      </c>
      <c r="D48" s="29">
        <f t="shared" si="1"/>
        <v>19</v>
      </c>
      <c r="E48" s="29" t="str">
        <f>IF($B48="","",IFERROR(INDEX('Fixture Library'!$C$2:$C$200,MATCH(Setup!$B$6*100+$D48,'Fixture Library'!$F$2:$F$200,0)),""))</f>
        <v/>
      </c>
      <c r="F48" s="30" t="str">
        <f>IF($B48="","",IFERROR(INDEX('Fixture Library'!$D$2:$D$200,MATCH(Setup!$B$6*100+$D48,'Fixture Library'!$F$2:$F$200,0)),""))</f>
        <v/>
      </c>
      <c r="G48" s="30" t="str">
        <f>IF($F48="","",INDEX(Teams!$E$2:$E$65,($B48-1)*8+$F48))</f>
        <v/>
      </c>
      <c r="H48" s="30" t="str">
        <f>IF($B48="","",IFERROR(INDEX('Fixture Library'!$E$2:$E$200,MATCH(Setup!$B$6*100+$D48,'Fixture Library'!$F$2:$F$200,0)),""))</f>
        <v/>
      </c>
      <c r="I48" s="30" t="str">
        <f>IF($H48="","",INDEX(Teams!$E$2:$E$65,($B48-1)*8+$H48))</f>
        <v/>
      </c>
      <c r="J48" s="34" t="str">
        <f>IF($G48="","",IFERROR(INDEX('Match Entry'!$F$5:$F$228,5+($B48-1)*Setup!$B$13+$D48-1-4),""))</f>
        <v/>
      </c>
      <c r="K48" s="35" t="str">
        <f>IF($G48="","",IFERROR(INDEX('Match Entry'!$G$5:$G$228,5+($B48-1)*Setup!$B$13+$D48-1-4),""))</f>
        <v/>
      </c>
      <c r="L48" s="34" t="str">
        <f>IF($G48="","",IFERROR(INDEX('Match Entry'!$H$5:$H$228,5+($B48-1)*Setup!$B$13+$D48-1-4),""))</f>
        <v/>
      </c>
      <c r="M48" s="35" t="str">
        <f>IF($G48="","",IFERROR(INDEX('Match Entry'!$I$5:$I$228,5+($B48-1)*Setup!$B$13+$D48-1-4),""))</f>
        <v/>
      </c>
      <c r="N48" s="34" t="str">
        <f>IF($G48="","",IFERROR(INDEX('Match Entry'!$J$5:$J$228,5+($B48-1)*Setup!$B$13+$D48-1-4),""))</f>
        <v/>
      </c>
      <c r="O48" s="35" t="str">
        <f>IF($G48="","",IFERROR(INDEX('Match Entry'!$K$5:$K$228,5+($B48-1)*Setup!$B$13+$D48-1-4),""))</f>
        <v/>
      </c>
      <c r="P48" s="34" t="str">
        <f>IF($G48="","",IFERROR(INDEX('Match Entry'!$L$5:$L$228,5+($B48-1)*Setup!$B$13+$D48-1-4),""))</f>
        <v/>
      </c>
      <c r="Q48" s="35" t="str">
        <f>IF($G48="","",IFERROR(INDEX('Match Entry'!$M$5:$M$228,5+($B48-1)*Setup!$B$13+$D48-1-4),""))</f>
        <v/>
      </c>
      <c r="R48" s="34" t="str">
        <f>IF($G48="","",IFERROR(INDEX('Match Entry'!$N$5:$N$228,5+($B48-1)*Setup!$B$13+$D48-1-4),""))</f>
        <v/>
      </c>
      <c r="S48" s="35" t="str">
        <f>IF($G48="","",IFERROR(INDEX('Match Entry'!$O$5:$O$228,5+($B48-1)*Setup!$B$13+$D48-1-4),""))</f>
        <v/>
      </c>
      <c r="T48" s="33" t="str">
        <f t="shared" si="2"/>
        <v/>
      </c>
      <c r="U48" s="33" t="str">
        <f t="shared" si="3"/>
        <v/>
      </c>
      <c r="V48" s="33" t="str">
        <f t="shared" si="4"/>
        <v/>
      </c>
      <c r="W48" s="33" t="str">
        <f t="shared" si="5"/>
        <v/>
      </c>
      <c r="X48" s="30" t="str">
        <f>IF(OR($G48="",$I48=""),"",IF(OR($T48&gt;=Setup!$B$8,$U48&gt;=Setup!$B$8),1,""))</f>
        <v/>
      </c>
      <c r="Y48" s="30" t="str">
        <f t="shared" si="6"/>
        <v/>
      </c>
      <c r="Z48" s="33" t="str">
        <f>IF($X48=1,IF($T48&gt;$U48,Setup!$B$9,Setup!$B$10),"")</f>
        <v/>
      </c>
      <c r="AA48" s="33" t="str">
        <f>IF($X48=1,IF($U48&gt;$T48,Setup!$B$9,Setup!$B$10),"")</f>
        <v/>
      </c>
      <c r="AB48" s="30" t="str">
        <f t="shared" si="7"/>
        <v/>
      </c>
      <c r="AC48" s="30" t="str">
        <f t="shared" si="8"/>
        <v/>
      </c>
      <c r="AD48" s="30" t="str">
        <f t="shared" si="9"/>
        <v/>
      </c>
    </row>
    <row r="49" spans="1:30">
      <c r="A49" s="29">
        <v>48</v>
      </c>
      <c r="B49" s="29" t="str">
        <f>IF(INT(($A49-1)/28)+1&lt;=Setup!$B$5,INT(($A49-1)/28)+1,"")</f>
        <v/>
      </c>
      <c r="C49" s="29" t="str">
        <f t="shared" si="0"/>
        <v/>
      </c>
      <c r="D49" s="29">
        <f t="shared" si="1"/>
        <v>20</v>
      </c>
      <c r="E49" s="29" t="str">
        <f>IF($B49="","",IFERROR(INDEX('Fixture Library'!$C$2:$C$200,MATCH(Setup!$B$6*100+$D49,'Fixture Library'!$F$2:$F$200,0)),""))</f>
        <v/>
      </c>
      <c r="F49" s="30" t="str">
        <f>IF($B49="","",IFERROR(INDEX('Fixture Library'!$D$2:$D$200,MATCH(Setup!$B$6*100+$D49,'Fixture Library'!$F$2:$F$200,0)),""))</f>
        <v/>
      </c>
      <c r="G49" s="30" t="str">
        <f>IF($F49="","",INDEX(Teams!$E$2:$E$65,($B49-1)*8+$F49))</f>
        <v/>
      </c>
      <c r="H49" s="30" t="str">
        <f>IF($B49="","",IFERROR(INDEX('Fixture Library'!$E$2:$E$200,MATCH(Setup!$B$6*100+$D49,'Fixture Library'!$F$2:$F$200,0)),""))</f>
        <v/>
      </c>
      <c r="I49" s="30" t="str">
        <f>IF($H49="","",INDEX(Teams!$E$2:$E$65,($B49-1)*8+$H49))</f>
        <v/>
      </c>
      <c r="J49" s="34" t="str">
        <f>IF($G49="","",IFERROR(INDEX('Match Entry'!$F$5:$F$228,5+($B49-1)*Setup!$B$13+$D49-1-4),""))</f>
        <v/>
      </c>
      <c r="K49" s="35" t="str">
        <f>IF($G49="","",IFERROR(INDEX('Match Entry'!$G$5:$G$228,5+($B49-1)*Setup!$B$13+$D49-1-4),""))</f>
        <v/>
      </c>
      <c r="L49" s="34" t="str">
        <f>IF($G49="","",IFERROR(INDEX('Match Entry'!$H$5:$H$228,5+($B49-1)*Setup!$B$13+$D49-1-4),""))</f>
        <v/>
      </c>
      <c r="M49" s="35" t="str">
        <f>IF($G49="","",IFERROR(INDEX('Match Entry'!$I$5:$I$228,5+($B49-1)*Setup!$B$13+$D49-1-4),""))</f>
        <v/>
      </c>
      <c r="N49" s="34" t="str">
        <f>IF($G49="","",IFERROR(INDEX('Match Entry'!$J$5:$J$228,5+($B49-1)*Setup!$B$13+$D49-1-4),""))</f>
        <v/>
      </c>
      <c r="O49" s="35" t="str">
        <f>IF($G49="","",IFERROR(INDEX('Match Entry'!$K$5:$K$228,5+($B49-1)*Setup!$B$13+$D49-1-4),""))</f>
        <v/>
      </c>
      <c r="P49" s="34" t="str">
        <f>IF($G49="","",IFERROR(INDEX('Match Entry'!$L$5:$L$228,5+($B49-1)*Setup!$B$13+$D49-1-4),""))</f>
        <v/>
      </c>
      <c r="Q49" s="35" t="str">
        <f>IF($G49="","",IFERROR(INDEX('Match Entry'!$M$5:$M$228,5+($B49-1)*Setup!$B$13+$D49-1-4),""))</f>
        <v/>
      </c>
      <c r="R49" s="34" t="str">
        <f>IF($G49="","",IFERROR(INDEX('Match Entry'!$N$5:$N$228,5+($B49-1)*Setup!$B$13+$D49-1-4),""))</f>
        <v/>
      </c>
      <c r="S49" s="35" t="str">
        <f>IF($G49="","",IFERROR(INDEX('Match Entry'!$O$5:$O$228,5+($B49-1)*Setup!$B$13+$D49-1-4),""))</f>
        <v/>
      </c>
      <c r="T49" s="33" t="str">
        <f t="shared" si="2"/>
        <v/>
      </c>
      <c r="U49" s="33" t="str">
        <f t="shared" si="3"/>
        <v/>
      </c>
      <c r="V49" s="33" t="str">
        <f t="shared" si="4"/>
        <v/>
      </c>
      <c r="W49" s="33" t="str">
        <f t="shared" si="5"/>
        <v/>
      </c>
      <c r="X49" s="30" t="str">
        <f>IF(OR($G49="",$I49=""),"",IF(OR($T49&gt;=Setup!$B$8,$U49&gt;=Setup!$B$8),1,""))</f>
        <v/>
      </c>
      <c r="Y49" s="30" t="str">
        <f t="shared" si="6"/>
        <v/>
      </c>
      <c r="Z49" s="33" t="str">
        <f>IF($X49=1,IF($T49&gt;$U49,Setup!$B$9,Setup!$B$10),"")</f>
        <v/>
      </c>
      <c r="AA49" s="33" t="str">
        <f>IF($X49=1,IF($U49&gt;$T49,Setup!$B$9,Setup!$B$10),"")</f>
        <v/>
      </c>
      <c r="AB49" s="30" t="str">
        <f t="shared" si="7"/>
        <v/>
      </c>
      <c r="AC49" s="30" t="str">
        <f t="shared" si="8"/>
        <v/>
      </c>
      <c r="AD49" s="30" t="str">
        <f t="shared" si="9"/>
        <v/>
      </c>
    </row>
    <row r="50" spans="1:30">
      <c r="A50" s="29">
        <v>49</v>
      </c>
      <c r="B50" s="29" t="str">
        <f>IF(INT(($A50-1)/28)+1&lt;=Setup!$B$5,INT(($A50-1)/28)+1,"")</f>
        <v/>
      </c>
      <c r="C50" s="29" t="str">
        <f t="shared" si="0"/>
        <v/>
      </c>
      <c r="D50" s="29">
        <f t="shared" si="1"/>
        <v>21</v>
      </c>
      <c r="E50" s="29" t="str">
        <f>IF($B50="","",IFERROR(INDEX('Fixture Library'!$C$2:$C$200,MATCH(Setup!$B$6*100+$D50,'Fixture Library'!$F$2:$F$200,0)),""))</f>
        <v/>
      </c>
      <c r="F50" s="30" t="str">
        <f>IF($B50="","",IFERROR(INDEX('Fixture Library'!$D$2:$D$200,MATCH(Setup!$B$6*100+$D50,'Fixture Library'!$F$2:$F$200,0)),""))</f>
        <v/>
      </c>
      <c r="G50" s="30" t="str">
        <f>IF($F50="","",INDEX(Teams!$E$2:$E$65,($B50-1)*8+$F50))</f>
        <v/>
      </c>
      <c r="H50" s="30" t="str">
        <f>IF($B50="","",IFERROR(INDEX('Fixture Library'!$E$2:$E$200,MATCH(Setup!$B$6*100+$D50,'Fixture Library'!$F$2:$F$200,0)),""))</f>
        <v/>
      </c>
      <c r="I50" s="30" t="str">
        <f>IF($H50="","",INDEX(Teams!$E$2:$E$65,($B50-1)*8+$H50))</f>
        <v/>
      </c>
      <c r="J50" s="34" t="str">
        <f>IF($G50="","",IFERROR(INDEX('Match Entry'!$F$5:$F$228,5+($B50-1)*Setup!$B$13+$D50-1-4),""))</f>
        <v/>
      </c>
      <c r="K50" s="35" t="str">
        <f>IF($G50="","",IFERROR(INDEX('Match Entry'!$G$5:$G$228,5+($B50-1)*Setup!$B$13+$D50-1-4),""))</f>
        <v/>
      </c>
      <c r="L50" s="34" t="str">
        <f>IF($G50="","",IFERROR(INDEX('Match Entry'!$H$5:$H$228,5+($B50-1)*Setup!$B$13+$D50-1-4),""))</f>
        <v/>
      </c>
      <c r="M50" s="35" t="str">
        <f>IF($G50="","",IFERROR(INDEX('Match Entry'!$I$5:$I$228,5+($B50-1)*Setup!$B$13+$D50-1-4),""))</f>
        <v/>
      </c>
      <c r="N50" s="34" t="str">
        <f>IF($G50="","",IFERROR(INDEX('Match Entry'!$J$5:$J$228,5+($B50-1)*Setup!$B$13+$D50-1-4),""))</f>
        <v/>
      </c>
      <c r="O50" s="35" t="str">
        <f>IF($G50="","",IFERROR(INDEX('Match Entry'!$K$5:$K$228,5+($B50-1)*Setup!$B$13+$D50-1-4),""))</f>
        <v/>
      </c>
      <c r="P50" s="34" t="str">
        <f>IF($G50="","",IFERROR(INDEX('Match Entry'!$L$5:$L$228,5+($B50-1)*Setup!$B$13+$D50-1-4),""))</f>
        <v/>
      </c>
      <c r="Q50" s="35" t="str">
        <f>IF($G50="","",IFERROR(INDEX('Match Entry'!$M$5:$M$228,5+($B50-1)*Setup!$B$13+$D50-1-4),""))</f>
        <v/>
      </c>
      <c r="R50" s="34" t="str">
        <f>IF($G50="","",IFERROR(INDEX('Match Entry'!$N$5:$N$228,5+($B50-1)*Setup!$B$13+$D50-1-4),""))</f>
        <v/>
      </c>
      <c r="S50" s="35" t="str">
        <f>IF($G50="","",IFERROR(INDEX('Match Entry'!$O$5:$O$228,5+($B50-1)*Setup!$B$13+$D50-1-4),""))</f>
        <v/>
      </c>
      <c r="T50" s="33" t="str">
        <f t="shared" si="2"/>
        <v/>
      </c>
      <c r="U50" s="33" t="str">
        <f t="shared" si="3"/>
        <v/>
      </c>
      <c r="V50" s="33" t="str">
        <f t="shared" si="4"/>
        <v/>
      </c>
      <c r="W50" s="33" t="str">
        <f t="shared" si="5"/>
        <v/>
      </c>
      <c r="X50" s="30" t="str">
        <f>IF(OR($G50="",$I50=""),"",IF(OR($T50&gt;=Setup!$B$8,$U50&gt;=Setup!$B$8),1,""))</f>
        <v/>
      </c>
      <c r="Y50" s="30" t="str">
        <f t="shared" si="6"/>
        <v/>
      </c>
      <c r="Z50" s="33" t="str">
        <f>IF($X50=1,IF($T50&gt;$U50,Setup!$B$9,Setup!$B$10),"")</f>
        <v/>
      </c>
      <c r="AA50" s="33" t="str">
        <f>IF($X50=1,IF($U50&gt;$T50,Setup!$B$9,Setup!$B$10),"")</f>
        <v/>
      </c>
      <c r="AB50" s="30" t="str">
        <f t="shared" si="7"/>
        <v/>
      </c>
      <c r="AC50" s="30" t="str">
        <f t="shared" si="8"/>
        <v/>
      </c>
      <c r="AD50" s="30" t="str">
        <f t="shared" si="9"/>
        <v/>
      </c>
    </row>
    <row r="51" spans="1:30">
      <c r="A51" s="29">
        <v>50</v>
      </c>
      <c r="B51" s="29" t="str">
        <f>IF(INT(($A51-1)/28)+1&lt;=Setup!$B$5,INT(($A51-1)/28)+1,"")</f>
        <v/>
      </c>
      <c r="C51" s="29" t="str">
        <f t="shared" si="0"/>
        <v/>
      </c>
      <c r="D51" s="29">
        <f t="shared" si="1"/>
        <v>22</v>
      </c>
      <c r="E51" s="29" t="str">
        <f>IF($B51="","",IFERROR(INDEX('Fixture Library'!$C$2:$C$200,MATCH(Setup!$B$6*100+$D51,'Fixture Library'!$F$2:$F$200,0)),""))</f>
        <v/>
      </c>
      <c r="F51" s="30" t="str">
        <f>IF($B51="","",IFERROR(INDEX('Fixture Library'!$D$2:$D$200,MATCH(Setup!$B$6*100+$D51,'Fixture Library'!$F$2:$F$200,0)),""))</f>
        <v/>
      </c>
      <c r="G51" s="30" t="str">
        <f>IF($F51="","",INDEX(Teams!$E$2:$E$65,($B51-1)*8+$F51))</f>
        <v/>
      </c>
      <c r="H51" s="30" t="str">
        <f>IF($B51="","",IFERROR(INDEX('Fixture Library'!$E$2:$E$200,MATCH(Setup!$B$6*100+$D51,'Fixture Library'!$F$2:$F$200,0)),""))</f>
        <v/>
      </c>
      <c r="I51" s="30" t="str">
        <f>IF($H51="","",INDEX(Teams!$E$2:$E$65,($B51-1)*8+$H51))</f>
        <v/>
      </c>
      <c r="J51" s="34" t="str">
        <f>IF($G51="","",IFERROR(INDEX('Match Entry'!$F$5:$F$228,5+($B51-1)*Setup!$B$13+$D51-1-4),""))</f>
        <v/>
      </c>
      <c r="K51" s="35" t="str">
        <f>IF($G51="","",IFERROR(INDEX('Match Entry'!$G$5:$G$228,5+($B51-1)*Setup!$B$13+$D51-1-4),""))</f>
        <v/>
      </c>
      <c r="L51" s="34" t="str">
        <f>IF($G51="","",IFERROR(INDEX('Match Entry'!$H$5:$H$228,5+($B51-1)*Setup!$B$13+$D51-1-4),""))</f>
        <v/>
      </c>
      <c r="M51" s="35" t="str">
        <f>IF($G51="","",IFERROR(INDEX('Match Entry'!$I$5:$I$228,5+($B51-1)*Setup!$B$13+$D51-1-4),""))</f>
        <v/>
      </c>
      <c r="N51" s="34" t="str">
        <f>IF($G51="","",IFERROR(INDEX('Match Entry'!$J$5:$J$228,5+($B51-1)*Setup!$B$13+$D51-1-4),""))</f>
        <v/>
      </c>
      <c r="O51" s="35" t="str">
        <f>IF($G51="","",IFERROR(INDEX('Match Entry'!$K$5:$K$228,5+($B51-1)*Setup!$B$13+$D51-1-4),""))</f>
        <v/>
      </c>
      <c r="P51" s="34" t="str">
        <f>IF($G51="","",IFERROR(INDEX('Match Entry'!$L$5:$L$228,5+($B51-1)*Setup!$B$13+$D51-1-4),""))</f>
        <v/>
      </c>
      <c r="Q51" s="35" t="str">
        <f>IF($G51="","",IFERROR(INDEX('Match Entry'!$M$5:$M$228,5+($B51-1)*Setup!$B$13+$D51-1-4),""))</f>
        <v/>
      </c>
      <c r="R51" s="34" t="str">
        <f>IF($G51="","",IFERROR(INDEX('Match Entry'!$N$5:$N$228,5+($B51-1)*Setup!$B$13+$D51-1-4),""))</f>
        <v/>
      </c>
      <c r="S51" s="35" t="str">
        <f>IF($G51="","",IFERROR(INDEX('Match Entry'!$O$5:$O$228,5+($B51-1)*Setup!$B$13+$D51-1-4),""))</f>
        <v/>
      </c>
      <c r="T51" s="33" t="str">
        <f t="shared" si="2"/>
        <v/>
      </c>
      <c r="U51" s="33" t="str">
        <f t="shared" si="3"/>
        <v/>
      </c>
      <c r="V51" s="33" t="str">
        <f t="shared" si="4"/>
        <v/>
      </c>
      <c r="W51" s="33" t="str">
        <f t="shared" si="5"/>
        <v/>
      </c>
      <c r="X51" s="30" t="str">
        <f>IF(OR($G51="",$I51=""),"",IF(OR($T51&gt;=Setup!$B$8,$U51&gt;=Setup!$B$8),1,""))</f>
        <v/>
      </c>
      <c r="Y51" s="30" t="str">
        <f t="shared" si="6"/>
        <v/>
      </c>
      <c r="Z51" s="33" t="str">
        <f>IF($X51=1,IF($T51&gt;$U51,Setup!$B$9,Setup!$B$10),"")</f>
        <v/>
      </c>
      <c r="AA51" s="33" t="str">
        <f>IF($X51=1,IF($U51&gt;$T51,Setup!$B$9,Setup!$B$10),"")</f>
        <v/>
      </c>
      <c r="AB51" s="30" t="str">
        <f t="shared" si="7"/>
        <v/>
      </c>
      <c r="AC51" s="30" t="str">
        <f t="shared" si="8"/>
        <v/>
      </c>
      <c r="AD51" s="30" t="str">
        <f t="shared" si="9"/>
        <v/>
      </c>
    </row>
    <row r="52" spans="1:30">
      <c r="A52" s="29">
        <v>51</v>
      </c>
      <c r="B52" s="29" t="str">
        <f>IF(INT(($A52-1)/28)+1&lt;=Setup!$B$5,INT(($A52-1)/28)+1,"")</f>
        <v/>
      </c>
      <c r="C52" s="29" t="str">
        <f t="shared" si="0"/>
        <v/>
      </c>
      <c r="D52" s="29">
        <f t="shared" si="1"/>
        <v>23</v>
      </c>
      <c r="E52" s="29" t="str">
        <f>IF($B52="","",IFERROR(INDEX('Fixture Library'!$C$2:$C$200,MATCH(Setup!$B$6*100+$D52,'Fixture Library'!$F$2:$F$200,0)),""))</f>
        <v/>
      </c>
      <c r="F52" s="30" t="str">
        <f>IF($B52="","",IFERROR(INDEX('Fixture Library'!$D$2:$D$200,MATCH(Setup!$B$6*100+$D52,'Fixture Library'!$F$2:$F$200,0)),""))</f>
        <v/>
      </c>
      <c r="G52" s="30" t="str">
        <f>IF($F52="","",INDEX(Teams!$E$2:$E$65,($B52-1)*8+$F52))</f>
        <v/>
      </c>
      <c r="H52" s="30" t="str">
        <f>IF($B52="","",IFERROR(INDEX('Fixture Library'!$E$2:$E$200,MATCH(Setup!$B$6*100+$D52,'Fixture Library'!$F$2:$F$200,0)),""))</f>
        <v/>
      </c>
      <c r="I52" s="30" t="str">
        <f>IF($H52="","",INDEX(Teams!$E$2:$E$65,($B52-1)*8+$H52))</f>
        <v/>
      </c>
      <c r="J52" s="34" t="str">
        <f>IF($G52="","",IFERROR(INDEX('Match Entry'!$F$5:$F$228,5+($B52-1)*Setup!$B$13+$D52-1-4),""))</f>
        <v/>
      </c>
      <c r="K52" s="35" t="str">
        <f>IF($G52="","",IFERROR(INDEX('Match Entry'!$G$5:$G$228,5+($B52-1)*Setup!$B$13+$D52-1-4),""))</f>
        <v/>
      </c>
      <c r="L52" s="34" t="str">
        <f>IF($G52="","",IFERROR(INDEX('Match Entry'!$H$5:$H$228,5+($B52-1)*Setup!$B$13+$D52-1-4),""))</f>
        <v/>
      </c>
      <c r="M52" s="35" t="str">
        <f>IF($G52="","",IFERROR(INDEX('Match Entry'!$I$5:$I$228,5+($B52-1)*Setup!$B$13+$D52-1-4),""))</f>
        <v/>
      </c>
      <c r="N52" s="34" t="str">
        <f>IF($G52="","",IFERROR(INDEX('Match Entry'!$J$5:$J$228,5+($B52-1)*Setup!$B$13+$D52-1-4),""))</f>
        <v/>
      </c>
      <c r="O52" s="35" t="str">
        <f>IF($G52="","",IFERROR(INDEX('Match Entry'!$K$5:$K$228,5+($B52-1)*Setup!$B$13+$D52-1-4),""))</f>
        <v/>
      </c>
      <c r="P52" s="34" t="str">
        <f>IF($G52="","",IFERROR(INDEX('Match Entry'!$L$5:$L$228,5+($B52-1)*Setup!$B$13+$D52-1-4),""))</f>
        <v/>
      </c>
      <c r="Q52" s="35" t="str">
        <f>IF($G52="","",IFERROR(INDEX('Match Entry'!$M$5:$M$228,5+($B52-1)*Setup!$B$13+$D52-1-4),""))</f>
        <v/>
      </c>
      <c r="R52" s="34" t="str">
        <f>IF($G52="","",IFERROR(INDEX('Match Entry'!$N$5:$N$228,5+($B52-1)*Setup!$B$13+$D52-1-4),""))</f>
        <v/>
      </c>
      <c r="S52" s="35" t="str">
        <f>IF($G52="","",IFERROR(INDEX('Match Entry'!$O$5:$O$228,5+($B52-1)*Setup!$B$13+$D52-1-4),""))</f>
        <v/>
      </c>
      <c r="T52" s="33" t="str">
        <f t="shared" si="2"/>
        <v/>
      </c>
      <c r="U52" s="33" t="str">
        <f t="shared" si="3"/>
        <v/>
      </c>
      <c r="V52" s="33" t="str">
        <f t="shared" si="4"/>
        <v/>
      </c>
      <c r="W52" s="33" t="str">
        <f t="shared" si="5"/>
        <v/>
      </c>
      <c r="X52" s="30" t="str">
        <f>IF(OR($G52="",$I52=""),"",IF(OR($T52&gt;=Setup!$B$8,$U52&gt;=Setup!$B$8),1,""))</f>
        <v/>
      </c>
      <c r="Y52" s="30" t="str">
        <f t="shared" si="6"/>
        <v/>
      </c>
      <c r="Z52" s="33" t="str">
        <f>IF($X52=1,IF($T52&gt;$U52,Setup!$B$9,Setup!$B$10),"")</f>
        <v/>
      </c>
      <c r="AA52" s="33" t="str">
        <f>IF($X52=1,IF($U52&gt;$T52,Setup!$B$9,Setup!$B$10),"")</f>
        <v/>
      </c>
      <c r="AB52" s="30" t="str">
        <f t="shared" si="7"/>
        <v/>
      </c>
      <c r="AC52" s="30" t="str">
        <f t="shared" si="8"/>
        <v/>
      </c>
      <c r="AD52" s="30" t="str">
        <f t="shared" si="9"/>
        <v/>
      </c>
    </row>
    <row r="53" spans="1:30">
      <c r="A53" s="29">
        <v>52</v>
      </c>
      <c r="B53" s="29" t="str">
        <f>IF(INT(($A53-1)/28)+1&lt;=Setup!$B$5,INT(($A53-1)/28)+1,"")</f>
        <v/>
      </c>
      <c r="C53" s="29" t="str">
        <f t="shared" si="0"/>
        <v/>
      </c>
      <c r="D53" s="29">
        <f t="shared" si="1"/>
        <v>24</v>
      </c>
      <c r="E53" s="29" t="str">
        <f>IF($B53="","",IFERROR(INDEX('Fixture Library'!$C$2:$C$200,MATCH(Setup!$B$6*100+$D53,'Fixture Library'!$F$2:$F$200,0)),""))</f>
        <v/>
      </c>
      <c r="F53" s="30" t="str">
        <f>IF($B53="","",IFERROR(INDEX('Fixture Library'!$D$2:$D$200,MATCH(Setup!$B$6*100+$D53,'Fixture Library'!$F$2:$F$200,0)),""))</f>
        <v/>
      </c>
      <c r="G53" s="30" t="str">
        <f>IF($F53="","",INDEX(Teams!$E$2:$E$65,($B53-1)*8+$F53))</f>
        <v/>
      </c>
      <c r="H53" s="30" t="str">
        <f>IF($B53="","",IFERROR(INDEX('Fixture Library'!$E$2:$E$200,MATCH(Setup!$B$6*100+$D53,'Fixture Library'!$F$2:$F$200,0)),""))</f>
        <v/>
      </c>
      <c r="I53" s="30" t="str">
        <f>IF($H53="","",INDEX(Teams!$E$2:$E$65,($B53-1)*8+$H53))</f>
        <v/>
      </c>
      <c r="J53" s="34" t="str">
        <f>IF($G53="","",IFERROR(INDEX('Match Entry'!$F$5:$F$228,5+($B53-1)*Setup!$B$13+$D53-1-4),""))</f>
        <v/>
      </c>
      <c r="K53" s="35" t="str">
        <f>IF($G53="","",IFERROR(INDEX('Match Entry'!$G$5:$G$228,5+($B53-1)*Setup!$B$13+$D53-1-4),""))</f>
        <v/>
      </c>
      <c r="L53" s="34" t="str">
        <f>IF($G53="","",IFERROR(INDEX('Match Entry'!$H$5:$H$228,5+($B53-1)*Setup!$B$13+$D53-1-4),""))</f>
        <v/>
      </c>
      <c r="M53" s="35" t="str">
        <f>IF($G53="","",IFERROR(INDEX('Match Entry'!$I$5:$I$228,5+($B53-1)*Setup!$B$13+$D53-1-4),""))</f>
        <v/>
      </c>
      <c r="N53" s="34" t="str">
        <f>IF($G53="","",IFERROR(INDEX('Match Entry'!$J$5:$J$228,5+($B53-1)*Setup!$B$13+$D53-1-4),""))</f>
        <v/>
      </c>
      <c r="O53" s="35" t="str">
        <f>IF($G53="","",IFERROR(INDEX('Match Entry'!$K$5:$K$228,5+($B53-1)*Setup!$B$13+$D53-1-4),""))</f>
        <v/>
      </c>
      <c r="P53" s="34" t="str">
        <f>IF($G53="","",IFERROR(INDEX('Match Entry'!$L$5:$L$228,5+($B53-1)*Setup!$B$13+$D53-1-4),""))</f>
        <v/>
      </c>
      <c r="Q53" s="35" t="str">
        <f>IF($G53="","",IFERROR(INDEX('Match Entry'!$M$5:$M$228,5+($B53-1)*Setup!$B$13+$D53-1-4),""))</f>
        <v/>
      </c>
      <c r="R53" s="34" t="str">
        <f>IF($G53="","",IFERROR(INDEX('Match Entry'!$N$5:$N$228,5+($B53-1)*Setup!$B$13+$D53-1-4),""))</f>
        <v/>
      </c>
      <c r="S53" s="35" t="str">
        <f>IF($G53="","",IFERROR(INDEX('Match Entry'!$O$5:$O$228,5+($B53-1)*Setup!$B$13+$D53-1-4),""))</f>
        <v/>
      </c>
      <c r="T53" s="33" t="str">
        <f t="shared" si="2"/>
        <v/>
      </c>
      <c r="U53" s="33" t="str">
        <f t="shared" si="3"/>
        <v/>
      </c>
      <c r="V53" s="33" t="str">
        <f t="shared" si="4"/>
        <v/>
      </c>
      <c r="W53" s="33" t="str">
        <f t="shared" si="5"/>
        <v/>
      </c>
      <c r="X53" s="30" t="str">
        <f>IF(OR($G53="",$I53=""),"",IF(OR($T53&gt;=Setup!$B$8,$U53&gt;=Setup!$B$8),1,""))</f>
        <v/>
      </c>
      <c r="Y53" s="30" t="str">
        <f t="shared" si="6"/>
        <v/>
      </c>
      <c r="Z53" s="33" t="str">
        <f>IF($X53=1,IF($T53&gt;$U53,Setup!$B$9,Setup!$B$10),"")</f>
        <v/>
      </c>
      <c r="AA53" s="33" t="str">
        <f>IF($X53=1,IF($U53&gt;$T53,Setup!$B$9,Setup!$B$10),"")</f>
        <v/>
      </c>
      <c r="AB53" s="30" t="str">
        <f t="shared" si="7"/>
        <v/>
      </c>
      <c r="AC53" s="30" t="str">
        <f t="shared" si="8"/>
        <v/>
      </c>
      <c r="AD53" s="30" t="str">
        <f t="shared" si="9"/>
        <v/>
      </c>
    </row>
    <row r="54" spans="1:30">
      <c r="A54" s="29">
        <v>53</v>
      </c>
      <c r="B54" s="29" t="str">
        <f>IF(INT(($A54-1)/28)+1&lt;=Setup!$B$5,INT(($A54-1)/28)+1,"")</f>
        <v/>
      </c>
      <c r="C54" s="29" t="str">
        <f t="shared" si="0"/>
        <v/>
      </c>
      <c r="D54" s="29">
        <f t="shared" si="1"/>
        <v>25</v>
      </c>
      <c r="E54" s="29" t="str">
        <f>IF($B54="","",IFERROR(INDEX('Fixture Library'!$C$2:$C$200,MATCH(Setup!$B$6*100+$D54,'Fixture Library'!$F$2:$F$200,0)),""))</f>
        <v/>
      </c>
      <c r="F54" s="30" t="str">
        <f>IF($B54="","",IFERROR(INDEX('Fixture Library'!$D$2:$D$200,MATCH(Setup!$B$6*100+$D54,'Fixture Library'!$F$2:$F$200,0)),""))</f>
        <v/>
      </c>
      <c r="G54" s="30" t="str">
        <f>IF($F54="","",INDEX(Teams!$E$2:$E$65,($B54-1)*8+$F54))</f>
        <v/>
      </c>
      <c r="H54" s="30" t="str">
        <f>IF($B54="","",IFERROR(INDEX('Fixture Library'!$E$2:$E$200,MATCH(Setup!$B$6*100+$D54,'Fixture Library'!$F$2:$F$200,0)),""))</f>
        <v/>
      </c>
      <c r="I54" s="30" t="str">
        <f>IF($H54="","",INDEX(Teams!$E$2:$E$65,($B54-1)*8+$H54))</f>
        <v/>
      </c>
      <c r="J54" s="34" t="str">
        <f>IF($G54="","",IFERROR(INDEX('Match Entry'!$F$5:$F$228,5+($B54-1)*Setup!$B$13+$D54-1-4),""))</f>
        <v/>
      </c>
      <c r="K54" s="35" t="str">
        <f>IF($G54="","",IFERROR(INDEX('Match Entry'!$G$5:$G$228,5+($B54-1)*Setup!$B$13+$D54-1-4),""))</f>
        <v/>
      </c>
      <c r="L54" s="34" t="str">
        <f>IF($G54="","",IFERROR(INDEX('Match Entry'!$H$5:$H$228,5+($B54-1)*Setup!$B$13+$D54-1-4),""))</f>
        <v/>
      </c>
      <c r="M54" s="35" t="str">
        <f>IF($G54="","",IFERROR(INDEX('Match Entry'!$I$5:$I$228,5+($B54-1)*Setup!$B$13+$D54-1-4),""))</f>
        <v/>
      </c>
      <c r="N54" s="34" t="str">
        <f>IF($G54="","",IFERROR(INDEX('Match Entry'!$J$5:$J$228,5+($B54-1)*Setup!$B$13+$D54-1-4),""))</f>
        <v/>
      </c>
      <c r="O54" s="35" t="str">
        <f>IF($G54="","",IFERROR(INDEX('Match Entry'!$K$5:$K$228,5+($B54-1)*Setup!$B$13+$D54-1-4),""))</f>
        <v/>
      </c>
      <c r="P54" s="34" t="str">
        <f>IF($G54="","",IFERROR(INDEX('Match Entry'!$L$5:$L$228,5+($B54-1)*Setup!$B$13+$D54-1-4),""))</f>
        <v/>
      </c>
      <c r="Q54" s="35" t="str">
        <f>IF($G54="","",IFERROR(INDEX('Match Entry'!$M$5:$M$228,5+($B54-1)*Setup!$B$13+$D54-1-4),""))</f>
        <v/>
      </c>
      <c r="R54" s="34" t="str">
        <f>IF($G54="","",IFERROR(INDEX('Match Entry'!$N$5:$N$228,5+($B54-1)*Setup!$B$13+$D54-1-4),""))</f>
        <v/>
      </c>
      <c r="S54" s="35" t="str">
        <f>IF($G54="","",IFERROR(INDEX('Match Entry'!$O$5:$O$228,5+($B54-1)*Setup!$B$13+$D54-1-4),""))</f>
        <v/>
      </c>
      <c r="T54" s="33" t="str">
        <f t="shared" si="2"/>
        <v/>
      </c>
      <c r="U54" s="33" t="str">
        <f t="shared" si="3"/>
        <v/>
      </c>
      <c r="V54" s="33" t="str">
        <f t="shared" si="4"/>
        <v/>
      </c>
      <c r="W54" s="33" t="str">
        <f t="shared" si="5"/>
        <v/>
      </c>
      <c r="X54" s="30" t="str">
        <f>IF(OR($G54="",$I54=""),"",IF(OR($T54&gt;=Setup!$B$8,$U54&gt;=Setup!$B$8),1,""))</f>
        <v/>
      </c>
      <c r="Y54" s="30" t="str">
        <f t="shared" si="6"/>
        <v/>
      </c>
      <c r="Z54" s="33" t="str">
        <f>IF($X54=1,IF($T54&gt;$U54,Setup!$B$9,Setup!$B$10),"")</f>
        <v/>
      </c>
      <c r="AA54" s="33" t="str">
        <f>IF($X54=1,IF($U54&gt;$T54,Setup!$B$9,Setup!$B$10),"")</f>
        <v/>
      </c>
      <c r="AB54" s="30" t="str">
        <f t="shared" si="7"/>
        <v/>
      </c>
      <c r="AC54" s="30" t="str">
        <f t="shared" si="8"/>
        <v/>
      </c>
      <c r="AD54" s="30" t="str">
        <f t="shared" si="9"/>
        <v/>
      </c>
    </row>
    <row r="55" spans="1:30">
      <c r="A55" s="29">
        <v>54</v>
      </c>
      <c r="B55" s="29" t="str">
        <f>IF(INT(($A55-1)/28)+1&lt;=Setup!$B$5,INT(($A55-1)/28)+1,"")</f>
        <v/>
      </c>
      <c r="C55" s="29" t="str">
        <f t="shared" si="0"/>
        <v/>
      </c>
      <c r="D55" s="29">
        <f t="shared" si="1"/>
        <v>26</v>
      </c>
      <c r="E55" s="29" t="str">
        <f>IF($B55="","",IFERROR(INDEX('Fixture Library'!$C$2:$C$200,MATCH(Setup!$B$6*100+$D55,'Fixture Library'!$F$2:$F$200,0)),""))</f>
        <v/>
      </c>
      <c r="F55" s="30" t="str">
        <f>IF($B55="","",IFERROR(INDEX('Fixture Library'!$D$2:$D$200,MATCH(Setup!$B$6*100+$D55,'Fixture Library'!$F$2:$F$200,0)),""))</f>
        <v/>
      </c>
      <c r="G55" s="30" t="str">
        <f>IF($F55="","",INDEX(Teams!$E$2:$E$65,($B55-1)*8+$F55))</f>
        <v/>
      </c>
      <c r="H55" s="30" t="str">
        <f>IF($B55="","",IFERROR(INDEX('Fixture Library'!$E$2:$E$200,MATCH(Setup!$B$6*100+$D55,'Fixture Library'!$F$2:$F$200,0)),""))</f>
        <v/>
      </c>
      <c r="I55" s="30" t="str">
        <f>IF($H55="","",INDEX(Teams!$E$2:$E$65,($B55-1)*8+$H55))</f>
        <v/>
      </c>
      <c r="J55" s="34" t="str">
        <f>IF($G55="","",IFERROR(INDEX('Match Entry'!$F$5:$F$228,5+($B55-1)*Setup!$B$13+$D55-1-4),""))</f>
        <v/>
      </c>
      <c r="K55" s="35" t="str">
        <f>IF($G55="","",IFERROR(INDEX('Match Entry'!$G$5:$G$228,5+($B55-1)*Setup!$B$13+$D55-1-4),""))</f>
        <v/>
      </c>
      <c r="L55" s="34" t="str">
        <f>IF($G55="","",IFERROR(INDEX('Match Entry'!$H$5:$H$228,5+($B55-1)*Setup!$B$13+$D55-1-4),""))</f>
        <v/>
      </c>
      <c r="M55" s="35" t="str">
        <f>IF($G55="","",IFERROR(INDEX('Match Entry'!$I$5:$I$228,5+($B55-1)*Setup!$B$13+$D55-1-4),""))</f>
        <v/>
      </c>
      <c r="N55" s="34" t="str">
        <f>IF($G55="","",IFERROR(INDEX('Match Entry'!$J$5:$J$228,5+($B55-1)*Setup!$B$13+$D55-1-4),""))</f>
        <v/>
      </c>
      <c r="O55" s="35" t="str">
        <f>IF($G55="","",IFERROR(INDEX('Match Entry'!$K$5:$K$228,5+($B55-1)*Setup!$B$13+$D55-1-4),""))</f>
        <v/>
      </c>
      <c r="P55" s="34" t="str">
        <f>IF($G55="","",IFERROR(INDEX('Match Entry'!$L$5:$L$228,5+($B55-1)*Setup!$B$13+$D55-1-4),""))</f>
        <v/>
      </c>
      <c r="Q55" s="35" t="str">
        <f>IF($G55="","",IFERROR(INDEX('Match Entry'!$M$5:$M$228,5+($B55-1)*Setup!$B$13+$D55-1-4),""))</f>
        <v/>
      </c>
      <c r="R55" s="34" t="str">
        <f>IF($G55="","",IFERROR(INDEX('Match Entry'!$N$5:$N$228,5+($B55-1)*Setup!$B$13+$D55-1-4),""))</f>
        <v/>
      </c>
      <c r="S55" s="35" t="str">
        <f>IF($G55="","",IFERROR(INDEX('Match Entry'!$O$5:$O$228,5+($B55-1)*Setup!$B$13+$D55-1-4),""))</f>
        <v/>
      </c>
      <c r="T55" s="33" t="str">
        <f t="shared" si="2"/>
        <v/>
      </c>
      <c r="U55" s="33" t="str">
        <f t="shared" si="3"/>
        <v/>
      </c>
      <c r="V55" s="33" t="str">
        <f t="shared" si="4"/>
        <v/>
      </c>
      <c r="W55" s="33" t="str">
        <f t="shared" si="5"/>
        <v/>
      </c>
      <c r="X55" s="30" t="str">
        <f>IF(OR($G55="",$I55=""),"",IF(OR($T55&gt;=Setup!$B$8,$U55&gt;=Setup!$B$8),1,""))</f>
        <v/>
      </c>
      <c r="Y55" s="30" t="str">
        <f t="shared" si="6"/>
        <v/>
      </c>
      <c r="Z55" s="33" t="str">
        <f>IF($X55=1,IF($T55&gt;$U55,Setup!$B$9,Setup!$B$10),"")</f>
        <v/>
      </c>
      <c r="AA55" s="33" t="str">
        <f>IF($X55=1,IF($U55&gt;$T55,Setup!$B$9,Setup!$B$10),"")</f>
        <v/>
      </c>
      <c r="AB55" s="30" t="str">
        <f t="shared" si="7"/>
        <v/>
      </c>
      <c r="AC55" s="30" t="str">
        <f t="shared" si="8"/>
        <v/>
      </c>
      <c r="AD55" s="30" t="str">
        <f t="shared" si="9"/>
        <v/>
      </c>
    </row>
    <row r="56" spans="1:30">
      <c r="A56" s="29">
        <v>55</v>
      </c>
      <c r="B56" s="29" t="str">
        <f>IF(INT(($A56-1)/28)+1&lt;=Setup!$B$5,INT(($A56-1)/28)+1,"")</f>
        <v/>
      </c>
      <c r="C56" s="29" t="str">
        <f t="shared" si="0"/>
        <v/>
      </c>
      <c r="D56" s="29">
        <f t="shared" si="1"/>
        <v>27</v>
      </c>
      <c r="E56" s="29" t="str">
        <f>IF($B56="","",IFERROR(INDEX('Fixture Library'!$C$2:$C$200,MATCH(Setup!$B$6*100+$D56,'Fixture Library'!$F$2:$F$200,0)),""))</f>
        <v/>
      </c>
      <c r="F56" s="30" t="str">
        <f>IF($B56="","",IFERROR(INDEX('Fixture Library'!$D$2:$D$200,MATCH(Setup!$B$6*100+$D56,'Fixture Library'!$F$2:$F$200,0)),""))</f>
        <v/>
      </c>
      <c r="G56" s="30" t="str">
        <f>IF($F56="","",INDEX(Teams!$E$2:$E$65,($B56-1)*8+$F56))</f>
        <v/>
      </c>
      <c r="H56" s="30" t="str">
        <f>IF($B56="","",IFERROR(INDEX('Fixture Library'!$E$2:$E$200,MATCH(Setup!$B$6*100+$D56,'Fixture Library'!$F$2:$F$200,0)),""))</f>
        <v/>
      </c>
      <c r="I56" s="30" t="str">
        <f>IF($H56="","",INDEX(Teams!$E$2:$E$65,($B56-1)*8+$H56))</f>
        <v/>
      </c>
      <c r="J56" s="34" t="str">
        <f>IF($G56="","",IFERROR(INDEX('Match Entry'!$F$5:$F$228,5+($B56-1)*Setup!$B$13+$D56-1-4),""))</f>
        <v/>
      </c>
      <c r="K56" s="35" t="str">
        <f>IF($G56="","",IFERROR(INDEX('Match Entry'!$G$5:$G$228,5+($B56-1)*Setup!$B$13+$D56-1-4),""))</f>
        <v/>
      </c>
      <c r="L56" s="34" t="str">
        <f>IF($G56="","",IFERROR(INDEX('Match Entry'!$H$5:$H$228,5+($B56-1)*Setup!$B$13+$D56-1-4),""))</f>
        <v/>
      </c>
      <c r="M56" s="35" t="str">
        <f>IF($G56="","",IFERROR(INDEX('Match Entry'!$I$5:$I$228,5+($B56-1)*Setup!$B$13+$D56-1-4),""))</f>
        <v/>
      </c>
      <c r="N56" s="34" t="str">
        <f>IF($G56="","",IFERROR(INDEX('Match Entry'!$J$5:$J$228,5+($B56-1)*Setup!$B$13+$D56-1-4),""))</f>
        <v/>
      </c>
      <c r="O56" s="35" t="str">
        <f>IF($G56="","",IFERROR(INDEX('Match Entry'!$K$5:$K$228,5+($B56-1)*Setup!$B$13+$D56-1-4),""))</f>
        <v/>
      </c>
      <c r="P56" s="34" t="str">
        <f>IF($G56="","",IFERROR(INDEX('Match Entry'!$L$5:$L$228,5+($B56-1)*Setup!$B$13+$D56-1-4),""))</f>
        <v/>
      </c>
      <c r="Q56" s="35" t="str">
        <f>IF($G56="","",IFERROR(INDEX('Match Entry'!$M$5:$M$228,5+($B56-1)*Setup!$B$13+$D56-1-4),""))</f>
        <v/>
      </c>
      <c r="R56" s="34" t="str">
        <f>IF($G56="","",IFERROR(INDEX('Match Entry'!$N$5:$N$228,5+($B56-1)*Setup!$B$13+$D56-1-4),""))</f>
        <v/>
      </c>
      <c r="S56" s="35" t="str">
        <f>IF($G56="","",IFERROR(INDEX('Match Entry'!$O$5:$O$228,5+($B56-1)*Setup!$B$13+$D56-1-4),""))</f>
        <v/>
      </c>
      <c r="T56" s="33" t="str">
        <f t="shared" si="2"/>
        <v/>
      </c>
      <c r="U56" s="33" t="str">
        <f t="shared" si="3"/>
        <v/>
      </c>
      <c r="V56" s="33" t="str">
        <f t="shared" si="4"/>
        <v/>
      </c>
      <c r="W56" s="33" t="str">
        <f t="shared" si="5"/>
        <v/>
      </c>
      <c r="X56" s="30" t="str">
        <f>IF(OR($G56="",$I56=""),"",IF(OR($T56&gt;=Setup!$B$8,$U56&gt;=Setup!$B$8),1,""))</f>
        <v/>
      </c>
      <c r="Y56" s="30" t="str">
        <f t="shared" si="6"/>
        <v/>
      </c>
      <c r="Z56" s="33" t="str">
        <f>IF($X56=1,IF($T56&gt;$U56,Setup!$B$9,Setup!$B$10),"")</f>
        <v/>
      </c>
      <c r="AA56" s="33" t="str">
        <f>IF($X56=1,IF($U56&gt;$T56,Setup!$B$9,Setup!$B$10),"")</f>
        <v/>
      </c>
      <c r="AB56" s="30" t="str">
        <f t="shared" si="7"/>
        <v/>
      </c>
      <c r="AC56" s="30" t="str">
        <f t="shared" si="8"/>
        <v/>
      </c>
      <c r="AD56" s="30" t="str">
        <f t="shared" si="9"/>
        <v/>
      </c>
    </row>
    <row r="57" spans="1:30">
      <c r="A57" s="29">
        <v>56</v>
      </c>
      <c r="B57" s="29" t="str">
        <f>IF(INT(($A57-1)/28)+1&lt;=Setup!$B$5,INT(($A57-1)/28)+1,"")</f>
        <v/>
      </c>
      <c r="C57" s="29" t="str">
        <f t="shared" si="0"/>
        <v/>
      </c>
      <c r="D57" s="29">
        <f t="shared" si="1"/>
        <v>28</v>
      </c>
      <c r="E57" s="29" t="str">
        <f>IF($B57="","",IFERROR(INDEX('Fixture Library'!$C$2:$C$200,MATCH(Setup!$B$6*100+$D57,'Fixture Library'!$F$2:$F$200,0)),""))</f>
        <v/>
      </c>
      <c r="F57" s="30" t="str">
        <f>IF($B57="","",IFERROR(INDEX('Fixture Library'!$D$2:$D$200,MATCH(Setup!$B$6*100+$D57,'Fixture Library'!$F$2:$F$200,0)),""))</f>
        <v/>
      </c>
      <c r="G57" s="30" t="str">
        <f>IF($F57="","",INDEX(Teams!$E$2:$E$65,($B57-1)*8+$F57))</f>
        <v/>
      </c>
      <c r="H57" s="30" t="str">
        <f>IF($B57="","",IFERROR(INDEX('Fixture Library'!$E$2:$E$200,MATCH(Setup!$B$6*100+$D57,'Fixture Library'!$F$2:$F$200,0)),""))</f>
        <v/>
      </c>
      <c r="I57" s="30" t="str">
        <f>IF($H57="","",INDEX(Teams!$E$2:$E$65,($B57-1)*8+$H57))</f>
        <v/>
      </c>
      <c r="J57" s="34" t="str">
        <f>IF($G57="","",IFERROR(INDEX('Match Entry'!$F$5:$F$228,5+($B57-1)*Setup!$B$13+$D57-1-4),""))</f>
        <v/>
      </c>
      <c r="K57" s="35" t="str">
        <f>IF($G57="","",IFERROR(INDEX('Match Entry'!$G$5:$G$228,5+($B57-1)*Setup!$B$13+$D57-1-4),""))</f>
        <v/>
      </c>
      <c r="L57" s="34" t="str">
        <f>IF($G57="","",IFERROR(INDEX('Match Entry'!$H$5:$H$228,5+($B57-1)*Setup!$B$13+$D57-1-4),""))</f>
        <v/>
      </c>
      <c r="M57" s="35" t="str">
        <f>IF($G57="","",IFERROR(INDEX('Match Entry'!$I$5:$I$228,5+($B57-1)*Setup!$B$13+$D57-1-4),""))</f>
        <v/>
      </c>
      <c r="N57" s="34" t="str">
        <f>IF($G57="","",IFERROR(INDEX('Match Entry'!$J$5:$J$228,5+($B57-1)*Setup!$B$13+$D57-1-4),""))</f>
        <v/>
      </c>
      <c r="O57" s="35" t="str">
        <f>IF($G57="","",IFERROR(INDEX('Match Entry'!$K$5:$K$228,5+($B57-1)*Setup!$B$13+$D57-1-4),""))</f>
        <v/>
      </c>
      <c r="P57" s="34" t="str">
        <f>IF($G57="","",IFERROR(INDEX('Match Entry'!$L$5:$L$228,5+($B57-1)*Setup!$B$13+$D57-1-4),""))</f>
        <v/>
      </c>
      <c r="Q57" s="35" t="str">
        <f>IF($G57="","",IFERROR(INDEX('Match Entry'!$M$5:$M$228,5+($B57-1)*Setup!$B$13+$D57-1-4),""))</f>
        <v/>
      </c>
      <c r="R57" s="34" t="str">
        <f>IF($G57="","",IFERROR(INDEX('Match Entry'!$N$5:$N$228,5+($B57-1)*Setup!$B$13+$D57-1-4),""))</f>
        <v/>
      </c>
      <c r="S57" s="35" t="str">
        <f>IF($G57="","",IFERROR(INDEX('Match Entry'!$O$5:$O$228,5+($B57-1)*Setup!$B$13+$D57-1-4),""))</f>
        <v/>
      </c>
      <c r="T57" s="33" t="str">
        <f t="shared" si="2"/>
        <v/>
      </c>
      <c r="U57" s="33" t="str">
        <f t="shared" si="3"/>
        <v/>
      </c>
      <c r="V57" s="33" t="str">
        <f t="shared" si="4"/>
        <v/>
      </c>
      <c r="W57" s="33" t="str">
        <f t="shared" si="5"/>
        <v/>
      </c>
      <c r="X57" s="30" t="str">
        <f>IF(OR($G57="",$I57=""),"",IF(OR($T57&gt;=Setup!$B$8,$U57&gt;=Setup!$B$8),1,""))</f>
        <v/>
      </c>
      <c r="Y57" s="30" t="str">
        <f t="shared" si="6"/>
        <v/>
      </c>
      <c r="Z57" s="33" t="str">
        <f>IF($X57=1,IF($T57&gt;$U57,Setup!$B$9,Setup!$B$10),"")</f>
        <v/>
      </c>
      <c r="AA57" s="33" t="str">
        <f>IF($X57=1,IF($U57&gt;$T57,Setup!$B$9,Setup!$B$10),"")</f>
        <v/>
      </c>
      <c r="AB57" s="30" t="str">
        <f t="shared" si="7"/>
        <v/>
      </c>
      <c r="AC57" s="30" t="str">
        <f t="shared" si="8"/>
        <v/>
      </c>
      <c r="AD57" s="30" t="str">
        <f t="shared" si="9"/>
        <v/>
      </c>
    </row>
    <row r="58" spans="1:30">
      <c r="A58" s="29">
        <v>57</v>
      </c>
      <c r="B58" s="29" t="str">
        <f>IF(INT(($A58-1)/28)+1&lt;=Setup!$B$5,INT(($A58-1)/28)+1,"")</f>
        <v/>
      </c>
      <c r="C58" s="29" t="str">
        <f t="shared" si="0"/>
        <v/>
      </c>
      <c r="D58" s="29">
        <f t="shared" si="1"/>
        <v>1</v>
      </c>
      <c r="E58" s="29" t="str">
        <f>IF($B58="","",IFERROR(INDEX('Fixture Library'!$C$2:$C$200,MATCH(Setup!$B$6*100+$D58,'Fixture Library'!$F$2:$F$200,0)),""))</f>
        <v/>
      </c>
      <c r="F58" s="30" t="str">
        <f>IF($B58="","",IFERROR(INDEX('Fixture Library'!$D$2:$D$200,MATCH(Setup!$B$6*100+$D58,'Fixture Library'!$F$2:$F$200,0)),""))</f>
        <v/>
      </c>
      <c r="G58" s="30" t="str">
        <f>IF($F58="","",INDEX(Teams!$E$2:$E$65,($B58-1)*8+$F58))</f>
        <v/>
      </c>
      <c r="H58" s="30" t="str">
        <f>IF($B58="","",IFERROR(INDEX('Fixture Library'!$E$2:$E$200,MATCH(Setup!$B$6*100+$D58,'Fixture Library'!$F$2:$F$200,0)),""))</f>
        <v/>
      </c>
      <c r="I58" s="30" t="str">
        <f>IF($H58="","",INDEX(Teams!$E$2:$E$65,($B58-1)*8+$H58))</f>
        <v/>
      </c>
      <c r="J58" s="34" t="str">
        <f>IF($G58="","",IFERROR(INDEX('Match Entry'!$F$5:$F$228,5+($B58-1)*Setup!$B$13+$D58-1-4),""))</f>
        <v/>
      </c>
      <c r="K58" s="35" t="str">
        <f>IF($G58="","",IFERROR(INDEX('Match Entry'!$G$5:$G$228,5+($B58-1)*Setup!$B$13+$D58-1-4),""))</f>
        <v/>
      </c>
      <c r="L58" s="34" t="str">
        <f>IF($G58="","",IFERROR(INDEX('Match Entry'!$H$5:$H$228,5+($B58-1)*Setup!$B$13+$D58-1-4),""))</f>
        <v/>
      </c>
      <c r="M58" s="35" t="str">
        <f>IF($G58="","",IFERROR(INDEX('Match Entry'!$I$5:$I$228,5+($B58-1)*Setup!$B$13+$D58-1-4),""))</f>
        <v/>
      </c>
      <c r="N58" s="34" t="str">
        <f>IF($G58="","",IFERROR(INDEX('Match Entry'!$J$5:$J$228,5+($B58-1)*Setup!$B$13+$D58-1-4),""))</f>
        <v/>
      </c>
      <c r="O58" s="35" t="str">
        <f>IF($G58="","",IFERROR(INDEX('Match Entry'!$K$5:$K$228,5+($B58-1)*Setup!$B$13+$D58-1-4),""))</f>
        <v/>
      </c>
      <c r="P58" s="34" t="str">
        <f>IF($G58="","",IFERROR(INDEX('Match Entry'!$L$5:$L$228,5+($B58-1)*Setup!$B$13+$D58-1-4),""))</f>
        <v/>
      </c>
      <c r="Q58" s="35" t="str">
        <f>IF($G58="","",IFERROR(INDEX('Match Entry'!$M$5:$M$228,5+($B58-1)*Setup!$B$13+$D58-1-4),""))</f>
        <v/>
      </c>
      <c r="R58" s="34" t="str">
        <f>IF($G58="","",IFERROR(INDEX('Match Entry'!$N$5:$N$228,5+($B58-1)*Setup!$B$13+$D58-1-4),""))</f>
        <v/>
      </c>
      <c r="S58" s="35" t="str">
        <f>IF($G58="","",IFERROR(INDEX('Match Entry'!$O$5:$O$228,5+($B58-1)*Setup!$B$13+$D58-1-4),""))</f>
        <v/>
      </c>
      <c r="T58" s="33" t="str">
        <f t="shared" si="2"/>
        <v/>
      </c>
      <c r="U58" s="33" t="str">
        <f t="shared" si="3"/>
        <v/>
      </c>
      <c r="V58" s="33" t="str">
        <f t="shared" si="4"/>
        <v/>
      </c>
      <c r="W58" s="33" t="str">
        <f t="shared" si="5"/>
        <v/>
      </c>
      <c r="X58" s="30" t="str">
        <f>IF(OR($G58="",$I58=""),"",IF(OR($T58&gt;=Setup!$B$8,$U58&gt;=Setup!$B$8),1,""))</f>
        <v/>
      </c>
      <c r="Y58" s="30" t="str">
        <f t="shared" si="6"/>
        <v/>
      </c>
      <c r="Z58" s="33" t="str">
        <f>IF($X58=1,IF($T58&gt;$U58,Setup!$B$9,Setup!$B$10),"")</f>
        <v/>
      </c>
      <c r="AA58" s="33" t="str">
        <f>IF($X58=1,IF($U58&gt;$T58,Setup!$B$9,Setup!$B$10),"")</f>
        <v/>
      </c>
      <c r="AB58" s="30" t="str">
        <f t="shared" si="7"/>
        <v/>
      </c>
      <c r="AC58" s="30" t="str">
        <f t="shared" si="8"/>
        <v/>
      </c>
      <c r="AD58" s="30" t="str">
        <f t="shared" si="9"/>
        <v/>
      </c>
    </row>
    <row r="59" spans="1:30">
      <c r="A59" s="29">
        <v>58</v>
      </c>
      <c r="B59" s="29" t="str">
        <f>IF(INT(($A59-1)/28)+1&lt;=Setup!$B$5,INT(($A59-1)/28)+1,"")</f>
        <v/>
      </c>
      <c r="C59" s="29" t="str">
        <f t="shared" si="0"/>
        <v/>
      </c>
      <c r="D59" s="29">
        <f t="shared" si="1"/>
        <v>2</v>
      </c>
      <c r="E59" s="29" t="str">
        <f>IF($B59="","",IFERROR(INDEX('Fixture Library'!$C$2:$C$200,MATCH(Setup!$B$6*100+$D59,'Fixture Library'!$F$2:$F$200,0)),""))</f>
        <v/>
      </c>
      <c r="F59" s="30" t="str">
        <f>IF($B59="","",IFERROR(INDEX('Fixture Library'!$D$2:$D$200,MATCH(Setup!$B$6*100+$D59,'Fixture Library'!$F$2:$F$200,0)),""))</f>
        <v/>
      </c>
      <c r="G59" s="30" t="str">
        <f>IF($F59="","",INDEX(Teams!$E$2:$E$65,($B59-1)*8+$F59))</f>
        <v/>
      </c>
      <c r="H59" s="30" t="str">
        <f>IF($B59="","",IFERROR(INDEX('Fixture Library'!$E$2:$E$200,MATCH(Setup!$B$6*100+$D59,'Fixture Library'!$F$2:$F$200,0)),""))</f>
        <v/>
      </c>
      <c r="I59" s="30" t="str">
        <f>IF($H59="","",INDEX(Teams!$E$2:$E$65,($B59-1)*8+$H59))</f>
        <v/>
      </c>
      <c r="J59" s="34" t="str">
        <f>IF($G59="","",IFERROR(INDEX('Match Entry'!$F$5:$F$228,5+($B59-1)*Setup!$B$13+$D59-1-4),""))</f>
        <v/>
      </c>
      <c r="K59" s="35" t="str">
        <f>IF($G59="","",IFERROR(INDEX('Match Entry'!$G$5:$G$228,5+($B59-1)*Setup!$B$13+$D59-1-4),""))</f>
        <v/>
      </c>
      <c r="L59" s="34" t="str">
        <f>IF($G59="","",IFERROR(INDEX('Match Entry'!$H$5:$H$228,5+($B59-1)*Setup!$B$13+$D59-1-4),""))</f>
        <v/>
      </c>
      <c r="M59" s="35" t="str">
        <f>IF($G59="","",IFERROR(INDEX('Match Entry'!$I$5:$I$228,5+($B59-1)*Setup!$B$13+$D59-1-4),""))</f>
        <v/>
      </c>
      <c r="N59" s="34" t="str">
        <f>IF($G59="","",IFERROR(INDEX('Match Entry'!$J$5:$J$228,5+($B59-1)*Setup!$B$13+$D59-1-4),""))</f>
        <v/>
      </c>
      <c r="O59" s="35" t="str">
        <f>IF($G59="","",IFERROR(INDEX('Match Entry'!$K$5:$K$228,5+($B59-1)*Setup!$B$13+$D59-1-4),""))</f>
        <v/>
      </c>
      <c r="P59" s="34" t="str">
        <f>IF($G59="","",IFERROR(INDEX('Match Entry'!$L$5:$L$228,5+($B59-1)*Setup!$B$13+$D59-1-4),""))</f>
        <v/>
      </c>
      <c r="Q59" s="35" t="str">
        <f>IF($G59="","",IFERROR(INDEX('Match Entry'!$M$5:$M$228,5+($B59-1)*Setup!$B$13+$D59-1-4),""))</f>
        <v/>
      </c>
      <c r="R59" s="34" t="str">
        <f>IF($G59="","",IFERROR(INDEX('Match Entry'!$N$5:$N$228,5+($B59-1)*Setup!$B$13+$D59-1-4),""))</f>
        <v/>
      </c>
      <c r="S59" s="35" t="str">
        <f>IF($G59="","",IFERROR(INDEX('Match Entry'!$O$5:$O$228,5+($B59-1)*Setup!$B$13+$D59-1-4),""))</f>
        <v/>
      </c>
      <c r="T59" s="33" t="str">
        <f t="shared" si="2"/>
        <v/>
      </c>
      <c r="U59" s="33" t="str">
        <f t="shared" si="3"/>
        <v/>
      </c>
      <c r="V59" s="33" t="str">
        <f t="shared" si="4"/>
        <v/>
      </c>
      <c r="W59" s="33" t="str">
        <f t="shared" si="5"/>
        <v/>
      </c>
      <c r="X59" s="30" t="str">
        <f>IF(OR($G59="",$I59=""),"",IF(OR($T59&gt;=Setup!$B$8,$U59&gt;=Setup!$B$8),1,""))</f>
        <v/>
      </c>
      <c r="Y59" s="30" t="str">
        <f t="shared" si="6"/>
        <v/>
      </c>
      <c r="Z59" s="33" t="str">
        <f>IF($X59=1,IF($T59&gt;$U59,Setup!$B$9,Setup!$B$10),"")</f>
        <v/>
      </c>
      <c r="AA59" s="33" t="str">
        <f>IF($X59=1,IF($U59&gt;$T59,Setup!$B$9,Setup!$B$10),"")</f>
        <v/>
      </c>
      <c r="AB59" s="30" t="str">
        <f t="shared" si="7"/>
        <v/>
      </c>
      <c r="AC59" s="30" t="str">
        <f t="shared" si="8"/>
        <v/>
      </c>
      <c r="AD59" s="30" t="str">
        <f t="shared" si="9"/>
        <v/>
      </c>
    </row>
    <row r="60" spans="1:30">
      <c r="A60" s="29">
        <v>59</v>
      </c>
      <c r="B60" s="29" t="str">
        <f>IF(INT(($A60-1)/28)+1&lt;=Setup!$B$5,INT(($A60-1)/28)+1,"")</f>
        <v/>
      </c>
      <c r="C60" s="29" t="str">
        <f t="shared" si="0"/>
        <v/>
      </c>
      <c r="D60" s="29">
        <f t="shared" si="1"/>
        <v>3</v>
      </c>
      <c r="E60" s="29" t="str">
        <f>IF($B60="","",IFERROR(INDEX('Fixture Library'!$C$2:$C$200,MATCH(Setup!$B$6*100+$D60,'Fixture Library'!$F$2:$F$200,0)),""))</f>
        <v/>
      </c>
      <c r="F60" s="30" t="str">
        <f>IF($B60="","",IFERROR(INDEX('Fixture Library'!$D$2:$D$200,MATCH(Setup!$B$6*100+$D60,'Fixture Library'!$F$2:$F$200,0)),""))</f>
        <v/>
      </c>
      <c r="G60" s="30" t="str">
        <f>IF($F60="","",INDEX(Teams!$E$2:$E$65,($B60-1)*8+$F60))</f>
        <v/>
      </c>
      <c r="H60" s="30" t="str">
        <f>IF($B60="","",IFERROR(INDEX('Fixture Library'!$E$2:$E$200,MATCH(Setup!$B$6*100+$D60,'Fixture Library'!$F$2:$F$200,0)),""))</f>
        <v/>
      </c>
      <c r="I60" s="30" t="str">
        <f>IF($H60="","",INDEX(Teams!$E$2:$E$65,($B60-1)*8+$H60))</f>
        <v/>
      </c>
      <c r="J60" s="34" t="str">
        <f>IF($G60="","",IFERROR(INDEX('Match Entry'!$F$5:$F$228,5+($B60-1)*Setup!$B$13+$D60-1-4),""))</f>
        <v/>
      </c>
      <c r="K60" s="35" t="str">
        <f>IF($G60="","",IFERROR(INDEX('Match Entry'!$G$5:$G$228,5+($B60-1)*Setup!$B$13+$D60-1-4),""))</f>
        <v/>
      </c>
      <c r="L60" s="34" t="str">
        <f>IF($G60="","",IFERROR(INDEX('Match Entry'!$H$5:$H$228,5+($B60-1)*Setup!$B$13+$D60-1-4),""))</f>
        <v/>
      </c>
      <c r="M60" s="35" t="str">
        <f>IF($G60="","",IFERROR(INDEX('Match Entry'!$I$5:$I$228,5+($B60-1)*Setup!$B$13+$D60-1-4),""))</f>
        <v/>
      </c>
      <c r="N60" s="34" t="str">
        <f>IF($G60="","",IFERROR(INDEX('Match Entry'!$J$5:$J$228,5+($B60-1)*Setup!$B$13+$D60-1-4),""))</f>
        <v/>
      </c>
      <c r="O60" s="35" t="str">
        <f>IF($G60="","",IFERROR(INDEX('Match Entry'!$K$5:$K$228,5+($B60-1)*Setup!$B$13+$D60-1-4),""))</f>
        <v/>
      </c>
      <c r="P60" s="34" t="str">
        <f>IF($G60="","",IFERROR(INDEX('Match Entry'!$L$5:$L$228,5+($B60-1)*Setup!$B$13+$D60-1-4),""))</f>
        <v/>
      </c>
      <c r="Q60" s="35" t="str">
        <f>IF($G60="","",IFERROR(INDEX('Match Entry'!$M$5:$M$228,5+($B60-1)*Setup!$B$13+$D60-1-4),""))</f>
        <v/>
      </c>
      <c r="R60" s="34" t="str">
        <f>IF($G60="","",IFERROR(INDEX('Match Entry'!$N$5:$N$228,5+($B60-1)*Setup!$B$13+$D60-1-4),""))</f>
        <v/>
      </c>
      <c r="S60" s="35" t="str">
        <f>IF($G60="","",IFERROR(INDEX('Match Entry'!$O$5:$O$228,5+($B60-1)*Setup!$B$13+$D60-1-4),""))</f>
        <v/>
      </c>
      <c r="T60" s="33" t="str">
        <f t="shared" si="2"/>
        <v/>
      </c>
      <c r="U60" s="33" t="str">
        <f t="shared" si="3"/>
        <v/>
      </c>
      <c r="V60" s="33" t="str">
        <f t="shared" si="4"/>
        <v/>
      </c>
      <c r="W60" s="33" t="str">
        <f t="shared" si="5"/>
        <v/>
      </c>
      <c r="X60" s="30" t="str">
        <f>IF(OR($G60="",$I60=""),"",IF(OR($T60&gt;=Setup!$B$8,$U60&gt;=Setup!$B$8),1,""))</f>
        <v/>
      </c>
      <c r="Y60" s="30" t="str">
        <f t="shared" si="6"/>
        <v/>
      </c>
      <c r="Z60" s="33" t="str">
        <f>IF($X60=1,IF($T60&gt;$U60,Setup!$B$9,Setup!$B$10),"")</f>
        <v/>
      </c>
      <c r="AA60" s="33" t="str">
        <f>IF($X60=1,IF($U60&gt;$T60,Setup!$B$9,Setup!$B$10),"")</f>
        <v/>
      </c>
      <c r="AB60" s="30" t="str">
        <f t="shared" si="7"/>
        <v/>
      </c>
      <c r="AC60" s="30" t="str">
        <f t="shared" si="8"/>
        <v/>
      </c>
      <c r="AD60" s="30" t="str">
        <f t="shared" si="9"/>
        <v/>
      </c>
    </row>
    <row r="61" spans="1:30">
      <c r="A61" s="29">
        <v>60</v>
      </c>
      <c r="B61" s="29" t="str">
        <f>IF(INT(($A61-1)/28)+1&lt;=Setup!$B$5,INT(($A61-1)/28)+1,"")</f>
        <v/>
      </c>
      <c r="C61" s="29" t="str">
        <f t="shared" si="0"/>
        <v/>
      </c>
      <c r="D61" s="29">
        <f t="shared" si="1"/>
        <v>4</v>
      </c>
      <c r="E61" s="29" t="str">
        <f>IF($B61="","",IFERROR(INDEX('Fixture Library'!$C$2:$C$200,MATCH(Setup!$B$6*100+$D61,'Fixture Library'!$F$2:$F$200,0)),""))</f>
        <v/>
      </c>
      <c r="F61" s="30" t="str">
        <f>IF($B61="","",IFERROR(INDEX('Fixture Library'!$D$2:$D$200,MATCH(Setup!$B$6*100+$D61,'Fixture Library'!$F$2:$F$200,0)),""))</f>
        <v/>
      </c>
      <c r="G61" s="30" t="str">
        <f>IF($F61="","",INDEX(Teams!$E$2:$E$65,($B61-1)*8+$F61))</f>
        <v/>
      </c>
      <c r="H61" s="30" t="str">
        <f>IF($B61="","",IFERROR(INDEX('Fixture Library'!$E$2:$E$200,MATCH(Setup!$B$6*100+$D61,'Fixture Library'!$F$2:$F$200,0)),""))</f>
        <v/>
      </c>
      <c r="I61" s="30" t="str">
        <f>IF($H61="","",INDEX(Teams!$E$2:$E$65,($B61-1)*8+$H61))</f>
        <v/>
      </c>
      <c r="J61" s="34" t="str">
        <f>IF($G61="","",IFERROR(INDEX('Match Entry'!$F$5:$F$228,5+($B61-1)*Setup!$B$13+$D61-1-4),""))</f>
        <v/>
      </c>
      <c r="K61" s="35" t="str">
        <f>IF($G61="","",IFERROR(INDEX('Match Entry'!$G$5:$G$228,5+($B61-1)*Setup!$B$13+$D61-1-4),""))</f>
        <v/>
      </c>
      <c r="L61" s="34" t="str">
        <f>IF($G61="","",IFERROR(INDEX('Match Entry'!$H$5:$H$228,5+($B61-1)*Setup!$B$13+$D61-1-4),""))</f>
        <v/>
      </c>
      <c r="M61" s="35" t="str">
        <f>IF($G61="","",IFERROR(INDEX('Match Entry'!$I$5:$I$228,5+($B61-1)*Setup!$B$13+$D61-1-4),""))</f>
        <v/>
      </c>
      <c r="N61" s="34" t="str">
        <f>IF($G61="","",IFERROR(INDEX('Match Entry'!$J$5:$J$228,5+($B61-1)*Setup!$B$13+$D61-1-4),""))</f>
        <v/>
      </c>
      <c r="O61" s="35" t="str">
        <f>IF($G61="","",IFERROR(INDEX('Match Entry'!$K$5:$K$228,5+($B61-1)*Setup!$B$13+$D61-1-4),""))</f>
        <v/>
      </c>
      <c r="P61" s="34" t="str">
        <f>IF($G61="","",IFERROR(INDEX('Match Entry'!$L$5:$L$228,5+($B61-1)*Setup!$B$13+$D61-1-4),""))</f>
        <v/>
      </c>
      <c r="Q61" s="35" t="str">
        <f>IF($G61="","",IFERROR(INDEX('Match Entry'!$M$5:$M$228,5+($B61-1)*Setup!$B$13+$D61-1-4),""))</f>
        <v/>
      </c>
      <c r="R61" s="34" t="str">
        <f>IF($G61="","",IFERROR(INDEX('Match Entry'!$N$5:$N$228,5+($B61-1)*Setup!$B$13+$D61-1-4),""))</f>
        <v/>
      </c>
      <c r="S61" s="35" t="str">
        <f>IF($G61="","",IFERROR(INDEX('Match Entry'!$O$5:$O$228,5+($B61-1)*Setup!$B$13+$D61-1-4),""))</f>
        <v/>
      </c>
      <c r="T61" s="33" t="str">
        <f t="shared" si="2"/>
        <v/>
      </c>
      <c r="U61" s="33" t="str">
        <f t="shared" si="3"/>
        <v/>
      </c>
      <c r="V61" s="33" t="str">
        <f t="shared" si="4"/>
        <v/>
      </c>
      <c r="W61" s="33" t="str">
        <f t="shared" si="5"/>
        <v/>
      </c>
      <c r="X61" s="30" t="str">
        <f>IF(OR($G61="",$I61=""),"",IF(OR($T61&gt;=Setup!$B$8,$U61&gt;=Setup!$B$8),1,""))</f>
        <v/>
      </c>
      <c r="Y61" s="30" t="str">
        <f t="shared" si="6"/>
        <v/>
      </c>
      <c r="Z61" s="33" t="str">
        <f>IF($X61=1,IF($T61&gt;$U61,Setup!$B$9,Setup!$B$10),"")</f>
        <v/>
      </c>
      <c r="AA61" s="33" t="str">
        <f>IF($X61=1,IF($U61&gt;$T61,Setup!$B$9,Setup!$B$10),"")</f>
        <v/>
      </c>
      <c r="AB61" s="30" t="str">
        <f t="shared" si="7"/>
        <v/>
      </c>
      <c r="AC61" s="30" t="str">
        <f t="shared" si="8"/>
        <v/>
      </c>
      <c r="AD61" s="30" t="str">
        <f t="shared" si="9"/>
        <v/>
      </c>
    </row>
    <row r="62" spans="1:30">
      <c r="A62" s="29">
        <v>61</v>
      </c>
      <c r="B62" s="29" t="str">
        <f>IF(INT(($A62-1)/28)+1&lt;=Setup!$B$5,INT(($A62-1)/28)+1,"")</f>
        <v/>
      </c>
      <c r="C62" s="29" t="str">
        <f t="shared" si="0"/>
        <v/>
      </c>
      <c r="D62" s="29">
        <f t="shared" si="1"/>
        <v>5</v>
      </c>
      <c r="E62" s="29" t="str">
        <f>IF($B62="","",IFERROR(INDEX('Fixture Library'!$C$2:$C$200,MATCH(Setup!$B$6*100+$D62,'Fixture Library'!$F$2:$F$200,0)),""))</f>
        <v/>
      </c>
      <c r="F62" s="30" t="str">
        <f>IF($B62="","",IFERROR(INDEX('Fixture Library'!$D$2:$D$200,MATCH(Setup!$B$6*100+$D62,'Fixture Library'!$F$2:$F$200,0)),""))</f>
        <v/>
      </c>
      <c r="G62" s="30" t="str">
        <f>IF($F62="","",INDEX(Teams!$E$2:$E$65,($B62-1)*8+$F62))</f>
        <v/>
      </c>
      <c r="H62" s="30" t="str">
        <f>IF($B62="","",IFERROR(INDEX('Fixture Library'!$E$2:$E$200,MATCH(Setup!$B$6*100+$D62,'Fixture Library'!$F$2:$F$200,0)),""))</f>
        <v/>
      </c>
      <c r="I62" s="30" t="str">
        <f>IF($H62="","",INDEX(Teams!$E$2:$E$65,($B62-1)*8+$H62))</f>
        <v/>
      </c>
      <c r="J62" s="34" t="str">
        <f>IF($G62="","",IFERROR(INDEX('Match Entry'!$F$5:$F$228,5+($B62-1)*Setup!$B$13+$D62-1-4),""))</f>
        <v/>
      </c>
      <c r="K62" s="35" t="str">
        <f>IF($G62="","",IFERROR(INDEX('Match Entry'!$G$5:$G$228,5+($B62-1)*Setup!$B$13+$D62-1-4),""))</f>
        <v/>
      </c>
      <c r="L62" s="34" t="str">
        <f>IF($G62="","",IFERROR(INDEX('Match Entry'!$H$5:$H$228,5+($B62-1)*Setup!$B$13+$D62-1-4),""))</f>
        <v/>
      </c>
      <c r="M62" s="35" t="str">
        <f>IF($G62="","",IFERROR(INDEX('Match Entry'!$I$5:$I$228,5+($B62-1)*Setup!$B$13+$D62-1-4),""))</f>
        <v/>
      </c>
      <c r="N62" s="34" t="str">
        <f>IF($G62="","",IFERROR(INDEX('Match Entry'!$J$5:$J$228,5+($B62-1)*Setup!$B$13+$D62-1-4),""))</f>
        <v/>
      </c>
      <c r="O62" s="35" t="str">
        <f>IF($G62="","",IFERROR(INDEX('Match Entry'!$K$5:$K$228,5+($B62-1)*Setup!$B$13+$D62-1-4),""))</f>
        <v/>
      </c>
      <c r="P62" s="34" t="str">
        <f>IF($G62="","",IFERROR(INDEX('Match Entry'!$L$5:$L$228,5+($B62-1)*Setup!$B$13+$D62-1-4),""))</f>
        <v/>
      </c>
      <c r="Q62" s="35" t="str">
        <f>IF($G62="","",IFERROR(INDEX('Match Entry'!$M$5:$M$228,5+($B62-1)*Setup!$B$13+$D62-1-4),""))</f>
        <v/>
      </c>
      <c r="R62" s="34" t="str">
        <f>IF($G62="","",IFERROR(INDEX('Match Entry'!$N$5:$N$228,5+($B62-1)*Setup!$B$13+$D62-1-4),""))</f>
        <v/>
      </c>
      <c r="S62" s="35" t="str">
        <f>IF($G62="","",IFERROR(INDEX('Match Entry'!$O$5:$O$228,5+($B62-1)*Setup!$B$13+$D62-1-4),""))</f>
        <v/>
      </c>
      <c r="T62" s="33" t="str">
        <f t="shared" si="2"/>
        <v/>
      </c>
      <c r="U62" s="33" t="str">
        <f t="shared" si="3"/>
        <v/>
      </c>
      <c r="V62" s="33" t="str">
        <f t="shared" si="4"/>
        <v/>
      </c>
      <c r="W62" s="33" t="str">
        <f t="shared" si="5"/>
        <v/>
      </c>
      <c r="X62" s="30" t="str">
        <f>IF(OR($G62="",$I62=""),"",IF(OR($T62&gt;=Setup!$B$8,$U62&gt;=Setup!$B$8),1,""))</f>
        <v/>
      </c>
      <c r="Y62" s="30" t="str">
        <f t="shared" si="6"/>
        <v/>
      </c>
      <c r="Z62" s="33" t="str">
        <f>IF($X62=1,IF($T62&gt;$U62,Setup!$B$9,Setup!$B$10),"")</f>
        <v/>
      </c>
      <c r="AA62" s="33" t="str">
        <f>IF($X62=1,IF($U62&gt;$T62,Setup!$B$9,Setup!$B$10),"")</f>
        <v/>
      </c>
      <c r="AB62" s="30" t="str">
        <f t="shared" si="7"/>
        <v/>
      </c>
      <c r="AC62" s="30" t="str">
        <f t="shared" si="8"/>
        <v/>
      </c>
      <c r="AD62" s="30" t="str">
        <f t="shared" si="9"/>
        <v/>
      </c>
    </row>
    <row r="63" spans="1:30">
      <c r="A63" s="29">
        <v>62</v>
      </c>
      <c r="B63" s="29" t="str">
        <f>IF(INT(($A63-1)/28)+1&lt;=Setup!$B$5,INT(($A63-1)/28)+1,"")</f>
        <v/>
      </c>
      <c r="C63" s="29" t="str">
        <f t="shared" si="0"/>
        <v/>
      </c>
      <c r="D63" s="29">
        <f t="shared" si="1"/>
        <v>6</v>
      </c>
      <c r="E63" s="29" t="str">
        <f>IF($B63="","",IFERROR(INDEX('Fixture Library'!$C$2:$C$200,MATCH(Setup!$B$6*100+$D63,'Fixture Library'!$F$2:$F$200,0)),""))</f>
        <v/>
      </c>
      <c r="F63" s="30" t="str">
        <f>IF($B63="","",IFERROR(INDEX('Fixture Library'!$D$2:$D$200,MATCH(Setup!$B$6*100+$D63,'Fixture Library'!$F$2:$F$200,0)),""))</f>
        <v/>
      </c>
      <c r="G63" s="30" t="str">
        <f>IF($F63="","",INDEX(Teams!$E$2:$E$65,($B63-1)*8+$F63))</f>
        <v/>
      </c>
      <c r="H63" s="30" t="str">
        <f>IF($B63="","",IFERROR(INDEX('Fixture Library'!$E$2:$E$200,MATCH(Setup!$B$6*100+$D63,'Fixture Library'!$F$2:$F$200,0)),""))</f>
        <v/>
      </c>
      <c r="I63" s="30" t="str">
        <f>IF($H63="","",INDEX(Teams!$E$2:$E$65,($B63-1)*8+$H63))</f>
        <v/>
      </c>
      <c r="J63" s="34" t="str">
        <f>IF($G63="","",IFERROR(INDEX('Match Entry'!$F$5:$F$228,5+($B63-1)*Setup!$B$13+$D63-1-4),""))</f>
        <v/>
      </c>
      <c r="K63" s="35" t="str">
        <f>IF($G63="","",IFERROR(INDEX('Match Entry'!$G$5:$G$228,5+($B63-1)*Setup!$B$13+$D63-1-4),""))</f>
        <v/>
      </c>
      <c r="L63" s="34" t="str">
        <f>IF($G63="","",IFERROR(INDEX('Match Entry'!$H$5:$H$228,5+($B63-1)*Setup!$B$13+$D63-1-4),""))</f>
        <v/>
      </c>
      <c r="M63" s="35" t="str">
        <f>IF($G63="","",IFERROR(INDEX('Match Entry'!$I$5:$I$228,5+($B63-1)*Setup!$B$13+$D63-1-4),""))</f>
        <v/>
      </c>
      <c r="N63" s="34" t="str">
        <f>IF($G63="","",IFERROR(INDEX('Match Entry'!$J$5:$J$228,5+($B63-1)*Setup!$B$13+$D63-1-4),""))</f>
        <v/>
      </c>
      <c r="O63" s="35" t="str">
        <f>IF($G63="","",IFERROR(INDEX('Match Entry'!$K$5:$K$228,5+($B63-1)*Setup!$B$13+$D63-1-4),""))</f>
        <v/>
      </c>
      <c r="P63" s="34" t="str">
        <f>IF($G63="","",IFERROR(INDEX('Match Entry'!$L$5:$L$228,5+($B63-1)*Setup!$B$13+$D63-1-4),""))</f>
        <v/>
      </c>
      <c r="Q63" s="35" t="str">
        <f>IF($G63="","",IFERROR(INDEX('Match Entry'!$M$5:$M$228,5+($B63-1)*Setup!$B$13+$D63-1-4),""))</f>
        <v/>
      </c>
      <c r="R63" s="34" t="str">
        <f>IF($G63="","",IFERROR(INDEX('Match Entry'!$N$5:$N$228,5+($B63-1)*Setup!$B$13+$D63-1-4),""))</f>
        <v/>
      </c>
      <c r="S63" s="35" t="str">
        <f>IF($G63="","",IFERROR(INDEX('Match Entry'!$O$5:$O$228,5+($B63-1)*Setup!$B$13+$D63-1-4),""))</f>
        <v/>
      </c>
      <c r="T63" s="33" t="str">
        <f t="shared" si="2"/>
        <v/>
      </c>
      <c r="U63" s="33" t="str">
        <f t="shared" si="3"/>
        <v/>
      </c>
      <c r="V63" s="33" t="str">
        <f t="shared" si="4"/>
        <v/>
      </c>
      <c r="W63" s="33" t="str">
        <f t="shared" si="5"/>
        <v/>
      </c>
      <c r="X63" s="30" t="str">
        <f>IF(OR($G63="",$I63=""),"",IF(OR($T63&gt;=Setup!$B$8,$U63&gt;=Setup!$B$8),1,""))</f>
        <v/>
      </c>
      <c r="Y63" s="30" t="str">
        <f t="shared" si="6"/>
        <v/>
      </c>
      <c r="Z63" s="33" t="str">
        <f>IF($X63=1,IF($T63&gt;$U63,Setup!$B$9,Setup!$B$10),"")</f>
        <v/>
      </c>
      <c r="AA63" s="33" t="str">
        <f>IF($X63=1,IF($U63&gt;$T63,Setup!$B$9,Setup!$B$10),"")</f>
        <v/>
      </c>
      <c r="AB63" s="30" t="str">
        <f t="shared" si="7"/>
        <v/>
      </c>
      <c r="AC63" s="30" t="str">
        <f t="shared" si="8"/>
        <v/>
      </c>
      <c r="AD63" s="30" t="str">
        <f t="shared" si="9"/>
        <v/>
      </c>
    </row>
    <row r="64" spans="1:30">
      <c r="A64" s="29">
        <v>63</v>
      </c>
      <c r="B64" s="29" t="str">
        <f>IF(INT(($A64-1)/28)+1&lt;=Setup!$B$5,INT(($A64-1)/28)+1,"")</f>
        <v/>
      </c>
      <c r="C64" s="29" t="str">
        <f t="shared" si="0"/>
        <v/>
      </c>
      <c r="D64" s="29">
        <f t="shared" si="1"/>
        <v>7</v>
      </c>
      <c r="E64" s="29" t="str">
        <f>IF($B64="","",IFERROR(INDEX('Fixture Library'!$C$2:$C$200,MATCH(Setup!$B$6*100+$D64,'Fixture Library'!$F$2:$F$200,0)),""))</f>
        <v/>
      </c>
      <c r="F64" s="30" t="str">
        <f>IF($B64="","",IFERROR(INDEX('Fixture Library'!$D$2:$D$200,MATCH(Setup!$B$6*100+$D64,'Fixture Library'!$F$2:$F$200,0)),""))</f>
        <v/>
      </c>
      <c r="G64" s="30" t="str">
        <f>IF($F64="","",INDEX(Teams!$E$2:$E$65,($B64-1)*8+$F64))</f>
        <v/>
      </c>
      <c r="H64" s="30" t="str">
        <f>IF($B64="","",IFERROR(INDEX('Fixture Library'!$E$2:$E$200,MATCH(Setup!$B$6*100+$D64,'Fixture Library'!$F$2:$F$200,0)),""))</f>
        <v/>
      </c>
      <c r="I64" s="30" t="str">
        <f>IF($H64="","",INDEX(Teams!$E$2:$E$65,($B64-1)*8+$H64))</f>
        <v/>
      </c>
      <c r="J64" s="34" t="str">
        <f>IF($G64="","",IFERROR(INDEX('Match Entry'!$F$5:$F$228,5+($B64-1)*Setup!$B$13+$D64-1-4),""))</f>
        <v/>
      </c>
      <c r="K64" s="35" t="str">
        <f>IF($G64="","",IFERROR(INDEX('Match Entry'!$G$5:$G$228,5+($B64-1)*Setup!$B$13+$D64-1-4),""))</f>
        <v/>
      </c>
      <c r="L64" s="34" t="str">
        <f>IF($G64="","",IFERROR(INDEX('Match Entry'!$H$5:$H$228,5+($B64-1)*Setup!$B$13+$D64-1-4),""))</f>
        <v/>
      </c>
      <c r="M64" s="35" t="str">
        <f>IF($G64="","",IFERROR(INDEX('Match Entry'!$I$5:$I$228,5+($B64-1)*Setup!$B$13+$D64-1-4),""))</f>
        <v/>
      </c>
      <c r="N64" s="34" t="str">
        <f>IF($G64="","",IFERROR(INDEX('Match Entry'!$J$5:$J$228,5+($B64-1)*Setup!$B$13+$D64-1-4),""))</f>
        <v/>
      </c>
      <c r="O64" s="35" t="str">
        <f>IF($G64="","",IFERROR(INDEX('Match Entry'!$K$5:$K$228,5+($B64-1)*Setup!$B$13+$D64-1-4),""))</f>
        <v/>
      </c>
      <c r="P64" s="34" t="str">
        <f>IF($G64="","",IFERROR(INDEX('Match Entry'!$L$5:$L$228,5+($B64-1)*Setup!$B$13+$D64-1-4),""))</f>
        <v/>
      </c>
      <c r="Q64" s="35" t="str">
        <f>IF($G64="","",IFERROR(INDEX('Match Entry'!$M$5:$M$228,5+($B64-1)*Setup!$B$13+$D64-1-4),""))</f>
        <v/>
      </c>
      <c r="R64" s="34" t="str">
        <f>IF($G64="","",IFERROR(INDEX('Match Entry'!$N$5:$N$228,5+($B64-1)*Setup!$B$13+$D64-1-4),""))</f>
        <v/>
      </c>
      <c r="S64" s="35" t="str">
        <f>IF($G64="","",IFERROR(INDEX('Match Entry'!$O$5:$O$228,5+($B64-1)*Setup!$B$13+$D64-1-4),""))</f>
        <v/>
      </c>
      <c r="T64" s="33" t="str">
        <f t="shared" si="2"/>
        <v/>
      </c>
      <c r="U64" s="33" t="str">
        <f t="shared" si="3"/>
        <v/>
      </c>
      <c r="V64" s="33" t="str">
        <f t="shared" si="4"/>
        <v/>
      </c>
      <c r="W64" s="33" t="str">
        <f t="shared" si="5"/>
        <v/>
      </c>
      <c r="X64" s="30" t="str">
        <f>IF(OR($G64="",$I64=""),"",IF(OR($T64&gt;=Setup!$B$8,$U64&gt;=Setup!$B$8),1,""))</f>
        <v/>
      </c>
      <c r="Y64" s="30" t="str">
        <f t="shared" si="6"/>
        <v/>
      </c>
      <c r="Z64" s="33" t="str">
        <f>IF($X64=1,IF($T64&gt;$U64,Setup!$B$9,Setup!$B$10),"")</f>
        <v/>
      </c>
      <c r="AA64" s="33" t="str">
        <f>IF($X64=1,IF($U64&gt;$T64,Setup!$B$9,Setup!$B$10),"")</f>
        <v/>
      </c>
      <c r="AB64" s="30" t="str">
        <f t="shared" si="7"/>
        <v/>
      </c>
      <c r="AC64" s="30" t="str">
        <f t="shared" si="8"/>
        <v/>
      </c>
      <c r="AD64" s="30" t="str">
        <f t="shared" si="9"/>
        <v/>
      </c>
    </row>
    <row r="65" spans="1:30">
      <c r="A65" s="29">
        <v>64</v>
      </c>
      <c r="B65" s="29" t="str">
        <f>IF(INT(($A65-1)/28)+1&lt;=Setup!$B$5,INT(($A65-1)/28)+1,"")</f>
        <v/>
      </c>
      <c r="C65" s="29" t="str">
        <f t="shared" si="0"/>
        <v/>
      </c>
      <c r="D65" s="29">
        <f t="shared" si="1"/>
        <v>8</v>
      </c>
      <c r="E65" s="29" t="str">
        <f>IF($B65="","",IFERROR(INDEX('Fixture Library'!$C$2:$C$200,MATCH(Setup!$B$6*100+$D65,'Fixture Library'!$F$2:$F$200,0)),""))</f>
        <v/>
      </c>
      <c r="F65" s="30" t="str">
        <f>IF($B65="","",IFERROR(INDEX('Fixture Library'!$D$2:$D$200,MATCH(Setup!$B$6*100+$D65,'Fixture Library'!$F$2:$F$200,0)),""))</f>
        <v/>
      </c>
      <c r="G65" s="30" t="str">
        <f>IF($F65="","",INDEX(Teams!$E$2:$E$65,($B65-1)*8+$F65))</f>
        <v/>
      </c>
      <c r="H65" s="30" t="str">
        <f>IF($B65="","",IFERROR(INDEX('Fixture Library'!$E$2:$E$200,MATCH(Setup!$B$6*100+$D65,'Fixture Library'!$F$2:$F$200,0)),""))</f>
        <v/>
      </c>
      <c r="I65" s="30" t="str">
        <f>IF($H65="","",INDEX(Teams!$E$2:$E$65,($B65-1)*8+$H65))</f>
        <v/>
      </c>
      <c r="J65" s="34" t="str">
        <f>IF($G65="","",IFERROR(INDEX('Match Entry'!$F$5:$F$228,5+($B65-1)*Setup!$B$13+$D65-1-4),""))</f>
        <v/>
      </c>
      <c r="K65" s="35" t="str">
        <f>IF($G65="","",IFERROR(INDEX('Match Entry'!$G$5:$G$228,5+($B65-1)*Setup!$B$13+$D65-1-4),""))</f>
        <v/>
      </c>
      <c r="L65" s="34" t="str">
        <f>IF($G65="","",IFERROR(INDEX('Match Entry'!$H$5:$H$228,5+($B65-1)*Setup!$B$13+$D65-1-4),""))</f>
        <v/>
      </c>
      <c r="M65" s="35" t="str">
        <f>IF($G65="","",IFERROR(INDEX('Match Entry'!$I$5:$I$228,5+($B65-1)*Setup!$B$13+$D65-1-4),""))</f>
        <v/>
      </c>
      <c r="N65" s="34" t="str">
        <f>IF($G65="","",IFERROR(INDEX('Match Entry'!$J$5:$J$228,5+($B65-1)*Setup!$B$13+$D65-1-4),""))</f>
        <v/>
      </c>
      <c r="O65" s="35" t="str">
        <f>IF($G65="","",IFERROR(INDEX('Match Entry'!$K$5:$K$228,5+($B65-1)*Setup!$B$13+$D65-1-4),""))</f>
        <v/>
      </c>
      <c r="P65" s="34" t="str">
        <f>IF($G65="","",IFERROR(INDEX('Match Entry'!$L$5:$L$228,5+($B65-1)*Setup!$B$13+$D65-1-4),""))</f>
        <v/>
      </c>
      <c r="Q65" s="35" t="str">
        <f>IF($G65="","",IFERROR(INDEX('Match Entry'!$M$5:$M$228,5+($B65-1)*Setup!$B$13+$D65-1-4),""))</f>
        <v/>
      </c>
      <c r="R65" s="34" t="str">
        <f>IF($G65="","",IFERROR(INDEX('Match Entry'!$N$5:$N$228,5+($B65-1)*Setup!$B$13+$D65-1-4),""))</f>
        <v/>
      </c>
      <c r="S65" s="35" t="str">
        <f>IF($G65="","",IFERROR(INDEX('Match Entry'!$O$5:$O$228,5+($B65-1)*Setup!$B$13+$D65-1-4),""))</f>
        <v/>
      </c>
      <c r="T65" s="33" t="str">
        <f t="shared" si="2"/>
        <v/>
      </c>
      <c r="U65" s="33" t="str">
        <f t="shared" si="3"/>
        <v/>
      </c>
      <c r="V65" s="33" t="str">
        <f t="shared" si="4"/>
        <v/>
      </c>
      <c r="W65" s="33" t="str">
        <f t="shared" si="5"/>
        <v/>
      </c>
      <c r="X65" s="30" t="str">
        <f>IF(OR($G65="",$I65=""),"",IF(OR($T65&gt;=Setup!$B$8,$U65&gt;=Setup!$B$8),1,""))</f>
        <v/>
      </c>
      <c r="Y65" s="30" t="str">
        <f t="shared" si="6"/>
        <v/>
      </c>
      <c r="Z65" s="33" t="str">
        <f>IF($X65=1,IF($T65&gt;$U65,Setup!$B$9,Setup!$B$10),"")</f>
        <v/>
      </c>
      <c r="AA65" s="33" t="str">
        <f>IF($X65=1,IF($U65&gt;$T65,Setup!$B$9,Setup!$B$10),"")</f>
        <v/>
      </c>
      <c r="AB65" s="30" t="str">
        <f t="shared" si="7"/>
        <v/>
      </c>
      <c r="AC65" s="30" t="str">
        <f t="shared" si="8"/>
        <v/>
      </c>
      <c r="AD65" s="30" t="str">
        <f t="shared" si="9"/>
        <v/>
      </c>
    </row>
    <row r="66" spans="1:30">
      <c r="A66" s="29">
        <v>65</v>
      </c>
      <c r="B66" s="29" t="str">
        <f>IF(INT(($A66-1)/28)+1&lt;=Setup!$B$5,INT(($A66-1)/28)+1,"")</f>
        <v/>
      </c>
      <c r="C66" s="29" t="str">
        <f t="shared" ref="C66:C129" si="10">IF($B66="","",CHAR(64+$B66))</f>
        <v/>
      </c>
      <c r="D66" s="29">
        <f t="shared" ref="D66:D129" si="11">MOD($A66-1,28)+1</f>
        <v>9</v>
      </c>
      <c r="E66" s="29" t="str">
        <f>IF($B66="","",IFERROR(INDEX('Fixture Library'!$C$2:$C$200,MATCH(Setup!$B$6*100+$D66,'Fixture Library'!$F$2:$F$200,0)),""))</f>
        <v/>
      </c>
      <c r="F66" s="30" t="str">
        <f>IF($B66="","",IFERROR(INDEX('Fixture Library'!$D$2:$D$200,MATCH(Setup!$B$6*100+$D66,'Fixture Library'!$F$2:$F$200,0)),""))</f>
        <v/>
      </c>
      <c r="G66" s="30" t="str">
        <f>IF($F66="","",INDEX(Teams!$E$2:$E$65,($B66-1)*8+$F66))</f>
        <v/>
      </c>
      <c r="H66" s="30" t="str">
        <f>IF($B66="","",IFERROR(INDEX('Fixture Library'!$E$2:$E$200,MATCH(Setup!$B$6*100+$D66,'Fixture Library'!$F$2:$F$200,0)),""))</f>
        <v/>
      </c>
      <c r="I66" s="30" t="str">
        <f>IF($H66="","",INDEX(Teams!$E$2:$E$65,($B66-1)*8+$H66))</f>
        <v/>
      </c>
      <c r="J66" s="34" t="str">
        <f>IF($G66="","",IFERROR(INDEX('Match Entry'!$F$5:$F$228,5+($B66-1)*Setup!$B$13+$D66-1-4),""))</f>
        <v/>
      </c>
      <c r="K66" s="35" t="str">
        <f>IF($G66="","",IFERROR(INDEX('Match Entry'!$G$5:$G$228,5+($B66-1)*Setup!$B$13+$D66-1-4),""))</f>
        <v/>
      </c>
      <c r="L66" s="34" t="str">
        <f>IF($G66="","",IFERROR(INDEX('Match Entry'!$H$5:$H$228,5+($B66-1)*Setup!$B$13+$D66-1-4),""))</f>
        <v/>
      </c>
      <c r="M66" s="35" t="str">
        <f>IF($G66="","",IFERROR(INDEX('Match Entry'!$I$5:$I$228,5+($B66-1)*Setup!$B$13+$D66-1-4),""))</f>
        <v/>
      </c>
      <c r="N66" s="34" t="str">
        <f>IF($G66="","",IFERROR(INDEX('Match Entry'!$J$5:$J$228,5+($B66-1)*Setup!$B$13+$D66-1-4),""))</f>
        <v/>
      </c>
      <c r="O66" s="35" t="str">
        <f>IF($G66="","",IFERROR(INDEX('Match Entry'!$K$5:$K$228,5+($B66-1)*Setup!$B$13+$D66-1-4),""))</f>
        <v/>
      </c>
      <c r="P66" s="34" t="str">
        <f>IF($G66="","",IFERROR(INDEX('Match Entry'!$L$5:$L$228,5+($B66-1)*Setup!$B$13+$D66-1-4),""))</f>
        <v/>
      </c>
      <c r="Q66" s="35" t="str">
        <f>IF($G66="","",IFERROR(INDEX('Match Entry'!$M$5:$M$228,5+($B66-1)*Setup!$B$13+$D66-1-4),""))</f>
        <v/>
      </c>
      <c r="R66" s="34" t="str">
        <f>IF($G66="","",IFERROR(INDEX('Match Entry'!$N$5:$N$228,5+($B66-1)*Setup!$B$13+$D66-1-4),""))</f>
        <v/>
      </c>
      <c r="S66" s="35" t="str">
        <f>IF($G66="","",IFERROR(INDEX('Match Entry'!$O$5:$O$228,5+($B66-1)*Setup!$B$13+$D66-1-4),""))</f>
        <v/>
      </c>
      <c r="T66" s="33" t="str">
        <f t="shared" ref="T66:T129" si="12">IF(OR($G66="",$I66=""),"",IF(AND(ISNUMBER($J66),ISNUMBER($K66),$J66&gt;$K66),1,0)+IF(AND(ISNUMBER($L66),ISNUMBER($M66),$L66&gt;$M66),1,0)+IF(AND(ISNUMBER($N66),ISNUMBER($O66),$N66&gt;$O66),1,0)+IF(AND(ISNUMBER($P66),ISNUMBER($Q66),$P66&gt;$Q66),1,0)+IF(AND(ISNUMBER($R66),ISNUMBER($S66),$R66&gt;$S66),1,0))</f>
        <v/>
      </c>
      <c r="U66" s="33" t="str">
        <f t="shared" ref="U66:U129" si="13">IF(OR($G66="",$I66=""),"",IF(AND(ISNUMBER($J66),ISNUMBER($K66),$K66&gt;$J66),1,0)+IF(AND(ISNUMBER($L66),ISNUMBER($M66),$M66&gt;$L66),1,0)+IF(AND(ISNUMBER($N66),ISNUMBER($O66),$O66&gt;$N66),1,0)+IF(AND(ISNUMBER($P66),ISNUMBER($Q66),$Q66&gt;$P66),1,0)+IF(AND(ISNUMBER($R66),ISNUMBER($S66),$S66&gt;$R66),1,0))</f>
        <v/>
      </c>
      <c r="V66" s="33" t="str">
        <f t="shared" ref="V66:V129" si="14">IF(OR($G66="",$I66=""),"",SUM($J66,$L66,$N66,$P66,$R66))</f>
        <v/>
      </c>
      <c r="W66" s="33" t="str">
        <f t="shared" ref="W66:W129" si="15">IF(OR($G66="",$I66=""),"",SUM($K66,$M66,$O66,$Q66,$S66))</f>
        <v/>
      </c>
      <c r="X66" s="30" t="str">
        <f>IF(OR($G66="",$I66=""),"",IF(OR($T66&gt;=Setup!$B$8,$U66&gt;=Setup!$B$8),1,""))</f>
        <v/>
      </c>
      <c r="Y66" s="30" t="str">
        <f t="shared" ref="Y66:Y129" si="16">IF($X66=1,IF($T66&gt;$U66,$G66,$I66),"")</f>
        <v/>
      </c>
      <c r="Z66" s="33" t="str">
        <f>IF($X66=1,IF($T66&gt;$U66,Setup!$B$9,Setup!$B$10),"")</f>
        <v/>
      </c>
      <c r="AA66" s="33" t="str">
        <f>IF($X66=1,IF($U66&gt;$T66,Setup!$B$9,Setup!$B$10),"")</f>
        <v/>
      </c>
      <c r="AB66" s="30" t="str">
        <f t="shared" ref="AB66:AB129" si="17">IF($G66="","",$B66*100+$F66)</f>
        <v/>
      </c>
      <c r="AC66" s="30" t="str">
        <f t="shared" ref="AC66:AC129" si="18">IF($I66="","",$B66*100+$H66)</f>
        <v/>
      </c>
      <c r="AD66" s="30" t="str">
        <f t="shared" ref="AD66:AD129" si="19">IF($X66=1,IF($T66&gt;$U66,$AB66,$AC66),"")</f>
        <v/>
      </c>
    </row>
    <row r="67" spans="1:30">
      <c r="A67" s="29">
        <v>66</v>
      </c>
      <c r="B67" s="29" t="str">
        <f>IF(INT(($A67-1)/28)+1&lt;=Setup!$B$5,INT(($A67-1)/28)+1,"")</f>
        <v/>
      </c>
      <c r="C67" s="29" t="str">
        <f t="shared" si="10"/>
        <v/>
      </c>
      <c r="D67" s="29">
        <f t="shared" si="11"/>
        <v>10</v>
      </c>
      <c r="E67" s="29" t="str">
        <f>IF($B67="","",IFERROR(INDEX('Fixture Library'!$C$2:$C$200,MATCH(Setup!$B$6*100+$D67,'Fixture Library'!$F$2:$F$200,0)),""))</f>
        <v/>
      </c>
      <c r="F67" s="30" t="str">
        <f>IF($B67="","",IFERROR(INDEX('Fixture Library'!$D$2:$D$200,MATCH(Setup!$B$6*100+$D67,'Fixture Library'!$F$2:$F$200,0)),""))</f>
        <v/>
      </c>
      <c r="G67" s="30" t="str">
        <f>IF($F67="","",INDEX(Teams!$E$2:$E$65,($B67-1)*8+$F67))</f>
        <v/>
      </c>
      <c r="H67" s="30" t="str">
        <f>IF($B67="","",IFERROR(INDEX('Fixture Library'!$E$2:$E$200,MATCH(Setup!$B$6*100+$D67,'Fixture Library'!$F$2:$F$200,0)),""))</f>
        <v/>
      </c>
      <c r="I67" s="30" t="str">
        <f>IF($H67="","",INDEX(Teams!$E$2:$E$65,($B67-1)*8+$H67))</f>
        <v/>
      </c>
      <c r="J67" s="34" t="str">
        <f>IF($G67="","",IFERROR(INDEX('Match Entry'!$F$5:$F$228,5+($B67-1)*Setup!$B$13+$D67-1-4),""))</f>
        <v/>
      </c>
      <c r="K67" s="35" t="str">
        <f>IF($G67="","",IFERROR(INDEX('Match Entry'!$G$5:$G$228,5+($B67-1)*Setup!$B$13+$D67-1-4),""))</f>
        <v/>
      </c>
      <c r="L67" s="34" t="str">
        <f>IF($G67="","",IFERROR(INDEX('Match Entry'!$H$5:$H$228,5+($B67-1)*Setup!$B$13+$D67-1-4),""))</f>
        <v/>
      </c>
      <c r="M67" s="35" t="str">
        <f>IF($G67="","",IFERROR(INDEX('Match Entry'!$I$5:$I$228,5+($B67-1)*Setup!$B$13+$D67-1-4),""))</f>
        <v/>
      </c>
      <c r="N67" s="34" t="str">
        <f>IF($G67="","",IFERROR(INDEX('Match Entry'!$J$5:$J$228,5+($B67-1)*Setup!$B$13+$D67-1-4),""))</f>
        <v/>
      </c>
      <c r="O67" s="35" t="str">
        <f>IF($G67="","",IFERROR(INDEX('Match Entry'!$K$5:$K$228,5+($B67-1)*Setup!$B$13+$D67-1-4),""))</f>
        <v/>
      </c>
      <c r="P67" s="34" t="str">
        <f>IF($G67="","",IFERROR(INDEX('Match Entry'!$L$5:$L$228,5+($B67-1)*Setup!$B$13+$D67-1-4),""))</f>
        <v/>
      </c>
      <c r="Q67" s="35" t="str">
        <f>IF($G67="","",IFERROR(INDEX('Match Entry'!$M$5:$M$228,5+($B67-1)*Setup!$B$13+$D67-1-4),""))</f>
        <v/>
      </c>
      <c r="R67" s="34" t="str">
        <f>IF($G67="","",IFERROR(INDEX('Match Entry'!$N$5:$N$228,5+($B67-1)*Setup!$B$13+$D67-1-4),""))</f>
        <v/>
      </c>
      <c r="S67" s="35" t="str">
        <f>IF($G67="","",IFERROR(INDEX('Match Entry'!$O$5:$O$228,5+($B67-1)*Setup!$B$13+$D67-1-4),""))</f>
        <v/>
      </c>
      <c r="T67" s="33" t="str">
        <f t="shared" si="12"/>
        <v/>
      </c>
      <c r="U67" s="33" t="str">
        <f t="shared" si="13"/>
        <v/>
      </c>
      <c r="V67" s="33" t="str">
        <f t="shared" si="14"/>
        <v/>
      </c>
      <c r="W67" s="33" t="str">
        <f t="shared" si="15"/>
        <v/>
      </c>
      <c r="X67" s="30" t="str">
        <f>IF(OR($G67="",$I67=""),"",IF(OR($T67&gt;=Setup!$B$8,$U67&gt;=Setup!$B$8),1,""))</f>
        <v/>
      </c>
      <c r="Y67" s="30" t="str">
        <f t="shared" si="16"/>
        <v/>
      </c>
      <c r="Z67" s="33" t="str">
        <f>IF($X67=1,IF($T67&gt;$U67,Setup!$B$9,Setup!$B$10),"")</f>
        <v/>
      </c>
      <c r="AA67" s="33" t="str">
        <f>IF($X67=1,IF($U67&gt;$T67,Setup!$B$9,Setup!$B$10),"")</f>
        <v/>
      </c>
      <c r="AB67" s="30" t="str">
        <f t="shared" si="17"/>
        <v/>
      </c>
      <c r="AC67" s="30" t="str">
        <f t="shared" si="18"/>
        <v/>
      </c>
      <c r="AD67" s="30" t="str">
        <f t="shared" si="19"/>
        <v/>
      </c>
    </row>
    <row r="68" spans="1:30">
      <c r="A68" s="29">
        <v>67</v>
      </c>
      <c r="B68" s="29" t="str">
        <f>IF(INT(($A68-1)/28)+1&lt;=Setup!$B$5,INT(($A68-1)/28)+1,"")</f>
        <v/>
      </c>
      <c r="C68" s="29" t="str">
        <f t="shared" si="10"/>
        <v/>
      </c>
      <c r="D68" s="29">
        <f t="shared" si="11"/>
        <v>11</v>
      </c>
      <c r="E68" s="29" t="str">
        <f>IF($B68="","",IFERROR(INDEX('Fixture Library'!$C$2:$C$200,MATCH(Setup!$B$6*100+$D68,'Fixture Library'!$F$2:$F$200,0)),""))</f>
        <v/>
      </c>
      <c r="F68" s="30" t="str">
        <f>IF($B68="","",IFERROR(INDEX('Fixture Library'!$D$2:$D$200,MATCH(Setup!$B$6*100+$D68,'Fixture Library'!$F$2:$F$200,0)),""))</f>
        <v/>
      </c>
      <c r="G68" s="30" t="str">
        <f>IF($F68="","",INDEX(Teams!$E$2:$E$65,($B68-1)*8+$F68))</f>
        <v/>
      </c>
      <c r="H68" s="30" t="str">
        <f>IF($B68="","",IFERROR(INDEX('Fixture Library'!$E$2:$E$200,MATCH(Setup!$B$6*100+$D68,'Fixture Library'!$F$2:$F$200,0)),""))</f>
        <v/>
      </c>
      <c r="I68" s="30" t="str">
        <f>IF($H68="","",INDEX(Teams!$E$2:$E$65,($B68-1)*8+$H68))</f>
        <v/>
      </c>
      <c r="J68" s="34" t="str">
        <f>IF($G68="","",IFERROR(INDEX('Match Entry'!$F$5:$F$228,5+($B68-1)*Setup!$B$13+$D68-1-4),""))</f>
        <v/>
      </c>
      <c r="K68" s="35" t="str">
        <f>IF($G68="","",IFERROR(INDEX('Match Entry'!$G$5:$G$228,5+($B68-1)*Setup!$B$13+$D68-1-4),""))</f>
        <v/>
      </c>
      <c r="L68" s="34" t="str">
        <f>IF($G68="","",IFERROR(INDEX('Match Entry'!$H$5:$H$228,5+($B68-1)*Setup!$B$13+$D68-1-4),""))</f>
        <v/>
      </c>
      <c r="M68" s="35" t="str">
        <f>IF($G68="","",IFERROR(INDEX('Match Entry'!$I$5:$I$228,5+($B68-1)*Setup!$B$13+$D68-1-4),""))</f>
        <v/>
      </c>
      <c r="N68" s="34" t="str">
        <f>IF($G68="","",IFERROR(INDEX('Match Entry'!$J$5:$J$228,5+($B68-1)*Setup!$B$13+$D68-1-4),""))</f>
        <v/>
      </c>
      <c r="O68" s="35" t="str">
        <f>IF($G68="","",IFERROR(INDEX('Match Entry'!$K$5:$K$228,5+($B68-1)*Setup!$B$13+$D68-1-4),""))</f>
        <v/>
      </c>
      <c r="P68" s="34" t="str">
        <f>IF($G68="","",IFERROR(INDEX('Match Entry'!$L$5:$L$228,5+($B68-1)*Setup!$B$13+$D68-1-4),""))</f>
        <v/>
      </c>
      <c r="Q68" s="35" t="str">
        <f>IF($G68="","",IFERROR(INDEX('Match Entry'!$M$5:$M$228,5+($B68-1)*Setup!$B$13+$D68-1-4),""))</f>
        <v/>
      </c>
      <c r="R68" s="34" t="str">
        <f>IF($G68="","",IFERROR(INDEX('Match Entry'!$N$5:$N$228,5+($B68-1)*Setup!$B$13+$D68-1-4),""))</f>
        <v/>
      </c>
      <c r="S68" s="35" t="str">
        <f>IF($G68="","",IFERROR(INDEX('Match Entry'!$O$5:$O$228,5+($B68-1)*Setup!$B$13+$D68-1-4),""))</f>
        <v/>
      </c>
      <c r="T68" s="33" t="str">
        <f t="shared" si="12"/>
        <v/>
      </c>
      <c r="U68" s="33" t="str">
        <f t="shared" si="13"/>
        <v/>
      </c>
      <c r="V68" s="33" t="str">
        <f t="shared" si="14"/>
        <v/>
      </c>
      <c r="W68" s="33" t="str">
        <f t="shared" si="15"/>
        <v/>
      </c>
      <c r="X68" s="30" t="str">
        <f>IF(OR($G68="",$I68=""),"",IF(OR($T68&gt;=Setup!$B$8,$U68&gt;=Setup!$B$8),1,""))</f>
        <v/>
      </c>
      <c r="Y68" s="30" t="str">
        <f t="shared" si="16"/>
        <v/>
      </c>
      <c r="Z68" s="33" t="str">
        <f>IF($X68=1,IF($T68&gt;$U68,Setup!$B$9,Setup!$B$10),"")</f>
        <v/>
      </c>
      <c r="AA68" s="33" t="str">
        <f>IF($X68=1,IF($U68&gt;$T68,Setup!$B$9,Setup!$B$10),"")</f>
        <v/>
      </c>
      <c r="AB68" s="30" t="str">
        <f t="shared" si="17"/>
        <v/>
      </c>
      <c r="AC68" s="30" t="str">
        <f t="shared" si="18"/>
        <v/>
      </c>
      <c r="AD68" s="30" t="str">
        <f t="shared" si="19"/>
        <v/>
      </c>
    </row>
    <row r="69" spans="1:30">
      <c r="A69" s="29">
        <v>68</v>
      </c>
      <c r="B69" s="29" t="str">
        <f>IF(INT(($A69-1)/28)+1&lt;=Setup!$B$5,INT(($A69-1)/28)+1,"")</f>
        <v/>
      </c>
      <c r="C69" s="29" t="str">
        <f t="shared" si="10"/>
        <v/>
      </c>
      <c r="D69" s="29">
        <f t="shared" si="11"/>
        <v>12</v>
      </c>
      <c r="E69" s="29" t="str">
        <f>IF($B69="","",IFERROR(INDEX('Fixture Library'!$C$2:$C$200,MATCH(Setup!$B$6*100+$D69,'Fixture Library'!$F$2:$F$200,0)),""))</f>
        <v/>
      </c>
      <c r="F69" s="30" t="str">
        <f>IF($B69="","",IFERROR(INDEX('Fixture Library'!$D$2:$D$200,MATCH(Setup!$B$6*100+$D69,'Fixture Library'!$F$2:$F$200,0)),""))</f>
        <v/>
      </c>
      <c r="G69" s="30" t="str">
        <f>IF($F69="","",INDEX(Teams!$E$2:$E$65,($B69-1)*8+$F69))</f>
        <v/>
      </c>
      <c r="H69" s="30" t="str">
        <f>IF($B69="","",IFERROR(INDEX('Fixture Library'!$E$2:$E$200,MATCH(Setup!$B$6*100+$D69,'Fixture Library'!$F$2:$F$200,0)),""))</f>
        <v/>
      </c>
      <c r="I69" s="30" t="str">
        <f>IF($H69="","",INDEX(Teams!$E$2:$E$65,($B69-1)*8+$H69))</f>
        <v/>
      </c>
      <c r="J69" s="34" t="str">
        <f>IF($G69="","",IFERROR(INDEX('Match Entry'!$F$5:$F$228,5+($B69-1)*Setup!$B$13+$D69-1-4),""))</f>
        <v/>
      </c>
      <c r="K69" s="35" t="str">
        <f>IF($G69="","",IFERROR(INDEX('Match Entry'!$G$5:$G$228,5+($B69-1)*Setup!$B$13+$D69-1-4),""))</f>
        <v/>
      </c>
      <c r="L69" s="34" t="str">
        <f>IF($G69="","",IFERROR(INDEX('Match Entry'!$H$5:$H$228,5+($B69-1)*Setup!$B$13+$D69-1-4),""))</f>
        <v/>
      </c>
      <c r="M69" s="35" t="str">
        <f>IF($G69="","",IFERROR(INDEX('Match Entry'!$I$5:$I$228,5+($B69-1)*Setup!$B$13+$D69-1-4),""))</f>
        <v/>
      </c>
      <c r="N69" s="34" t="str">
        <f>IF($G69="","",IFERROR(INDEX('Match Entry'!$J$5:$J$228,5+($B69-1)*Setup!$B$13+$D69-1-4),""))</f>
        <v/>
      </c>
      <c r="O69" s="35" t="str">
        <f>IF($G69="","",IFERROR(INDEX('Match Entry'!$K$5:$K$228,5+($B69-1)*Setup!$B$13+$D69-1-4),""))</f>
        <v/>
      </c>
      <c r="P69" s="34" t="str">
        <f>IF($G69="","",IFERROR(INDEX('Match Entry'!$L$5:$L$228,5+($B69-1)*Setup!$B$13+$D69-1-4),""))</f>
        <v/>
      </c>
      <c r="Q69" s="35" t="str">
        <f>IF($G69="","",IFERROR(INDEX('Match Entry'!$M$5:$M$228,5+($B69-1)*Setup!$B$13+$D69-1-4),""))</f>
        <v/>
      </c>
      <c r="R69" s="34" t="str">
        <f>IF($G69="","",IFERROR(INDEX('Match Entry'!$N$5:$N$228,5+($B69-1)*Setup!$B$13+$D69-1-4),""))</f>
        <v/>
      </c>
      <c r="S69" s="35" t="str">
        <f>IF($G69="","",IFERROR(INDEX('Match Entry'!$O$5:$O$228,5+($B69-1)*Setup!$B$13+$D69-1-4),""))</f>
        <v/>
      </c>
      <c r="T69" s="33" t="str">
        <f t="shared" si="12"/>
        <v/>
      </c>
      <c r="U69" s="33" t="str">
        <f t="shared" si="13"/>
        <v/>
      </c>
      <c r="V69" s="33" t="str">
        <f t="shared" si="14"/>
        <v/>
      </c>
      <c r="W69" s="33" t="str">
        <f t="shared" si="15"/>
        <v/>
      </c>
      <c r="X69" s="30" t="str">
        <f>IF(OR($G69="",$I69=""),"",IF(OR($T69&gt;=Setup!$B$8,$U69&gt;=Setup!$B$8),1,""))</f>
        <v/>
      </c>
      <c r="Y69" s="30" t="str">
        <f t="shared" si="16"/>
        <v/>
      </c>
      <c r="Z69" s="33" t="str">
        <f>IF($X69=1,IF($T69&gt;$U69,Setup!$B$9,Setup!$B$10),"")</f>
        <v/>
      </c>
      <c r="AA69" s="33" t="str">
        <f>IF($X69=1,IF($U69&gt;$T69,Setup!$B$9,Setup!$B$10),"")</f>
        <v/>
      </c>
      <c r="AB69" s="30" t="str">
        <f t="shared" si="17"/>
        <v/>
      </c>
      <c r="AC69" s="30" t="str">
        <f t="shared" si="18"/>
        <v/>
      </c>
      <c r="AD69" s="30" t="str">
        <f t="shared" si="19"/>
        <v/>
      </c>
    </row>
    <row r="70" spans="1:30">
      <c r="A70" s="29">
        <v>69</v>
      </c>
      <c r="B70" s="29" t="str">
        <f>IF(INT(($A70-1)/28)+1&lt;=Setup!$B$5,INT(($A70-1)/28)+1,"")</f>
        <v/>
      </c>
      <c r="C70" s="29" t="str">
        <f t="shared" si="10"/>
        <v/>
      </c>
      <c r="D70" s="29">
        <f t="shared" si="11"/>
        <v>13</v>
      </c>
      <c r="E70" s="29" t="str">
        <f>IF($B70="","",IFERROR(INDEX('Fixture Library'!$C$2:$C$200,MATCH(Setup!$B$6*100+$D70,'Fixture Library'!$F$2:$F$200,0)),""))</f>
        <v/>
      </c>
      <c r="F70" s="30" t="str">
        <f>IF($B70="","",IFERROR(INDEX('Fixture Library'!$D$2:$D$200,MATCH(Setup!$B$6*100+$D70,'Fixture Library'!$F$2:$F$200,0)),""))</f>
        <v/>
      </c>
      <c r="G70" s="30" t="str">
        <f>IF($F70="","",INDEX(Teams!$E$2:$E$65,($B70-1)*8+$F70))</f>
        <v/>
      </c>
      <c r="H70" s="30" t="str">
        <f>IF($B70="","",IFERROR(INDEX('Fixture Library'!$E$2:$E$200,MATCH(Setup!$B$6*100+$D70,'Fixture Library'!$F$2:$F$200,0)),""))</f>
        <v/>
      </c>
      <c r="I70" s="30" t="str">
        <f>IF($H70="","",INDEX(Teams!$E$2:$E$65,($B70-1)*8+$H70))</f>
        <v/>
      </c>
      <c r="J70" s="34" t="str">
        <f>IF($G70="","",IFERROR(INDEX('Match Entry'!$F$5:$F$228,5+($B70-1)*Setup!$B$13+$D70-1-4),""))</f>
        <v/>
      </c>
      <c r="K70" s="35" t="str">
        <f>IF($G70="","",IFERROR(INDEX('Match Entry'!$G$5:$G$228,5+($B70-1)*Setup!$B$13+$D70-1-4),""))</f>
        <v/>
      </c>
      <c r="L70" s="34" t="str">
        <f>IF($G70="","",IFERROR(INDEX('Match Entry'!$H$5:$H$228,5+($B70-1)*Setup!$B$13+$D70-1-4),""))</f>
        <v/>
      </c>
      <c r="M70" s="35" t="str">
        <f>IF($G70="","",IFERROR(INDEX('Match Entry'!$I$5:$I$228,5+($B70-1)*Setup!$B$13+$D70-1-4),""))</f>
        <v/>
      </c>
      <c r="N70" s="34" t="str">
        <f>IF($G70="","",IFERROR(INDEX('Match Entry'!$J$5:$J$228,5+($B70-1)*Setup!$B$13+$D70-1-4),""))</f>
        <v/>
      </c>
      <c r="O70" s="35" t="str">
        <f>IF($G70="","",IFERROR(INDEX('Match Entry'!$K$5:$K$228,5+($B70-1)*Setup!$B$13+$D70-1-4),""))</f>
        <v/>
      </c>
      <c r="P70" s="34" t="str">
        <f>IF($G70="","",IFERROR(INDEX('Match Entry'!$L$5:$L$228,5+($B70-1)*Setup!$B$13+$D70-1-4),""))</f>
        <v/>
      </c>
      <c r="Q70" s="35" t="str">
        <f>IF($G70="","",IFERROR(INDEX('Match Entry'!$M$5:$M$228,5+($B70-1)*Setup!$B$13+$D70-1-4),""))</f>
        <v/>
      </c>
      <c r="R70" s="34" t="str">
        <f>IF($G70="","",IFERROR(INDEX('Match Entry'!$N$5:$N$228,5+($B70-1)*Setup!$B$13+$D70-1-4),""))</f>
        <v/>
      </c>
      <c r="S70" s="35" t="str">
        <f>IF($G70="","",IFERROR(INDEX('Match Entry'!$O$5:$O$228,5+($B70-1)*Setup!$B$13+$D70-1-4),""))</f>
        <v/>
      </c>
      <c r="T70" s="33" t="str">
        <f t="shared" si="12"/>
        <v/>
      </c>
      <c r="U70" s="33" t="str">
        <f t="shared" si="13"/>
        <v/>
      </c>
      <c r="V70" s="33" t="str">
        <f t="shared" si="14"/>
        <v/>
      </c>
      <c r="W70" s="33" t="str">
        <f t="shared" si="15"/>
        <v/>
      </c>
      <c r="X70" s="30" t="str">
        <f>IF(OR($G70="",$I70=""),"",IF(OR($T70&gt;=Setup!$B$8,$U70&gt;=Setup!$B$8),1,""))</f>
        <v/>
      </c>
      <c r="Y70" s="30" t="str">
        <f t="shared" si="16"/>
        <v/>
      </c>
      <c r="Z70" s="33" t="str">
        <f>IF($X70=1,IF($T70&gt;$U70,Setup!$B$9,Setup!$B$10),"")</f>
        <v/>
      </c>
      <c r="AA70" s="33" t="str">
        <f>IF($X70=1,IF($U70&gt;$T70,Setup!$B$9,Setup!$B$10),"")</f>
        <v/>
      </c>
      <c r="AB70" s="30" t="str">
        <f t="shared" si="17"/>
        <v/>
      </c>
      <c r="AC70" s="30" t="str">
        <f t="shared" si="18"/>
        <v/>
      </c>
      <c r="AD70" s="30" t="str">
        <f t="shared" si="19"/>
        <v/>
      </c>
    </row>
    <row r="71" spans="1:30">
      <c r="A71" s="29">
        <v>70</v>
      </c>
      <c r="B71" s="29" t="str">
        <f>IF(INT(($A71-1)/28)+1&lt;=Setup!$B$5,INT(($A71-1)/28)+1,"")</f>
        <v/>
      </c>
      <c r="C71" s="29" t="str">
        <f t="shared" si="10"/>
        <v/>
      </c>
      <c r="D71" s="29">
        <f t="shared" si="11"/>
        <v>14</v>
      </c>
      <c r="E71" s="29" t="str">
        <f>IF($B71="","",IFERROR(INDEX('Fixture Library'!$C$2:$C$200,MATCH(Setup!$B$6*100+$D71,'Fixture Library'!$F$2:$F$200,0)),""))</f>
        <v/>
      </c>
      <c r="F71" s="30" t="str">
        <f>IF($B71="","",IFERROR(INDEX('Fixture Library'!$D$2:$D$200,MATCH(Setup!$B$6*100+$D71,'Fixture Library'!$F$2:$F$200,0)),""))</f>
        <v/>
      </c>
      <c r="G71" s="30" t="str">
        <f>IF($F71="","",INDEX(Teams!$E$2:$E$65,($B71-1)*8+$F71))</f>
        <v/>
      </c>
      <c r="H71" s="30" t="str">
        <f>IF($B71="","",IFERROR(INDEX('Fixture Library'!$E$2:$E$200,MATCH(Setup!$B$6*100+$D71,'Fixture Library'!$F$2:$F$200,0)),""))</f>
        <v/>
      </c>
      <c r="I71" s="30" t="str">
        <f>IF($H71="","",INDEX(Teams!$E$2:$E$65,($B71-1)*8+$H71))</f>
        <v/>
      </c>
      <c r="J71" s="34" t="str">
        <f>IF($G71="","",IFERROR(INDEX('Match Entry'!$F$5:$F$228,5+($B71-1)*Setup!$B$13+$D71-1-4),""))</f>
        <v/>
      </c>
      <c r="K71" s="35" t="str">
        <f>IF($G71="","",IFERROR(INDEX('Match Entry'!$G$5:$G$228,5+($B71-1)*Setup!$B$13+$D71-1-4),""))</f>
        <v/>
      </c>
      <c r="L71" s="34" t="str">
        <f>IF($G71="","",IFERROR(INDEX('Match Entry'!$H$5:$H$228,5+($B71-1)*Setup!$B$13+$D71-1-4),""))</f>
        <v/>
      </c>
      <c r="M71" s="35" t="str">
        <f>IF($G71="","",IFERROR(INDEX('Match Entry'!$I$5:$I$228,5+($B71-1)*Setup!$B$13+$D71-1-4),""))</f>
        <v/>
      </c>
      <c r="N71" s="34" t="str">
        <f>IF($G71="","",IFERROR(INDEX('Match Entry'!$J$5:$J$228,5+($B71-1)*Setup!$B$13+$D71-1-4),""))</f>
        <v/>
      </c>
      <c r="O71" s="35" t="str">
        <f>IF($G71="","",IFERROR(INDEX('Match Entry'!$K$5:$K$228,5+($B71-1)*Setup!$B$13+$D71-1-4),""))</f>
        <v/>
      </c>
      <c r="P71" s="34" t="str">
        <f>IF($G71="","",IFERROR(INDEX('Match Entry'!$L$5:$L$228,5+($B71-1)*Setup!$B$13+$D71-1-4),""))</f>
        <v/>
      </c>
      <c r="Q71" s="35" t="str">
        <f>IF($G71="","",IFERROR(INDEX('Match Entry'!$M$5:$M$228,5+($B71-1)*Setup!$B$13+$D71-1-4),""))</f>
        <v/>
      </c>
      <c r="R71" s="34" t="str">
        <f>IF($G71="","",IFERROR(INDEX('Match Entry'!$N$5:$N$228,5+($B71-1)*Setup!$B$13+$D71-1-4),""))</f>
        <v/>
      </c>
      <c r="S71" s="35" t="str">
        <f>IF($G71="","",IFERROR(INDEX('Match Entry'!$O$5:$O$228,5+($B71-1)*Setup!$B$13+$D71-1-4),""))</f>
        <v/>
      </c>
      <c r="T71" s="33" t="str">
        <f t="shared" si="12"/>
        <v/>
      </c>
      <c r="U71" s="33" t="str">
        <f t="shared" si="13"/>
        <v/>
      </c>
      <c r="V71" s="33" t="str">
        <f t="shared" si="14"/>
        <v/>
      </c>
      <c r="W71" s="33" t="str">
        <f t="shared" si="15"/>
        <v/>
      </c>
      <c r="X71" s="30" t="str">
        <f>IF(OR($G71="",$I71=""),"",IF(OR($T71&gt;=Setup!$B$8,$U71&gt;=Setup!$B$8),1,""))</f>
        <v/>
      </c>
      <c r="Y71" s="30" t="str">
        <f t="shared" si="16"/>
        <v/>
      </c>
      <c r="Z71" s="33" t="str">
        <f>IF($X71=1,IF($T71&gt;$U71,Setup!$B$9,Setup!$B$10),"")</f>
        <v/>
      </c>
      <c r="AA71" s="33" t="str">
        <f>IF($X71=1,IF($U71&gt;$T71,Setup!$B$9,Setup!$B$10),"")</f>
        <v/>
      </c>
      <c r="AB71" s="30" t="str">
        <f t="shared" si="17"/>
        <v/>
      </c>
      <c r="AC71" s="30" t="str">
        <f t="shared" si="18"/>
        <v/>
      </c>
      <c r="AD71" s="30" t="str">
        <f t="shared" si="19"/>
        <v/>
      </c>
    </row>
    <row r="72" spans="1:30">
      <c r="A72" s="29">
        <v>71</v>
      </c>
      <c r="B72" s="29" t="str">
        <f>IF(INT(($A72-1)/28)+1&lt;=Setup!$B$5,INT(($A72-1)/28)+1,"")</f>
        <v/>
      </c>
      <c r="C72" s="29" t="str">
        <f t="shared" si="10"/>
        <v/>
      </c>
      <c r="D72" s="29">
        <f t="shared" si="11"/>
        <v>15</v>
      </c>
      <c r="E72" s="29" t="str">
        <f>IF($B72="","",IFERROR(INDEX('Fixture Library'!$C$2:$C$200,MATCH(Setup!$B$6*100+$D72,'Fixture Library'!$F$2:$F$200,0)),""))</f>
        <v/>
      </c>
      <c r="F72" s="30" t="str">
        <f>IF($B72="","",IFERROR(INDEX('Fixture Library'!$D$2:$D$200,MATCH(Setup!$B$6*100+$D72,'Fixture Library'!$F$2:$F$200,0)),""))</f>
        <v/>
      </c>
      <c r="G72" s="30" t="str">
        <f>IF($F72="","",INDEX(Teams!$E$2:$E$65,($B72-1)*8+$F72))</f>
        <v/>
      </c>
      <c r="H72" s="30" t="str">
        <f>IF($B72="","",IFERROR(INDEX('Fixture Library'!$E$2:$E$200,MATCH(Setup!$B$6*100+$D72,'Fixture Library'!$F$2:$F$200,0)),""))</f>
        <v/>
      </c>
      <c r="I72" s="30" t="str">
        <f>IF($H72="","",INDEX(Teams!$E$2:$E$65,($B72-1)*8+$H72))</f>
        <v/>
      </c>
      <c r="J72" s="34" t="str">
        <f>IF($G72="","",IFERROR(INDEX('Match Entry'!$F$5:$F$228,5+($B72-1)*Setup!$B$13+$D72-1-4),""))</f>
        <v/>
      </c>
      <c r="K72" s="35" t="str">
        <f>IF($G72="","",IFERROR(INDEX('Match Entry'!$G$5:$G$228,5+($B72-1)*Setup!$B$13+$D72-1-4),""))</f>
        <v/>
      </c>
      <c r="L72" s="34" t="str">
        <f>IF($G72="","",IFERROR(INDEX('Match Entry'!$H$5:$H$228,5+($B72-1)*Setup!$B$13+$D72-1-4),""))</f>
        <v/>
      </c>
      <c r="M72" s="35" t="str">
        <f>IF($G72="","",IFERROR(INDEX('Match Entry'!$I$5:$I$228,5+($B72-1)*Setup!$B$13+$D72-1-4),""))</f>
        <v/>
      </c>
      <c r="N72" s="34" t="str">
        <f>IF($G72="","",IFERROR(INDEX('Match Entry'!$J$5:$J$228,5+($B72-1)*Setup!$B$13+$D72-1-4),""))</f>
        <v/>
      </c>
      <c r="O72" s="35" t="str">
        <f>IF($G72="","",IFERROR(INDEX('Match Entry'!$K$5:$K$228,5+($B72-1)*Setup!$B$13+$D72-1-4),""))</f>
        <v/>
      </c>
      <c r="P72" s="34" t="str">
        <f>IF($G72="","",IFERROR(INDEX('Match Entry'!$L$5:$L$228,5+($B72-1)*Setup!$B$13+$D72-1-4),""))</f>
        <v/>
      </c>
      <c r="Q72" s="35" t="str">
        <f>IF($G72="","",IFERROR(INDEX('Match Entry'!$M$5:$M$228,5+($B72-1)*Setup!$B$13+$D72-1-4),""))</f>
        <v/>
      </c>
      <c r="R72" s="34" t="str">
        <f>IF($G72="","",IFERROR(INDEX('Match Entry'!$N$5:$N$228,5+($B72-1)*Setup!$B$13+$D72-1-4),""))</f>
        <v/>
      </c>
      <c r="S72" s="35" t="str">
        <f>IF($G72="","",IFERROR(INDEX('Match Entry'!$O$5:$O$228,5+($B72-1)*Setup!$B$13+$D72-1-4),""))</f>
        <v/>
      </c>
      <c r="T72" s="33" t="str">
        <f t="shared" si="12"/>
        <v/>
      </c>
      <c r="U72" s="33" t="str">
        <f t="shared" si="13"/>
        <v/>
      </c>
      <c r="V72" s="33" t="str">
        <f t="shared" si="14"/>
        <v/>
      </c>
      <c r="W72" s="33" t="str">
        <f t="shared" si="15"/>
        <v/>
      </c>
      <c r="X72" s="30" t="str">
        <f>IF(OR($G72="",$I72=""),"",IF(OR($T72&gt;=Setup!$B$8,$U72&gt;=Setup!$B$8),1,""))</f>
        <v/>
      </c>
      <c r="Y72" s="30" t="str">
        <f t="shared" si="16"/>
        <v/>
      </c>
      <c r="Z72" s="33" t="str">
        <f>IF($X72=1,IF($T72&gt;$U72,Setup!$B$9,Setup!$B$10),"")</f>
        <v/>
      </c>
      <c r="AA72" s="33" t="str">
        <f>IF($X72=1,IF($U72&gt;$T72,Setup!$B$9,Setup!$B$10),"")</f>
        <v/>
      </c>
      <c r="AB72" s="30" t="str">
        <f t="shared" si="17"/>
        <v/>
      </c>
      <c r="AC72" s="30" t="str">
        <f t="shared" si="18"/>
        <v/>
      </c>
      <c r="AD72" s="30" t="str">
        <f t="shared" si="19"/>
        <v/>
      </c>
    </row>
    <row r="73" spans="1:30">
      <c r="A73" s="29">
        <v>72</v>
      </c>
      <c r="B73" s="29" t="str">
        <f>IF(INT(($A73-1)/28)+1&lt;=Setup!$B$5,INT(($A73-1)/28)+1,"")</f>
        <v/>
      </c>
      <c r="C73" s="29" t="str">
        <f t="shared" si="10"/>
        <v/>
      </c>
      <c r="D73" s="29">
        <f t="shared" si="11"/>
        <v>16</v>
      </c>
      <c r="E73" s="29" t="str">
        <f>IF($B73="","",IFERROR(INDEX('Fixture Library'!$C$2:$C$200,MATCH(Setup!$B$6*100+$D73,'Fixture Library'!$F$2:$F$200,0)),""))</f>
        <v/>
      </c>
      <c r="F73" s="30" t="str">
        <f>IF($B73="","",IFERROR(INDEX('Fixture Library'!$D$2:$D$200,MATCH(Setup!$B$6*100+$D73,'Fixture Library'!$F$2:$F$200,0)),""))</f>
        <v/>
      </c>
      <c r="G73" s="30" t="str">
        <f>IF($F73="","",INDEX(Teams!$E$2:$E$65,($B73-1)*8+$F73))</f>
        <v/>
      </c>
      <c r="H73" s="30" t="str">
        <f>IF($B73="","",IFERROR(INDEX('Fixture Library'!$E$2:$E$200,MATCH(Setup!$B$6*100+$D73,'Fixture Library'!$F$2:$F$200,0)),""))</f>
        <v/>
      </c>
      <c r="I73" s="30" t="str">
        <f>IF($H73="","",INDEX(Teams!$E$2:$E$65,($B73-1)*8+$H73))</f>
        <v/>
      </c>
      <c r="J73" s="34" t="str">
        <f>IF($G73="","",IFERROR(INDEX('Match Entry'!$F$5:$F$228,5+($B73-1)*Setup!$B$13+$D73-1-4),""))</f>
        <v/>
      </c>
      <c r="K73" s="35" t="str">
        <f>IF($G73="","",IFERROR(INDEX('Match Entry'!$G$5:$G$228,5+($B73-1)*Setup!$B$13+$D73-1-4),""))</f>
        <v/>
      </c>
      <c r="L73" s="34" t="str">
        <f>IF($G73="","",IFERROR(INDEX('Match Entry'!$H$5:$H$228,5+($B73-1)*Setup!$B$13+$D73-1-4),""))</f>
        <v/>
      </c>
      <c r="M73" s="35" t="str">
        <f>IF($G73="","",IFERROR(INDEX('Match Entry'!$I$5:$I$228,5+($B73-1)*Setup!$B$13+$D73-1-4),""))</f>
        <v/>
      </c>
      <c r="N73" s="34" t="str">
        <f>IF($G73="","",IFERROR(INDEX('Match Entry'!$J$5:$J$228,5+($B73-1)*Setup!$B$13+$D73-1-4),""))</f>
        <v/>
      </c>
      <c r="O73" s="35" t="str">
        <f>IF($G73="","",IFERROR(INDEX('Match Entry'!$K$5:$K$228,5+($B73-1)*Setup!$B$13+$D73-1-4),""))</f>
        <v/>
      </c>
      <c r="P73" s="34" t="str">
        <f>IF($G73="","",IFERROR(INDEX('Match Entry'!$L$5:$L$228,5+($B73-1)*Setup!$B$13+$D73-1-4),""))</f>
        <v/>
      </c>
      <c r="Q73" s="35" t="str">
        <f>IF($G73="","",IFERROR(INDEX('Match Entry'!$M$5:$M$228,5+($B73-1)*Setup!$B$13+$D73-1-4),""))</f>
        <v/>
      </c>
      <c r="R73" s="34" t="str">
        <f>IF($G73="","",IFERROR(INDEX('Match Entry'!$N$5:$N$228,5+($B73-1)*Setup!$B$13+$D73-1-4),""))</f>
        <v/>
      </c>
      <c r="S73" s="35" t="str">
        <f>IF($G73="","",IFERROR(INDEX('Match Entry'!$O$5:$O$228,5+($B73-1)*Setup!$B$13+$D73-1-4),""))</f>
        <v/>
      </c>
      <c r="T73" s="33" t="str">
        <f t="shared" si="12"/>
        <v/>
      </c>
      <c r="U73" s="33" t="str">
        <f t="shared" si="13"/>
        <v/>
      </c>
      <c r="V73" s="33" t="str">
        <f t="shared" si="14"/>
        <v/>
      </c>
      <c r="W73" s="33" t="str">
        <f t="shared" si="15"/>
        <v/>
      </c>
      <c r="X73" s="30" t="str">
        <f>IF(OR($G73="",$I73=""),"",IF(OR($T73&gt;=Setup!$B$8,$U73&gt;=Setup!$B$8),1,""))</f>
        <v/>
      </c>
      <c r="Y73" s="30" t="str">
        <f t="shared" si="16"/>
        <v/>
      </c>
      <c r="Z73" s="33" t="str">
        <f>IF($X73=1,IF($T73&gt;$U73,Setup!$B$9,Setup!$B$10),"")</f>
        <v/>
      </c>
      <c r="AA73" s="33" t="str">
        <f>IF($X73=1,IF($U73&gt;$T73,Setup!$B$9,Setup!$B$10),"")</f>
        <v/>
      </c>
      <c r="AB73" s="30" t="str">
        <f t="shared" si="17"/>
        <v/>
      </c>
      <c r="AC73" s="30" t="str">
        <f t="shared" si="18"/>
        <v/>
      </c>
      <c r="AD73" s="30" t="str">
        <f t="shared" si="19"/>
        <v/>
      </c>
    </row>
    <row r="74" spans="1:30">
      <c r="A74" s="29">
        <v>73</v>
      </c>
      <c r="B74" s="29" t="str">
        <f>IF(INT(($A74-1)/28)+1&lt;=Setup!$B$5,INT(($A74-1)/28)+1,"")</f>
        <v/>
      </c>
      <c r="C74" s="29" t="str">
        <f t="shared" si="10"/>
        <v/>
      </c>
      <c r="D74" s="29">
        <f t="shared" si="11"/>
        <v>17</v>
      </c>
      <c r="E74" s="29" t="str">
        <f>IF($B74="","",IFERROR(INDEX('Fixture Library'!$C$2:$C$200,MATCH(Setup!$B$6*100+$D74,'Fixture Library'!$F$2:$F$200,0)),""))</f>
        <v/>
      </c>
      <c r="F74" s="30" t="str">
        <f>IF($B74="","",IFERROR(INDEX('Fixture Library'!$D$2:$D$200,MATCH(Setup!$B$6*100+$D74,'Fixture Library'!$F$2:$F$200,0)),""))</f>
        <v/>
      </c>
      <c r="G74" s="30" t="str">
        <f>IF($F74="","",INDEX(Teams!$E$2:$E$65,($B74-1)*8+$F74))</f>
        <v/>
      </c>
      <c r="H74" s="30" t="str">
        <f>IF($B74="","",IFERROR(INDEX('Fixture Library'!$E$2:$E$200,MATCH(Setup!$B$6*100+$D74,'Fixture Library'!$F$2:$F$200,0)),""))</f>
        <v/>
      </c>
      <c r="I74" s="30" t="str">
        <f>IF($H74="","",INDEX(Teams!$E$2:$E$65,($B74-1)*8+$H74))</f>
        <v/>
      </c>
      <c r="J74" s="34" t="str">
        <f>IF($G74="","",IFERROR(INDEX('Match Entry'!$F$5:$F$228,5+($B74-1)*Setup!$B$13+$D74-1-4),""))</f>
        <v/>
      </c>
      <c r="K74" s="35" t="str">
        <f>IF($G74="","",IFERROR(INDEX('Match Entry'!$G$5:$G$228,5+($B74-1)*Setup!$B$13+$D74-1-4),""))</f>
        <v/>
      </c>
      <c r="L74" s="34" t="str">
        <f>IF($G74="","",IFERROR(INDEX('Match Entry'!$H$5:$H$228,5+($B74-1)*Setup!$B$13+$D74-1-4),""))</f>
        <v/>
      </c>
      <c r="M74" s="35" t="str">
        <f>IF($G74="","",IFERROR(INDEX('Match Entry'!$I$5:$I$228,5+($B74-1)*Setup!$B$13+$D74-1-4),""))</f>
        <v/>
      </c>
      <c r="N74" s="34" t="str">
        <f>IF($G74="","",IFERROR(INDEX('Match Entry'!$J$5:$J$228,5+($B74-1)*Setup!$B$13+$D74-1-4),""))</f>
        <v/>
      </c>
      <c r="O74" s="35" t="str">
        <f>IF($G74="","",IFERROR(INDEX('Match Entry'!$K$5:$K$228,5+($B74-1)*Setup!$B$13+$D74-1-4),""))</f>
        <v/>
      </c>
      <c r="P74" s="34" t="str">
        <f>IF($G74="","",IFERROR(INDEX('Match Entry'!$L$5:$L$228,5+($B74-1)*Setup!$B$13+$D74-1-4),""))</f>
        <v/>
      </c>
      <c r="Q74" s="35" t="str">
        <f>IF($G74="","",IFERROR(INDEX('Match Entry'!$M$5:$M$228,5+($B74-1)*Setup!$B$13+$D74-1-4),""))</f>
        <v/>
      </c>
      <c r="R74" s="34" t="str">
        <f>IF($G74="","",IFERROR(INDEX('Match Entry'!$N$5:$N$228,5+($B74-1)*Setup!$B$13+$D74-1-4),""))</f>
        <v/>
      </c>
      <c r="S74" s="35" t="str">
        <f>IF($G74="","",IFERROR(INDEX('Match Entry'!$O$5:$O$228,5+($B74-1)*Setup!$B$13+$D74-1-4),""))</f>
        <v/>
      </c>
      <c r="T74" s="33" t="str">
        <f t="shared" si="12"/>
        <v/>
      </c>
      <c r="U74" s="33" t="str">
        <f t="shared" si="13"/>
        <v/>
      </c>
      <c r="V74" s="33" t="str">
        <f t="shared" si="14"/>
        <v/>
      </c>
      <c r="W74" s="33" t="str">
        <f t="shared" si="15"/>
        <v/>
      </c>
      <c r="X74" s="30" t="str">
        <f>IF(OR($G74="",$I74=""),"",IF(OR($T74&gt;=Setup!$B$8,$U74&gt;=Setup!$B$8),1,""))</f>
        <v/>
      </c>
      <c r="Y74" s="30" t="str">
        <f t="shared" si="16"/>
        <v/>
      </c>
      <c r="Z74" s="33" t="str">
        <f>IF($X74=1,IF($T74&gt;$U74,Setup!$B$9,Setup!$B$10),"")</f>
        <v/>
      </c>
      <c r="AA74" s="33" t="str">
        <f>IF($X74=1,IF($U74&gt;$T74,Setup!$B$9,Setup!$B$10),"")</f>
        <v/>
      </c>
      <c r="AB74" s="30" t="str">
        <f t="shared" si="17"/>
        <v/>
      </c>
      <c r="AC74" s="30" t="str">
        <f t="shared" si="18"/>
        <v/>
      </c>
      <c r="AD74" s="30" t="str">
        <f t="shared" si="19"/>
        <v/>
      </c>
    </row>
    <row r="75" spans="1:30">
      <c r="A75" s="29">
        <v>74</v>
      </c>
      <c r="B75" s="29" t="str">
        <f>IF(INT(($A75-1)/28)+1&lt;=Setup!$B$5,INT(($A75-1)/28)+1,"")</f>
        <v/>
      </c>
      <c r="C75" s="29" t="str">
        <f t="shared" si="10"/>
        <v/>
      </c>
      <c r="D75" s="29">
        <f t="shared" si="11"/>
        <v>18</v>
      </c>
      <c r="E75" s="29" t="str">
        <f>IF($B75="","",IFERROR(INDEX('Fixture Library'!$C$2:$C$200,MATCH(Setup!$B$6*100+$D75,'Fixture Library'!$F$2:$F$200,0)),""))</f>
        <v/>
      </c>
      <c r="F75" s="30" t="str">
        <f>IF($B75="","",IFERROR(INDEX('Fixture Library'!$D$2:$D$200,MATCH(Setup!$B$6*100+$D75,'Fixture Library'!$F$2:$F$200,0)),""))</f>
        <v/>
      </c>
      <c r="G75" s="30" t="str">
        <f>IF($F75="","",INDEX(Teams!$E$2:$E$65,($B75-1)*8+$F75))</f>
        <v/>
      </c>
      <c r="H75" s="30" t="str">
        <f>IF($B75="","",IFERROR(INDEX('Fixture Library'!$E$2:$E$200,MATCH(Setup!$B$6*100+$D75,'Fixture Library'!$F$2:$F$200,0)),""))</f>
        <v/>
      </c>
      <c r="I75" s="30" t="str">
        <f>IF($H75="","",INDEX(Teams!$E$2:$E$65,($B75-1)*8+$H75))</f>
        <v/>
      </c>
      <c r="J75" s="34" t="str">
        <f>IF($G75="","",IFERROR(INDEX('Match Entry'!$F$5:$F$228,5+($B75-1)*Setup!$B$13+$D75-1-4),""))</f>
        <v/>
      </c>
      <c r="K75" s="35" t="str">
        <f>IF($G75="","",IFERROR(INDEX('Match Entry'!$G$5:$G$228,5+($B75-1)*Setup!$B$13+$D75-1-4),""))</f>
        <v/>
      </c>
      <c r="L75" s="34" t="str">
        <f>IF($G75="","",IFERROR(INDEX('Match Entry'!$H$5:$H$228,5+($B75-1)*Setup!$B$13+$D75-1-4),""))</f>
        <v/>
      </c>
      <c r="M75" s="35" t="str">
        <f>IF($G75="","",IFERROR(INDEX('Match Entry'!$I$5:$I$228,5+($B75-1)*Setup!$B$13+$D75-1-4),""))</f>
        <v/>
      </c>
      <c r="N75" s="34" t="str">
        <f>IF($G75="","",IFERROR(INDEX('Match Entry'!$J$5:$J$228,5+($B75-1)*Setup!$B$13+$D75-1-4),""))</f>
        <v/>
      </c>
      <c r="O75" s="35" t="str">
        <f>IF($G75="","",IFERROR(INDEX('Match Entry'!$K$5:$K$228,5+($B75-1)*Setup!$B$13+$D75-1-4),""))</f>
        <v/>
      </c>
      <c r="P75" s="34" t="str">
        <f>IF($G75="","",IFERROR(INDEX('Match Entry'!$L$5:$L$228,5+($B75-1)*Setup!$B$13+$D75-1-4),""))</f>
        <v/>
      </c>
      <c r="Q75" s="35" t="str">
        <f>IF($G75="","",IFERROR(INDEX('Match Entry'!$M$5:$M$228,5+($B75-1)*Setup!$B$13+$D75-1-4),""))</f>
        <v/>
      </c>
      <c r="R75" s="34" t="str">
        <f>IF($G75="","",IFERROR(INDEX('Match Entry'!$N$5:$N$228,5+($B75-1)*Setup!$B$13+$D75-1-4),""))</f>
        <v/>
      </c>
      <c r="S75" s="35" t="str">
        <f>IF($G75="","",IFERROR(INDEX('Match Entry'!$O$5:$O$228,5+($B75-1)*Setup!$B$13+$D75-1-4),""))</f>
        <v/>
      </c>
      <c r="T75" s="33" t="str">
        <f t="shared" si="12"/>
        <v/>
      </c>
      <c r="U75" s="33" t="str">
        <f t="shared" si="13"/>
        <v/>
      </c>
      <c r="V75" s="33" t="str">
        <f t="shared" si="14"/>
        <v/>
      </c>
      <c r="W75" s="33" t="str">
        <f t="shared" si="15"/>
        <v/>
      </c>
      <c r="X75" s="30" t="str">
        <f>IF(OR($G75="",$I75=""),"",IF(OR($T75&gt;=Setup!$B$8,$U75&gt;=Setup!$B$8),1,""))</f>
        <v/>
      </c>
      <c r="Y75" s="30" t="str">
        <f t="shared" si="16"/>
        <v/>
      </c>
      <c r="Z75" s="33" t="str">
        <f>IF($X75=1,IF($T75&gt;$U75,Setup!$B$9,Setup!$B$10),"")</f>
        <v/>
      </c>
      <c r="AA75" s="33" t="str">
        <f>IF($X75=1,IF($U75&gt;$T75,Setup!$B$9,Setup!$B$10),"")</f>
        <v/>
      </c>
      <c r="AB75" s="30" t="str">
        <f t="shared" si="17"/>
        <v/>
      </c>
      <c r="AC75" s="30" t="str">
        <f t="shared" si="18"/>
        <v/>
      </c>
      <c r="AD75" s="30" t="str">
        <f t="shared" si="19"/>
        <v/>
      </c>
    </row>
    <row r="76" spans="1:30">
      <c r="A76" s="29">
        <v>75</v>
      </c>
      <c r="B76" s="29" t="str">
        <f>IF(INT(($A76-1)/28)+1&lt;=Setup!$B$5,INT(($A76-1)/28)+1,"")</f>
        <v/>
      </c>
      <c r="C76" s="29" t="str">
        <f t="shared" si="10"/>
        <v/>
      </c>
      <c r="D76" s="29">
        <f t="shared" si="11"/>
        <v>19</v>
      </c>
      <c r="E76" s="29" t="str">
        <f>IF($B76="","",IFERROR(INDEX('Fixture Library'!$C$2:$C$200,MATCH(Setup!$B$6*100+$D76,'Fixture Library'!$F$2:$F$200,0)),""))</f>
        <v/>
      </c>
      <c r="F76" s="30" t="str">
        <f>IF($B76="","",IFERROR(INDEX('Fixture Library'!$D$2:$D$200,MATCH(Setup!$B$6*100+$D76,'Fixture Library'!$F$2:$F$200,0)),""))</f>
        <v/>
      </c>
      <c r="G76" s="30" t="str">
        <f>IF($F76="","",INDEX(Teams!$E$2:$E$65,($B76-1)*8+$F76))</f>
        <v/>
      </c>
      <c r="H76" s="30" t="str">
        <f>IF($B76="","",IFERROR(INDEX('Fixture Library'!$E$2:$E$200,MATCH(Setup!$B$6*100+$D76,'Fixture Library'!$F$2:$F$200,0)),""))</f>
        <v/>
      </c>
      <c r="I76" s="30" t="str">
        <f>IF($H76="","",INDEX(Teams!$E$2:$E$65,($B76-1)*8+$H76))</f>
        <v/>
      </c>
      <c r="J76" s="34" t="str">
        <f>IF($G76="","",IFERROR(INDEX('Match Entry'!$F$5:$F$228,5+($B76-1)*Setup!$B$13+$D76-1-4),""))</f>
        <v/>
      </c>
      <c r="K76" s="35" t="str">
        <f>IF($G76="","",IFERROR(INDEX('Match Entry'!$G$5:$G$228,5+($B76-1)*Setup!$B$13+$D76-1-4),""))</f>
        <v/>
      </c>
      <c r="L76" s="34" t="str">
        <f>IF($G76="","",IFERROR(INDEX('Match Entry'!$H$5:$H$228,5+($B76-1)*Setup!$B$13+$D76-1-4),""))</f>
        <v/>
      </c>
      <c r="M76" s="35" t="str">
        <f>IF($G76="","",IFERROR(INDEX('Match Entry'!$I$5:$I$228,5+($B76-1)*Setup!$B$13+$D76-1-4),""))</f>
        <v/>
      </c>
      <c r="N76" s="34" t="str">
        <f>IF($G76="","",IFERROR(INDEX('Match Entry'!$J$5:$J$228,5+($B76-1)*Setup!$B$13+$D76-1-4),""))</f>
        <v/>
      </c>
      <c r="O76" s="35" t="str">
        <f>IF($G76="","",IFERROR(INDEX('Match Entry'!$K$5:$K$228,5+($B76-1)*Setup!$B$13+$D76-1-4),""))</f>
        <v/>
      </c>
      <c r="P76" s="34" t="str">
        <f>IF($G76="","",IFERROR(INDEX('Match Entry'!$L$5:$L$228,5+($B76-1)*Setup!$B$13+$D76-1-4),""))</f>
        <v/>
      </c>
      <c r="Q76" s="35" t="str">
        <f>IF($G76="","",IFERROR(INDEX('Match Entry'!$M$5:$M$228,5+($B76-1)*Setup!$B$13+$D76-1-4),""))</f>
        <v/>
      </c>
      <c r="R76" s="34" t="str">
        <f>IF($G76="","",IFERROR(INDEX('Match Entry'!$N$5:$N$228,5+($B76-1)*Setup!$B$13+$D76-1-4),""))</f>
        <v/>
      </c>
      <c r="S76" s="35" t="str">
        <f>IF($G76="","",IFERROR(INDEX('Match Entry'!$O$5:$O$228,5+($B76-1)*Setup!$B$13+$D76-1-4),""))</f>
        <v/>
      </c>
      <c r="T76" s="33" t="str">
        <f t="shared" si="12"/>
        <v/>
      </c>
      <c r="U76" s="33" t="str">
        <f t="shared" si="13"/>
        <v/>
      </c>
      <c r="V76" s="33" t="str">
        <f t="shared" si="14"/>
        <v/>
      </c>
      <c r="W76" s="33" t="str">
        <f t="shared" si="15"/>
        <v/>
      </c>
      <c r="X76" s="30" t="str">
        <f>IF(OR($G76="",$I76=""),"",IF(OR($T76&gt;=Setup!$B$8,$U76&gt;=Setup!$B$8),1,""))</f>
        <v/>
      </c>
      <c r="Y76" s="30" t="str">
        <f t="shared" si="16"/>
        <v/>
      </c>
      <c r="Z76" s="33" t="str">
        <f>IF($X76=1,IF($T76&gt;$U76,Setup!$B$9,Setup!$B$10),"")</f>
        <v/>
      </c>
      <c r="AA76" s="33" t="str">
        <f>IF($X76=1,IF($U76&gt;$T76,Setup!$B$9,Setup!$B$10),"")</f>
        <v/>
      </c>
      <c r="AB76" s="30" t="str">
        <f t="shared" si="17"/>
        <v/>
      </c>
      <c r="AC76" s="30" t="str">
        <f t="shared" si="18"/>
        <v/>
      </c>
      <c r="AD76" s="30" t="str">
        <f t="shared" si="19"/>
        <v/>
      </c>
    </row>
    <row r="77" spans="1:30">
      <c r="A77" s="29">
        <v>76</v>
      </c>
      <c r="B77" s="29" t="str">
        <f>IF(INT(($A77-1)/28)+1&lt;=Setup!$B$5,INT(($A77-1)/28)+1,"")</f>
        <v/>
      </c>
      <c r="C77" s="29" t="str">
        <f t="shared" si="10"/>
        <v/>
      </c>
      <c r="D77" s="29">
        <f t="shared" si="11"/>
        <v>20</v>
      </c>
      <c r="E77" s="29" t="str">
        <f>IF($B77="","",IFERROR(INDEX('Fixture Library'!$C$2:$C$200,MATCH(Setup!$B$6*100+$D77,'Fixture Library'!$F$2:$F$200,0)),""))</f>
        <v/>
      </c>
      <c r="F77" s="30" t="str">
        <f>IF($B77="","",IFERROR(INDEX('Fixture Library'!$D$2:$D$200,MATCH(Setup!$B$6*100+$D77,'Fixture Library'!$F$2:$F$200,0)),""))</f>
        <v/>
      </c>
      <c r="G77" s="30" t="str">
        <f>IF($F77="","",INDEX(Teams!$E$2:$E$65,($B77-1)*8+$F77))</f>
        <v/>
      </c>
      <c r="H77" s="30" t="str">
        <f>IF($B77="","",IFERROR(INDEX('Fixture Library'!$E$2:$E$200,MATCH(Setup!$B$6*100+$D77,'Fixture Library'!$F$2:$F$200,0)),""))</f>
        <v/>
      </c>
      <c r="I77" s="30" t="str">
        <f>IF($H77="","",INDEX(Teams!$E$2:$E$65,($B77-1)*8+$H77))</f>
        <v/>
      </c>
      <c r="J77" s="34" t="str">
        <f>IF($G77="","",IFERROR(INDEX('Match Entry'!$F$5:$F$228,5+($B77-1)*Setup!$B$13+$D77-1-4),""))</f>
        <v/>
      </c>
      <c r="K77" s="35" t="str">
        <f>IF($G77="","",IFERROR(INDEX('Match Entry'!$G$5:$G$228,5+($B77-1)*Setup!$B$13+$D77-1-4),""))</f>
        <v/>
      </c>
      <c r="L77" s="34" t="str">
        <f>IF($G77="","",IFERROR(INDEX('Match Entry'!$H$5:$H$228,5+($B77-1)*Setup!$B$13+$D77-1-4),""))</f>
        <v/>
      </c>
      <c r="M77" s="35" t="str">
        <f>IF($G77="","",IFERROR(INDEX('Match Entry'!$I$5:$I$228,5+($B77-1)*Setup!$B$13+$D77-1-4),""))</f>
        <v/>
      </c>
      <c r="N77" s="34" t="str">
        <f>IF($G77="","",IFERROR(INDEX('Match Entry'!$J$5:$J$228,5+($B77-1)*Setup!$B$13+$D77-1-4),""))</f>
        <v/>
      </c>
      <c r="O77" s="35" t="str">
        <f>IF($G77="","",IFERROR(INDEX('Match Entry'!$K$5:$K$228,5+($B77-1)*Setup!$B$13+$D77-1-4),""))</f>
        <v/>
      </c>
      <c r="P77" s="34" t="str">
        <f>IF($G77="","",IFERROR(INDEX('Match Entry'!$L$5:$L$228,5+($B77-1)*Setup!$B$13+$D77-1-4),""))</f>
        <v/>
      </c>
      <c r="Q77" s="35" t="str">
        <f>IF($G77="","",IFERROR(INDEX('Match Entry'!$M$5:$M$228,5+($B77-1)*Setup!$B$13+$D77-1-4),""))</f>
        <v/>
      </c>
      <c r="R77" s="34" t="str">
        <f>IF($G77="","",IFERROR(INDEX('Match Entry'!$N$5:$N$228,5+($B77-1)*Setup!$B$13+$D77-1-4),""))</f>
        <v/>
      </c>
      <c r="S77" s="35" t="str">
        <f>IF($G77="","",IFERROR(INDEX('Match Entry'!$O$5:$O$228,5+($B77-1)*Setup!$B$13+$D77-1-4),""))</f>
        <v/>
      </c>
      <c r="T77" s="33" t="str">
        <f t="shared" si="12"/>
        <v/>
      </c>
      <c r="U77" s="33" t="str">
        <f t="shared" si="13"/>
        <v/>
      </c>
      <c r="V77" s="33" t="str">
        <f t="shared" si="14"/>
        <v/>
      </c>
      <c r="W77" s="33" t="str">
        <f t="shared" si="15"/>
        <v/>
      </c>
      <c r="X77" s="30" t="str">
        <f>IF(OR($G77="",$I77=""),"",IF(OR($T77&gt;=Setup!$B$8,$U77&gt;=Setup!$B$8),1,""))</f>
        <v/>
      </c>
      <c r="Y77" s="30" t="str">
        <f t="shared" si="16"/>
        <v/>
      </c>
      <c r="Z77" s="33" t="str">
        <f>IF($X77=1,IF($T77&gt;$U77,Setup!$B$9,Setup!$B$10),"")</f>
        <v/>
      </c>
      <c r="AA77" s="33" t="str">
        <f>IF($X77=1,IF($U77&gt;$T77,Setup!$B$9,Setup!$B$10),"")</f>
        <v/>
      </c>
      <c r="AB77" s="30" t="str">
        <f t="shared" si="17"/>
        <v/>
      </c>
      <c r="AC77" s="30" t="str">
        <f t="shared" si="18"/>
        <v/>
      </c>
      <c r="AD77" s="30" t="str">
        <f t="shared" si="19"/>
        <v/>
      </c>
    </row>
    <row r="78" spans="1:30">
      <c r="A78" s="29">
        <v>77</v>
      </c>
      <c r="B78" s="29" t="str">
        <f>IF(INT(($A78-1)/28)+1&lt;=Setup!$B$5,INT(($A78-1)/28)+1,"")</f>
        <v/>
      </c>
      <c r="C78" s="29" t="str">
        <f t="shared" si="10"/>
        <v/>
      </c>
      <c r="D78" s="29">
        <f t="shared" si="11"/>
        <v>21</v>
      </c>
      <c r="E78" s="29" t="str">
        <f>IF($B78="","",IFERROR(INDEX('Fixture Library'!$C$2:$C$200,MATCH(Setup!$B$6*100+$D78,'Fixture Library'!$F$2:$F$200,0)),""))</f>
        <v/>
      </c>
      <c r="F78" s="30" t="str">
        <f>IF($B78="","",IFERROR(INDEX('Fixture Library'!$D$2:$D$200,MATCH(Setup!$B$6*100+$D78,'Fixture Library'!$F$2:$F$200,0)),""))</f>
        <v/>
      </c>
      <c r="G78" s="30" t="str">
        <f>IF($F78="","",INDEX(Teams!$E$2:$E$65,($B78-1)*8+$F78))</f>
        <v/>
      </c>
      <c r="H78" s="30" t="str">
        <f>IF($B78="","",IFERROR(INDEX('Fixture Library'!$E$2:$E$200,MATCH(Setup!$B$6*100+$D78,'Fixture Library'!$F$2:$F$200,0)),""))</f>
        <v/>
      </c>
      <c r="I78" s="30" t="str">
        <f>IF($H78="","",INDEX(Teams!$E$2:$E$65,($B78-1)*8+$H78))</f>
        <v/>
      </c>
      <c r="J78" s="34" t="str">
        <f>IF($G78="","",IFERROR(INDEX('Match Entry'!$F$5:$F$228,5+($B78-1)*Setup!$B$13+$D78-1-4),""))</f>
        <v/>
      </c>
      <c r="K78" s="35" t="str">
        <f>IF($G78="","",IFERROR(INDEX('Match Entry'!$G$5:$G$228,5+($B78-1)*Setup!$B$13+$D78-1-4),""))</f>
        <v/>
      </c>
      <c r="L78" s="34" t="str">
        <f>IF($G78="","",IFERROR(INDEX('Match Entry'!$H$5:$H$228,5+($B78-1)*Setup!$B$13+$D78-1-4),""))</f>
        <v/>
      </c>
      <c r="M78" s="35" t="str">
        <f>IF($G78="","",IFERROR(INDEX('Match Entry'!$I$5:$I$228,5+($B78-1)*Setup!$B$13+$D78-1-4),""))</f>
        <v/>
      </c>
      <c r="N78" s="34" t="str">
        <f>IF($G78="","",IFERROR(INDEX('Match Entry'!$J$5:$J$228,5+($B78-1)*Setup!$B$13+$D78-1-4),""))</f>
        <v/>
      </c>
      <c r="O78" s="35" t="str">
        <f>IF($G78="","",IFERROR(INDEX('Match Entry'!$K$5:$K$228,5+($B78-1)*Setup!$B$13+$D78-1-4),""))</f>
        <v/>
      </c>
      <c r="P78" s="34" t="str">
        <f>IF($G78="","",IFERROR(INDEX('Match Entry'!$L$5:$L$228,5+($B78-1)*Setup!$B$13+$D78-1-4),""))</f>
        <v/>
      </c>
      <c r="Q78" s="35" t="str">
        <f>IF($G78="","",IFERROR(INDEX('Match Entry'!$M$5:$M$228,5+($B78-1)*Setup!$B$13+$D78-1-4),""))</f>
        <v/>
      </c>
      <c r="R78" s="34" t="str">
        <f>IF($G78="","",IFERROR(INDEX('Match Entry'!$N$5:$N$228,5+($B78-1)*Setup!$B$13+$D78-1-4),""))</f>
        <v/>
      </c>
      <c r="S78" s="35" t="str">
        <f>IF($G78="","",IFERROR(INDEX('Match Entry'!$O$5:$O$228,5+($B78-1)*Setup!$B$13+$D78-1-4),""))</f>
        <v/>
      </c>
      <c r="T78" s="33" t="str">
        <f t="shared" si="12"/>
        <v/>
      </c>
      <c r="U78" s="33" t="str">
        <f t="shared" si="13"/>
        <v/>
      </c>
      <c r="V78" s="33" t="str">
        <f t="shared" si="14"/>
        <v/>
      </c>
      <c r="W78" s="33" t="str">
        <f t="shared" si="15"/>
        <v/>
      </c>
      <c r="X78" s="30" t="str">
        <f>IF(OR($G78="",$I78=""),"",IF(OR($T78&gt;=Setup!$B$8,$U78&gt;=Setup!$B$8),1,""))</f>
        <v/>
      </c>
      <c r="Y78" s="30" t="str">
        <f t="shared" si="16"/>
        <v/>
      </c>
      <c r="Z78" s="33" t="str">
        <f>IF($X78=1,IF($T78&gt;$U78,Setup!$B$9,Setup!$B$10),"")</f>
        <v/>
      </c>
      <c r="AA78" s="33" t="str">
        <f>IF($X78=1,IF($U78&gt;$T78,Setup!$B$9,Setup!$B$10),"")</f>
        <v/>
      </c>
      <c r="AB78" s="30" t="str">
        <f t="shared" si="17"/>
        <v/>
      </c>
      <c r="AC78" s="30" t="str">
        <f t="shared" si="18"/>
        <v/>
      </c>
      <c r="AD78" s="30" t="str">
        <f t="shared" si="19"/>
        <v/>
      </c>
    </row>
    <row r="79" spans="1:30">
      <c r="A79" s="29">
        <v>78</v>
      </c>
      <c r="B79" s="29" t="str">
        <f>IF(INT(($A79-1)/28)+1&lt;=Setup!$B$5,INT(($A79-1)/28)+1,"")</f>
        <v/>
      </c>
      <c r="C79" s="29" t="str">
        <f t="shared" si="10"/>
        <v/>
      </c>
      <c r="D79" s="29">
        <f t="shared" si="11"/>
        <v>22</v>
      </c>
      <c r="E79" s="29" t="str">
        <f>IF($B79="","",IFERROR(INDEX('Fixture Library'!$C$2:$C$200,MATCH(Setup!$B$6*100+$D79,'Fixture Library'!$F$2:$F$200,0)),""))</f>
        <v/>
      </c>
      <c r="F79" s="30" t="str">
        <f>IF($B79="","",IFERROR(INDEX('Fixture Library'!$D$2:$D$200,MATCH(Setup!$B$6*100+$D79,'Fixture Library'!$F$2:$F$200,0)),""))</f>
        <v/>
      </c>
      <c r="G79" s="30" t="str">
        <f>IF($F79="","",INDEX(Teams!$E$2:$E$65,($B79-1)*8+$F79))</f>
        <v/>
      </c>
      <c r="H79" s="30" t="str">
        <f>IF($B79="","",IFERROR(INDEX('Fixture Library'!$E$2:$E$200,MATCH(Setup!$B$6*100+$D79,'Fixture Library'!$F$2:$F$200,0)),""))</f>
        <v/>
      </c>
      <c r="I79" s="30" t="str">
        <f>IF($H79="","",INDEX(Teams!$E$2:$E$65,($B79-1)*8+$H79))</f>
        <v/>
      </c>
      <c r="J79" s="34" t="str">
        <f>IF($G79="","",IFERROR(INDEX('Match Entry'!$F$5:$F$228,5+($B79-1)*Setup!$B$13+$D79-1-4),""))</f>
        <v/>
      </c>
      <c r="K79" s="35" t="str">
        <f>IF($G79="","",IFERROR(INDEX('Match Entry'!$G$5:$G$228,5+($B79-1)*Setup!$B$13+$D79-1-4),""))</f>
        <v/>
      </c>
      <c r="L79" s="34" t="str">
        <f>IF($G79="","",IFERROR(INDEX('Match Entry'!$H$5:$H$228,5+($B79-1)*Setup!$B$13+$D79-1-4),""))</f>
        <v/>
      </c>
      <c r="M79" s="35" t="str">
        <f>IF($G79="","",IFERROR(INDEX('Match Entry'!$I$5:$I$228,5+($B79-1)*Setup!$B$13+$D79-1-4),""))</f>
        <v/>
      </c>
      <c r="N79" s="34" t="str">
        <f>IF($G79="","",IFERROR(INDEX('Match Entry'!$J$5:$J$228,5+($B79-1)*Setup!$B$13+$D79-1-4),""))</f>
        <v/>
      </c>
      <c r="O79" s="35" t="str">
        <f>IF($G79="","",IFERROR(INDEX('Match Entry'!$K$5:$K$228,5+($B79-1)*Setup!$B$13+$D79-1-4),""))</f>
        <v/>
      </c>
      <c r="P79" s="34" t="str">
        <f>IF($G79="","",IFERROR(INDEX('Match Entry'!$L$5:$L$228,5+($B79-1)*Setup!$B$13+$D79-1-4),""))</f>
        <v/>
      </c>
      <c r="Q79" s="35" t="str">
        <f>IF($G79="","",IFERROR(INDEX('Match Entry'!$M$5:$M$228,5+($B79-1)*Setup!$B$13+$D79-1-4),""))</f>
        <v/>
      </c>
      <c r="R79" s="34" t="str">
        <f>IF($G79="","",IFERROR(INDEX('Match Entry'!$N$5:$N$228,5+($B79-1)*Setup!$B$13+$D79-1-4),""))</f>
        <v/>
      </c>
      <c r="S79" s="35" t="str">
        <f>IF($G79="","",IFERROR(INDEX('Match Entry'!$O$5:$O$228,5+($B79-1)*Setup!$B$13+$D79-1-4),""))</f>
        <v/>
      </c>
      <c r="T79" s="33" t="str">
        <f t="shared" si="12"/>
        <v/>
      </c>
      <c r="U79" s="33" t="str">
        <f t="shared" si="13"/>
        <v/>
      </c>
      <c r="V79" s="33" t="str">
        <f t="shared" si="14"/>
        <v/>
      </c>
      <c r="W79" s="33" t="str">
        <f t="shared" si="15"/>
        <v/>
      </c>
      <c r="X79" s="30" t="str">
        <f>IF(OR($G79="",$I79=""),"",IF(OR($T79&gt;=Setup!$B$8,$U79&gt;=Setup!$B$8),1,""))</f>
        <v/>
      </c>
      <c r="Y79" s="30" t="str">
        <f t="shared" si="16"/>
        <v/>
      </c>
      <c r="Z79" s="33" t="str">
        <f>IF($X79=1,IF($T79&gt;$U79,Setup!$B$9,Setup!$B$10),"")</f>
        <v/>
      </c>
      <c r="AA79" s="33" t="str">
        <f>IF($X79=1,IF($U79&gt;$T79,Setup!$B$9,Setup!$B$10),"")</f>
        <v/>
      </c>
      <c r="AB79" s="30" t="str">
        <f t="shared" si="17"/>
        <v/>
      </c>
      <c r="AC79" s="30" t="str">
        <f t="shared" si="18"/>
        <v/>
      </c>
      <c r="AD79" s="30" t="str">
        <f t="shared" si="19"/>
        <v/>
      </c>
    </row>
    <row r="80" spans="1:30">
      <c r="A80" s="29">
        <v>79</v>
      </c>
      <c r="B80" s="29" t="str">
        <f>IF(INT(($A80-1)/28)+1&lt;=Setup!$B$5,INT(($A80-1)/28)+1,"")</f>
        <v/>
      </c>
      <c r="C80" s="29" t="str">
        <f t="shared" si="10"/>
        <v/>
      </c>
      <c r="D80" s="29">
        <f t="shared" si="11"/>
        <v>23</v>
      </c>
      <c r="E80" s="29" t="str">
        <f>IF($B80="","",IFERROR(INDEX('Fixture Library'!$C$2:$C$200,MATCH(Setup!$B$6*100+$D80,'Fixture Library'!$F$2:$F$200,0)),""))</f>
        <v/>
      </c>
      <c r="F80" s="30" t="str">
        <f>IF($B80="","",IFERROR(INDEX('Fixture Library'!$D$2:$D$200,MATCH(Setup!$B$6*100+$D80,'Fixture Library'!$F$2:$F$200,0)),""))</f>
        <v/>
      </c>
      <c r="G80" s="30" t="str">
        <f>IF($F80="","",INDEX(Teams!$E$2:$E$65,($B80-1)*8+$F80))</f>
        <v/>
      </c>
      <c r="H80" s="30" t="str">
        <f>IF($B80="","",IFERROR(INDEX('Fixture Library'!$E$2:$E$200,MATCH(Setup!$B$6*100+$D80,'Fixture Library'!$F$2:$F$200,0)),""))</f>
        <v/>
      </c>
      <c r="I80" s="30" t="str">
        <f>IF($H80="","",INDEX(Teams!$E$2:$E$65,($B80-1)*8+$H80))</f>
        <v/>
      </c>
      <c r="J80" s="34" t="str">
        <f>IF($G80="","",IFERROR(INDEX('Match Entry'!$F$5:$F$228,5+($B80-1)*Setup!$B$13+$D80-1-4),""))</f>
        <v/>
      </c>
      <c r="K80" s="35" t="str">
        <f>IF($G80="","",IFERROR(INDEX('Match Entry'!$G$5:$G$228,5+($B80-1)*Setup!$B$13+$D80-1-4),""))</f>
        <v/>
      </c>
      <c r="L80" s="34" t="str">
        <f>IF($G80="","",IFERROR(INDEX('Match Entry'!$H$5:$H$228,5+($B80-1)*Setup!$B$13+$D80-1-4),""))</f>
        <v/>
      </c>
      <c r="M80" s="35" t="str">
        <f>IF($G80="","",IFERROR(INDEX('Match Entry'!$I$5:$I$228,5+($B80-1)*Setup!$B$13+$D80-1-4),""))</f>
        <v/>
      </c>
      <c r="N80" s="34" t="str">
        <f>IF($G80="","",IFERROR(INDEX('Match Entry'!$J$5:$J$228,5+($B80-1)*Setup!$B$13+$D80-1-4),""))</f>
        <v/>
      </c>
      <c r="O80" s="35" t="str">
        <f>IF($G80="","",IFERROR(INDEX('Match Entry'!$K$5:$K$228,5+($B80-1)*Setup!$B$13+$D80-1-4),""))</f>
        <v/>
      </c>
      <c r="P80" s="34" t="str">
        <f>IF($G80="","",IFERROR(INDEX('Match Entry'!$L$5:$L$228,5+($B80-1)*Setup!$B$13+$D80-1-4),""))</f>
        <v/>
      </c>
      <c r="Q80" s="35" t="str">
        <f>IF($G80="","",IFERROR(INDEX('Match Entry'!$M$5:$M$228,5+($B80-1)*Setup!$B$13+$D80-1-4),""))</f>
        <v/>
      </c>
      <c r="R80" s="34" t="str">
        <f>IF($G80="","",IFERROR(INDEX('Match Entry'!$N$5:$N$228,5+($B80-1)*Setup!$B$13+$D80-1-4),""))</f>
        <v/>
      </c>
      <c r="S80" s="35" t="str">
        <f>IF($G80="","",IFERROR(INDEX('Match Entry'!$O$5:$O$228,5+($B80-1)*Setup!$B$13+$D80-1-4),""))</f>
        <v/>
      </c>
      <c r="T80" s="33" t="str">
        <f t="shared" si="12"/>
        <v/>
      </c>
      <c r="U80" s="33" t="str">
        <f t="shared" si="13"/>
        <v/>
      </c>
      <c r="V80" s="33" t="str">
        <f t="shared" si="14"/>
        <v/>
      </c>
      <c r="W80" s="33" t="str">
        <f t="shared" si="15"/>
        <v/>
      </c>
      <c r="X80" s="30" t="str">
        <f>IF(OR($G80="",$I80=""),"",IF(OR($T80&gt;=Setup!$B$8,$U80&gt;=Setup!$B$8),1,""))</f>
        <v/>
      </c>
      <c r="Y80" s="30" t="str">
        <f t="shared" si="16"/>
        <v/>
      </c>
      <c r="Z80" s="33" t="str">
        <f>IF($X80=1,IF($T80&gt;$U80,Setup!$B$9,Setup!$B$10),"")</f>
        <v/>
      </c>
      <c r="AA80" s="33" t="str">
        <f>IF($X80=1,IF($U80&gt;$T80,Setup!$B$9,Setup!$B$10),"")</f>
        <v/>
      </c>
      <c r="AB80" s="30" t="str">
        <f t="shared" si="17"/>
        <v/>
      </c>
      <c r="AC80" s="30" t="str">
        <f t="shared" si="18"/>
        <v/>
      </c>
      <c r="AD80" s="30" t="str">
        <f t="shared" si="19"/>
        <v/>
      </c>
    </row>
    <row r="81" spans="1:30">
      <c r="A81" s="29">
        <v>80</v>
      </c>
      <c r="B81" s="29" t="str">
        <f>IF(INT(($A81-1)/28)+1&lt;=Setup!$B$5,INT(($A81-1)/28)+1,"")</f>
        <v/>
      </c>
      <c r="C81" s="29" t="str">
        <f t="shared" si="10"/>
        <v/>
      </c>
      <c r="D81" s="29">
        <f t="shared" si="11"/>
        <v>24</v>
      </c>
      <c r="E81" s="29" t="str">
        <f>IF($B81="","",IFERROR(INDEX('Fixture Library'!$C$2:$C$200,MATCH(Setup!$B$6*100+$D81,'Fixture Library'!$F$2:$F$200,0)),""))</f>
        <v/>
      </c>
      <c r="F81" s="30" t="str">
        <f>IF($B81="","",IFERROR(INDEX('Fixture Library'!$D$2:$D$200,MATCH(Setup!$B$6*100+$D81,'Fixture Library'!$F$2:$F$200,0)),""))</f>
        <v/>
      </c>
      <c r="G81" s="30" t="str">
        <f>IF($F81="","",INDEX(Teams!$E$2:$E$65,($B81-1)*8+$F81))</f>
        <v/>
      </c>
      <c r="H81" s="30" t="str">
        <f>IF($B81="","",IFERROR(INDEX('Fixture Library'!$E$2:$E$200,MATCH(Setup!$B$6*100+$D81,'Fixture Library'!$F$2:$F$200,0)),""))</f>
        <v/>
      </c>
      <c r="I81" s="30" t="str">
        <f>IF($H81="","",INDEX(Teams!$E$2:$E$65,($B81-1)*8+$H81))</f>
        <v/>
      </c>
      <c r="J81" s="34" t="str">
        <f>IF($G81="","",IFERROR(INDEX('Match Entry'!$F$5:$F$228,5+($B81-1)*Setup!$B$13+$D81-1-4),""))</f>
        <v/>
      </c>
      <c r="K81" s="35" t="str">
        <f>IF($G81="","",IFERROR(INDEX('Match Entry'!$G$5:$G$228,5+($B81-1)*Setup!$B$13+$D81-1-4),""))</f>
        <v/>
      </c>
      <c r="L81" s="34" t="str">
        <f>IF($G81="","",IFERROR(INDEX('Match Entry'!$H$5:$H$228,5+($B81-1)*Setup!$B$13+$D81-1-4),""))</f>
        <v/>
      </c>
      <c r="M81" s="35" t="str">
        <f>IF($G81="","",IFERROR(INDEX('Match Entry'!$I$5:$I$228,5+($B81-1)*Setup!$B$13+$D81-1-4),""))</f>
        <v/>
      </c>
      <c r="N81" s="34" t="str">
        <f>IF($G81="","",IFERROR(INDEX('Match Entry'!$J$5:$J$228,5+($B81-1)*Setup!$B$13+$D81-1-4),""))</f>
        <v/>
      </c>
      <c r="O81" s="35" t="str">
        <f>IF($G81="","",IFERROR(INDEX('Match Entry'!$K$5:$K$228,5+($B81-1)*Setup!$B$13+$D81-1-4),""))</f>
        <v/>
      </c>
      <c r="P81" s="34" t="str">
        <f>IF($G81="","",IFERROR(INDEX('Match Entry'!$L$5:$L$228,5+($B81-1)*Setup!$B$13+$D81-1-4),""))</f>
        <v/>
      </c>
      <c r="Q81" s="35" t="str">
        <f>IF($G81="","",IFERROR(INDEX('Match Entry'!$M$5:$M$228,5+($B81-1)*Setup!$B$13+$D81-1-4),""))</f>
        <v/>
      </c>
      <c r="R81" s="34" t="str">
        <f>IF($G81="","",IFERROR(INDEX('Match Entry'!$N$5:$N$228,5+($B81-1)*Setup!$B$13+$D81-1-4),""))</f>
        <v/>
      </c>
      <c r="S81" s="35" t="str">
        <f>IF($G81="","",IFERROR(INDEX('Match Entry'!$O$5:$O$228,5+($B81-1)*Setup!$B$13+$D81-1-4),""))</f>
        <v/>
      </c>
      <c r="T81" s="33" t="str">
        <f t="shared" si="12"/>
        <v/>
      </c>
      <c r="U81" s="33" t="str">
        <f t="shared" si="13"/>
        <v/>
      </c>
      <c r="V81" s="33" t="str">
        <f t="shared" si="14"/>
        <v/>
      </c>
      <c r="W81" s="33" t="str">
        <f t="shared" si="15"/>
        <v/>
      </c>
      <c r="X81" s="30" t="str">
        <f>IF(OR($G81="",$I81=""),"",IF(OR($T81&gt;=Setup!$B$8,$U81&gt;=Setup!$B$8),1,""))</f>
        <v/>
      </c>
      <c r="Y81" s="30" t="str">
        <f t="shared" si="16"/>
        <v/>
      </c>
      <c r="Z81" s="33" t="str">
        <f>IF($X81=1,IF($T81&gt;$U81,Setup!$B$9,Setup!$B$10),"")</f>
        <v/>
      </c>
      <c r="AA81" s="33" t="str">
        <f>IF($X81=1,IF($U81&gt;$T81,Setup!$B$9,Setup!$B$10),"")</f>
        <v/>
      </c>
      <c r="AB81" s="30" t="str">
        <f t="shared" si="17"/>
        <v/>
      </c>
      <c r="AC81" s="30" t="str">
        <f t="shared" si="18"/>
        <v/>
      </c>
      <c r="AD81" s="30" t="str">
        <f t="shared" si="19"/>
        <v/>
      </c>
    </row>
    <row r="82" spans="1:30">
      <c r="A82" s="29">
        <v>81</v>
      </c>
      <c r="B82" s="29" t="str">
        <f>IF(INT(($A82-1)/28)+1&lt;=Setup!$B$5,INT(($A82-1)/28)+1,"")</f>
        <v/>
      </c>
      <c r="C82" s="29" t="str">
        <f t="shared" si="10"/>
        <v/>
      </c>
      <c r="D82" s="29">
        <f t="shared" si="11"/>
        <v>25</v>
      </c>
      <c r="E82" s="29" t="str">
        <f>IF($B82="","",IFERROR(INDEX('Fixture Library'!$C$2:$C$200,MATCH(Setup!$B$6*100+$D82,'Fixture Library'!$F$2:$F$200,0)),""))</f>
        <v/>
      </c>
      <c r="F82" s="30" t="str">
        <f>IF($B82="","",IFERROR(INDEX('Fixture Library'!$D$2:$D$200,MATCH(Setup!$B$6*100+$D82,'Fixture Library'!$F$2:$F$200,0)),""))</f>
        <v/>
      </c>
      <c r="G82" s="30" t="str">
        <f>IF($F82="","",INDEX(Teams!$E$2:$E$65,($B82-1)*8+$F82))</f>
        <v/>
      </c>
      <c r="H82" s="30" t="str">
        <f>IF($B82="","",IFERROR(INDEX('Fixture Library'!$E$2:$E$200,MATCH(Setup!$B$6*100+$D82,'Fixture Library'!$F$2:$F$200,0)),""))</f>
        <v/>
      </c>
      <c r="I82" s="30" t="str">
        <f>IF($H82="","",INDEX(Teams!$E$2:$E$65,($B82-1)*8+$H82))</f>
        <v/>
      </c>
      <c r="J82" s="34" t="str">
        <f>IF($G82="","",IFERROR(INDEX('Match Entry'!$F$5:$F$228,5+($B82-1)*Setup!$B$13+$D82-1-4),""))</f>
        <v/>
      </c>
      <c r="K82" s="35" t="str">
        <f>IF($G82="","",IFERROR(INDEX('Match Entry'!$G$5:$G$228,5+($B82-1)*Setup!$B$13+$D82-1-4),""))</f>
        <v/>
      </c>
      <c r="L82" s="34" t="str">
        <f>IF($G82="","",IFERROR(INDEX('Match Entry'!$H$5:$H$228,5+($B82-1)*Setup!$B$13+$D82-1-4),""))</f>
        <v/>
      </c>
      <c r="M82" s="35" t="str">
        <f>IF($G82="","",IFERROR(INDEX('Match Entry'!$I$5:$I$228,5+($B82-1)*Setup!$B$13+$D82-1-4),""))</f>
        <v/>
      </c>
      <c r="N82" s="34" t="str">
        <f>IF($G82="","",IFERROR(INDEX('Match Entry'!$J$5:$J$228,5+($B82-1)*Setup!$B$13+$D82-1-4),""))</f>
        <v/>
      </c>
      <c r="O82" s="35" t="str">
        <f>IF($G82="","",IFERROR(INDEX('Match Entry'!$K$5:$K$228,5+($B82-1)*Setup!$B$13+$D82-1-4),""))</f>
        <v/>
      </c>
      <c r="P82" s="34" t="str">
        <f>IF($G82="","",IFERROR(INDEX('Match Entry'!$L$5:$L$228,5+($B82-1)*Setup!$B$13+$D82-1-4),""))</f>
        <v/>
      </c>
      <c r="Q82" s="35" t="str">
        <f>IF($G82="","",IFERROR(INDEX('Match Entry'!$M$5:$M$228,5+($B82-1)*Setup!$B$13+$D82-1-4),""))</f>
        <v/>
      </c>
      <c r="R82" s="34" t="str">
        <f>IF($G82="","",IFERROR(INDEX('Match Entry'!$N$5:$N$228,5+($B82-1)*Setup!$B$13+$D82-1-4),""))</f>
        <v/>
      </c>
      <c r="S82" s="35" t="str">
        <f>IF($G82="","",IFERROR(INDEX('Match Entry'!$O$5:$O$228,5+($B82-1)*Setup!$B$13+$D82-1-4),""))</f>
        <v/>
      </c>
      <c r="T82" s="33" t="str">
        <f t="shared" si="12"/>
        <v/>
      </c>
      <c r="U82" s="33" t="str">
        <f t="shared" si="13"/>
        <v/>
      </c>
      <c r="V82" s="33" t="str">
        <f t="shared" si="14"/>
        <v/>
      </c>
      <c r="W82" s="33" t="str">
        <f t="shared" si="15"/>
        <v/>
      </c>
      <c r="X82" s="30" t="str">
        <f>IF(OR($G82="",$I82=""),"",IF(OR($T82&gt;=Setup!$B$8,$U82&gt;=Setup!$B$8),1,""))</f>
        <v/>
      </c>
      <c r="Y82" s="30" t="str">
        <f t="shared" si="16"/>
        <v/>
      </c>
      <c r="Z82" s="33" t="str">
        <f>IF($X82=1,IF($T82&gt;$U82,Setup!$B$9,Setup!$B$10),"")</f>
        <v/>
      </c>
      <c r="AA82" s="33" t="str">
        <f>IF($X82=1,IF($U82&gt;$T82,Setup!$B$9,Setup!$B$10),"")</f>
        <v/>
      </c>
      <c r="AB82" s="30" t="str">
        <f t="shared" si="17"/>
        <v/>
      </c>
      <c r="AC82" s="30" t="str">
        <f t="shared" si="18"/>
        <v/>
      </c>
      <c r="AD82" s="30" t="str">
        <f t="shared" si="19"/>
        <v/>
      </c>
    </row>
    <row r="83" spans="1:30">
      <c r="A83" s="29">
        <v>82</v>
      </c>
      <c r="B83" s="29" t="str">
        <f>IF(INT(($A83-1)/28)+1&lt;=Setup!$B$5,INT(($A83-1)/28)+1,"")</f>
        <v/>
      </c>
      <c r="C83" s="29" t="str">
        <f t="shared" si="10"/>
        <v/>
      </c>
      <c r="D83" s="29">
        <f t="shared" si="11"/>
        <v>26</v>
      </c>
      <c r="E83" s="29" t="str">
        <f>IF($B83="","",IFERROR(INDEX('Fixture Library'!$C$2:$C$200,MATCH(Setup!$B$6*100+$D83,'Fixture Library'!$F$2:$F$200,0)),""))</f>
        <v/>
      </c>
      <c r="F83" s="30" t="str">
        <f>IF($B83="","",IFERROR(INDEX('Fixture Library'!$D$2:$D$200,MATCH(Setup!$B$6*100+$D83,'Fixture Library'!$F$2:$F$200,0)),""))</f>
        <v/>
      </c>
      <c r="G83" s="30" t="str">
        <f>IF($F83="","",INDEX(Teams!$E$2:$E$65,($B83-1)*8+$F83))</f>
        <v/>
      </c>
      <c r="H83" s="30" t="str">
        <f>IF($B83="","",IFERROR(INDEX('Fixture Library'!$E$2:$E$200,MATCH(Setup!$B$6*100+$D83,'Fixture Library'!$F$2:$F$200,0)),""))</f>
        <v/>
      </c>
      <c r="I83" s="30" t="str">
        <f>IF($H83="","",INDEX(Teams!$E$2:$E$65,($B83-1)*8+$H83))</f>
        <v/>
      </c>
      <c r="J83" s="34" t="str">
        <f>IF($G83="","",IFERROR(INDEX('Match Entry'!$F$5:$F$228,5+($B83-1)*Setup!$B$13+$D83-1-4),""))</f>
        <v/>
      </c>
      <c r="K83" s="35" t="str">
        <f>IF($G83="","",IFERROR(INDEX('Match Entry'!$G$5:$G$228,5+($B83-1)*Setup!$B$13+$D83-1-4),""))</f>
        <v/>
      </c>
      <c r="L83" s="34" t="str">
        <f>IF($G83="","",IFERROR(INDEX('Match Entry'!$H$5:$H$228,5+($B83-1)*Setup!$B$13+$D83-1-4),""))</f>
        <v/>
      </c>
      <c r="M83" s="35" t="str">
        <f>IF($G83="","",IFERROR(INDEX('Match Entry'!$I$5:$I$228,5+($B83-1)*Setup!$B$13+$D83-1-4),""))</f>
        <v/>
      </c>
      <c r="N83" s="34" t="str">
        <f>IF($G83="","",IFERROR(INDEX('Match Entry'!$J$5:$J$228,5+($B83-1)*Setup!$B$13+$D83-1-4),""))</f>
        <v/>
      </c>
      <c r="O83" s="35" t="str">
        <f>IF($G83="","",IFERROR(INDEX('Match Entry'!$K$5:$K$228,5+($B83-1)*Setup!$B$13+$D83-1-4),""))</f>
        <v/>
      </c>
      <c r="P83" s="34" t="str">
        <f>IF($G83="","",IFERROR(INDEX('Match Entry'!$L$5:$L$228,5+($B83-1)*Setup!$B$13+$D83-1-4),""))</f>
        <v/>
      </c>
      <c r="Q83" s="35" t="str">
        <f>IF($G83="","",IFERROR(INDEX('Match Entry'!$M$5:$M$228,5+($B83-1)*Setup!$B$13+$D83-1-4),""))</f>
        <v/>
      </c>
      <c r="R83" s="34" t="str">
        <f>IF($G83="","",IFERROR(INDEX('Match Entry'!$N$5:$N$228,5+($B83-1)*Setup!$B$13+$D83-1-4),""))</f>
        <v/>
      </c>
      <c r="S83" s="35" t="str">
        <f>IF($G83="","",IFERROR(INDEX('Match Entry'!$O$5:$O$228,5+($B83-1)*Setup!$B$13+$D83-1-4),""))</f>
        <v/>
      </c>
      <c r="T83" s="33" t="str">
        <f t="shared" si="12"/>
        <v/>
      </c>
      <c r="U83" s="33" t="str">
        <f t="shared" si="13"/>
        <v/>
      </c>
      <c r="V83" s="33" t="str">
        <f t="shared" si="14"/>
        <v/>
      </c>
      <c r="W83" s="33" t="str">
        <f t="shared" si="15"/>
        <v/>
      </c>
      <c r="X83" s="30" t="str">
        <f>IF(OR($G83="",$I83=""),"",IF(OR($T83&gt;=Setup!$B$8,$U83&gt;=Setup!$B$8),1,""))</f>
        <v/>
      </c>
      <c r="Y83" s="30" t="str">
        <f t="shared" si="16"/>
        <v/>
      </c>
      <c r="Z83" s="33" t="str">
        <f>IF($X83=1,IF($T83&gt;$U83,Setup!$B$9,Setup!$B$10),"")</f>
        <v/>
      </c>
      <c r="AA83" s="33" t="str">
        <f>IF($X83=1,IF($U83&gt;$T83,Setup!$B$9,Setup!$B$10),"")</f>
        <v/>
      </c>
      <c r="AB83" s="30" t="str">
        <f t="shared" si="17"/>
        <v/>
      </c>
      <c r="AC83" s="30" t="str">
        <f t="shared" si="18"/>
        <v/>
      </c>
      <c r="AD83" s="30" t="str">
        <f t="shared" si="19"/>
        <v/>
      </c>
    </row>
    <row r="84" spans="1:30">
      <c r="A84" s="29">
        <v>83</v>
      </c>
      <c r="B84" s="29" t="str">
        <f>IF(INT(($A84-1)/28)+1&lt;=Setup!$B$5,INT(($A84-1)/28)+1,"")</f>
        <v/>
      </c>
      <c r="C84" s="29" t="str">
        <f t="shared" si="10"/>
        <v/>
      </c>
      <c r="D84" s="29">
        <f t="shared" si="11"/>
        <v>27</v>
      </c>
      <c r="E84" s="29" t="str">
        <f>IF($B84="","",IFERROR(INDEX('Fixture Library'!$C$2:$C$200,MATCH(Setup!$B$6*100+$D84,'Fixture Library'!$F$2:$F$200,0)),""))</f>
        <v/>
      </c>
      <c r="F84" s="30" t="str">
        <f>IF($B84="","",IFERROR(INDEX('Fixture Library'!$D$2:$D$200,MATCH(Setup!$B$6*100+$D84,'Fixture Library'!$F$2:$F$200,0)),""))</f>
        <v/>
      </c>
      <c r="G84" s="30" t="str">
        <f>IF($F84="","",INDEX(Teams!$E$2:$E$65,($B84-1)*8+$F84))</f>
        <v/>
      </c>
      <c r="H84" s="30" t="str">
        <f>IF($B84="","",IFERROR(INDEX('Fixture Library'!$E$2:$E$200,MATCH(Setup!$B$6*100+$D84,'Fixture Library'!$F$2:$F$200,0)),""))</f>
        <v/>
      </c>
      <c r="I84" s="30" t="str">
        <f>IF($H84="","",INDEX(Teams!$E$2:$E$65,($B84-1)*8+$H84))</f>
        <v/>
      </c>
      <c r="J84" s="34" t="str">
        <f>IF($G84="","",IFERROR(INDEX('Match Entry'!$F$5:$F$228,5+($B84-1)*Setup!$B$13+$D84-1-4),""))</f>
        <v/>
      </c>
      <c r="K84" s="35" t="str">
        <f>IF($G84="","",IFERROR(INDEX('Match Entry'!$G$5:$G$228,5+($B84-1)*Setup!$B$13+$D84-1-4),""))</f>
        <v/>
      </c>
      <c r="L84" s="34" t="str">
        <f>IF($G84="","",IFERROR(INDEX('Match Entry'!$H$5:$H$228,5+($B84-1)*Setup!$B$13+$D84-1-4),""))</f>
        <v/>
      </c>
      <c r="M84" s="35" t="str">
        <f>IF($G84="","",IFERROR(INDEX('Match Entry'!$I$5:$I$228,5+($B84-1)*Setup!$B$13+$D84-1-4),""))</f>
        <v/>
      </c>
      <c r="N84" s="34" t="str">
        <f>IF($G84="","",IFERROR(INDEX('Match Entry'!$J$5:$J$228,5+($B84-1)*Setup!$B$13+$D84-1-4),""))</f>
        <v/>
      </c>
      <c r="O84" s="35" t="str">
        <f>IF($G84="","",IFERROR(INDEX('Match Entry'!$K$5:$K$228,5+($B84-1)*Setup!$B$13+$D84-1-4),""))</f>
        <v/>
      </c>
      <c r="P84" s="34" t="str">
        <f>IF($G84="","",IFERROR(INDEX('Match Entry'!$L$5:$L$228,5+($B84-1)*Setup!$B$13+$D84-1-4),""))</f>
        <v/>
      </c>
      <c r="Q84" s="35" t="str">
        <f>IF($G84="","",IFERROR(INDEX('Match Entry'!$M$5:$M$228,5+($B84-1)*Setup!$B$13+$D84-1-4),""))</f>
        <v/>
      </c>
      <c r="R84" s="34" t="str">
        <f>IF($G84="","",IFERROR(INDEX('Match Entry'!$N$5:$N$228,5+($B84-1)*Setup!$B$13+$D84-1-4),""))</f>
        <v/>
      </c>
      <c r="S84" s="35" t="str">
        <f>IF($G84="","",IFERROR(INDEX('Match Entry'!$O$5:$O$228,5+($B84-1)*Setup!$B$13+$D84-1-4),""))</f>
        <v/>
      </c>
      <c r="T84" s="33" t="str">
        <f t="shared" si="12"/>
        <v/>
      </c>
      <c r="U84" s="33" t="str">
        <f t="shared" si="13"/>
        <v/>
      </c>
      <c r="V84" s="33" t="str">
        <f t="shared" si="14"/>
        <v/>
      </c>
      <c r="W84" s="33" t="str">
        <f t="shared" si="15"/>
        <v/>
      </c>
      <c r="X84" s="30" t="str">
        <f>IF(OR($G84="",$I84=""),"",IF(OR($T84&gt;=Setup!$B$8,$U84&gt;=Setup!$B$8),1,""))</f>
        <v/>
      </c>
      <c r="Y84" s="30" t="str">
        <f t="shared" si="16"/>
        <v/>
      </c>
      <c r="Z84" s="33" t="str">
        <f>IF($X84=1,IF($T84&gt;$U84,Setup!$B$9,Setup!$B$10),"")</f>
        <v/>
      </c>
      <c r="AA84" s="33" t="str">
        <f>IF($X84=1,IF($U84&gt;$T84,Setup!$B$9,Setup!$B$10),"")</f>
        <v/>
      </c>
      <c r="AB84" s="30" t="str">
        <f t="shared" si="17"/>
        <v/>
      </c>
      <c r="AC84" s="30" t="str">
        <f t="shared" si="18"/>
        <v/>
      </c>
      <c r="AD84" s="30" t="str">
        <f t="shared" si="19"/>
        <v/>
      </c>
    </row>
    <row r="85" spans="1:30">
      <c r="A85" s="29">
        <v>84</v>
      </c>
      <c r="B85" s="29" t="str">
        <f>IF(INT(($A85-1)/28)+1&lt;=Setup!$B$5,INT(($A85-1)/28)+1,"")</f>
        <v/>
      </c>
      <c r="C85" s="29" t="str">
        <f t="shared" si="10"/>
        <v/>
      </c>
      <c r="D85" s="29">
        <f t="shared" si="11"/>
        <v>28</v>
      </c>
      <c r="E85" s="29" t="str">
        <f>IF($B85="","",IFERROR(INDEX('Fixture Library'!$C$2:$C$200,MATCH(Setup!$B$6*100+$D85,'Fixture Library'!$F$2:$F$200,0)),""))</f>
        <v/>
      </c>
      <c r="F85" s="30" t="str">
        <f>IF($B85="","",IFERROR(INDEX('Fixture Library'!$D$2:$D$200,MATCH(Setup!$B$6*100+$D85,'Fixture Library'!$F$2:$F$200,0)),""))</f>
        <v/>
      </c>
      <c r="G85" s="30" t="str">
        <f>IF($F85="","",INDEX(Teams!$E$2:$E$65,($B85-1)*8+$F85))</f>
        <v/>
      </c>
      <c r="H85" s="30" t="str">
        <f>IF($B85="","",IFERROR(INDEX('Fixture Library'!$E$2:$E$200,MATCH(Setup!$B$6*100+$D85,'Fixture Library'!$F$2:$F$200,0)),""))</f>
        <v/>
      </c>
      <c r="I85" s="30" t="str">
        <f>IF($H85="","",INDEX(Teams!$E$2:$E$65,($B85-1)*8+$H85))</f>
        <v/>
      </c>
      <c r="J85" s="34" t="str">
        <f>IF($G85="","",IFERROR(INDEX('Match Entry'!$F$5:$F$228,5+($B85-1)*Setup!$B$13+$D85-1-4),""))</f>
        <v/>
      </c>
      <c r="K85" s="35" t="str">
        <f>IF($G85="","",IFERROR(INDEX('Match Entry'!$G$5:$G$228,5+($B85-1)*Setup!$B$13+$D85-1-4),""))</f>
        <v/>
      </c>
      <c r="L85" s="34" t="str">
        <f>IF($G85="","",IFERROR(INDEX('Match Entry'!$H$5:$H$228,5+($B85-1)*Setup!$B$13+$D85-1-4),""))</f>
        <v/>
      </c>
      <c r="M85" s="35" t="str">
        <f>IF($G85="","",IFERROR(INDEX('Match Entry'!$I$5:$I$228,5+($B85-1)*Setup!$B$13+$D85-1-4),""))</f>
        <v/>
      </c>
      <c r="N85" s="34" t="str">
        <f>IF($G85="","",IFERROR(INDEX('Match Entry'!$J$5:$J$228,5+($B85-1)*Setup!$B$13+$D85-1-4),""))</f>
        <v/>
      </c>
      <c r="O85" s="35" t="str">
        <f>IF($G85="","",IFERROR(INDEX('Match Entry'!$K$5:$K$228,5+($B85-1)*Setup!$B$13+$D85-1-4),""))</f>
        <v/>
      </c>
      <c r="P85" s="34" t="str">
        <f>IF($G85="","",IFERROR(INDEX('Match Entry'!$L$5:$L$228,5+($B85-1)*Setup!$B$13+$D85-1-4),""))</f>
        <v/>
      </c>
      <c r="Q85" s="35" t="str">
        <f>IF($G85="","",IFERROR(INDEX('Match Entry'!$M$5:$M$228,5+($B85-1)*Setup!$B$13+$D85-1-4),""))</f>
        <v/>
      </c>
      <c r="R85" s="34" t="str">
        <f>IF($G85="","",IFERROR(INDEX('Match Entry'!$N$5:$N$228,5+($B85-1)*Setup!$B$13+$D85-1-4),""))</f>
        <v/>
      </c>
      <c r="S85" s="35" t="str">
        <f>IF($G85="","",IFERROR(INDEX('Match Entry'!$O$5:$O$228,5+($B85-1)*Setup!$B$13+$D85-1-4),""))</f>
        <v/>
      </c>
      <c r="T85" s="33" t="str">
        <f t="shared" si="12"/>
        <v/>
      </c>
      <c r="U85" s="33" t="str">
        <f t="shared" si="13"/>
        <v/>
      </c>
      <c r="V85" s="33" t="str">
        <f t="shared" si="14"/>
        <v/>
      </c>
      <c r="W85" s="33" t="str">
        <f t="shared" si="15"/>
        <v/>
      </c>
      <c r="X85" s="30" t="str">
        <f>IF(OR($G85="",$I85=""),"",IF(OR($T85&gt;=Setup!$B$8,$U85&gt;=Setup!$B$8),1,""))</f>
        <v/>
      </c>
      <c r="Y85" s="30" t="str">
        <f t="shared" si="16"/>
        <v/>
      </c>
      <c r="Z85" s="33" t="str">
        <f>IF($X85=1,IF($T85&gt;$U85,Setup!$B$9,Setup!$B$10),"")</f>
        <v/>
      </c>
      <c r="AA85" s="33" t="str">
        <f>IF($X85=1,IF($U85&gt;$T85,Setup!$B$9,Setup!$B$10),"")</f>
        <v/>
      </c>
      <c r="AB85" s="30" t="str">
        <f t="shared" si="17"/>
        <v/>
      </c>
      <c r="AC85" s="30" t="str">
        <f t="shared" si="18"/>
        <v/>
      </c>
      <c r="AD85" s="30" t="str">
        <f t="shared" si="19"/>
        <v/>
      </c>
    </row>
    <row r="86" spans="1:30">
      <c r="A86" s="29">
        <v>85</v>
      </c>
      <c r="B86" s="29" t="str">
        <f>IF(INT(($A86-1)/28)+1&lt;=Setup!$B$5,INT(($A86-1)/28)+1,"")</f>
        <v/>
      </c>
      <c r="C86" s="29" t="str">
        <f t="shared" si="10"/>
        <v/>
      </c>
      <c r="D86" s="29">
        <f t="shared" si="11"/>
        <v>1</v>
      </c>
      <c r="E86" s="29" t="str">
        <f>IF($B86="","",IFERROR(INDEX('Fixture Library'!$C$2:$C$200,MATCH(Setup!$B$6*100+$D86,'Fixture Library'!$F$2:$F$200,0)),""))</f>
        <v/>
      </c>
      <c r="F86" s="30" t="str">
        <f>IF($B86="","",IFERROR(INDEX('Fixture Library'!$D$2:$D$200,MATCH(Setup!$B$6*100+$D86,'Fixture Library'!$F$2:$F$200,0)),""))</f>
        <v/>
      </c>
      <c r="G86" s="30" t="str">
        <f>IF($F86="","",INDEX(Teams!$E$2:$E$65,($B86-1)*8+$F86))</f>
        <v/>
      </c>
      <c r="H86" s="30" t="str">
        <f>IF($B86="","",IFERROR(INDEX('Fixture Library'!$E$2:$E$200,MATCH(Setup!$B$6*100+$D86,'Fixture Library'!$F$2:$F$200,0)),""))</f>
        <v/>
      </c>
      <c r="I86" s="30" t="str">
        <f>IF($H86="","",INDEX(Teams!$E$2:$E$65,($B86-1)*8+$H86))</f>
        <v/>
      </c>
      <c r="J86" s="34" t="str">
        <f>IF($G86="","",IFERROR(INDEX('Match Entry'!$F$5:$F$228,5+($B86-1)*Setup!$B$13+$D86-1-4),""))</f>
        <v/>
      </c>
      <c r="K86" s="35" t="str">
        <f>IF($G86="","",IFERROR(INDEX('Match Entry'!$G$5:$G$228,5+($B86-1)*Setup!$B$13+$D86-1-4),""))</f>
        <v/>
      </c>
      <c r="L86" s="34" t="str">
        <f>IF($G86="","",IFERROR(INDEX('Match Entry'!$H$5:$H$228,5+($B86-1)*Setup!$B$13+$D86-1-4),""))</f>
        <v/>
      </c>
      <c r="M86" s="35" t="str">
        <f>IF($G86="","",IFERROR(INDEX('Match Entry'!$I$5:$I$228,5+($B86-1)*Setup!$B$13+$D86-1-4),""))</f>
        <v/>
      </c>
      <c r="N86" s="34" t="str">
        <f>IF($G86="","",IFERROR(INDEX('Match Entry'!$J$5:$J$228,5+($B86-1)*Setup!$B$13+$D86-1-4),""))</f>
        <v/>
      </c>
      <c r="O86" s="35" t="str">
        <f>IF($G86="","",IFERROR(INDEX('Match Entry'!$K$5:$K$228,5+($B86-1)*Setup!$B$13+$D86-1-4),""))</f>
        <v/>
      </c>
      <c r="P86" s="34" t="str">
        <f>IF($G86="","",IFERROR(INDEX('Match Entry'!$L$5:$L$228,5+($B86-1)*Setup!$B$13+$D86-1-4),""))</f>
        <v/>
      </c>
      <c r="Q86" s="35" t="str">
        <f>IF($G86="","",IFERROR(INDEX('Match Entry'!$M$5:$M$228,5+($B86-1)*Setup!$B$13+$D86-1-4),""))</f>
        <v/>
      </c>
      <c r="R86" s="34" t="str">
        <f>IF($G86="","",IFERROR(INDEX('Match Entry'!$N$5:$N$228,5+($B86-1)*Setup!$B$13+$D86-1-4),""))</f>
        <v/>
      </c>
      <c r="S86" s="35" t="str">
        <f>IF($G86="","",IFERROR(INDEX('Match Entry'!$O$5:$O$228,5+($B86-1)*Setup!$B$13+$D86-1-4),""))</f>
        <v/>
      </c>
      <c r="T86" s="33" t="str">
        <f t="shared" si="12"/>
        <v/>
      </c>
      <c r="U86" s="33" t="str">
        <f t="shared" si="13"/>
        <v/>
      </c>
      <c r="V86" s="33" t="str">
        <f t="shared" si="14"/>
        <v/>
      </c>
      <c r="W86" s="33" t="str">
        <f t="shared" si="15"/>
        <v/>
      </c>
      <c r="X86" s="30" t="str">
        <f>IF(OR($G86="",$I86=""),"",IF(OR($T86&gt;=Setup!$B$8,$U86&gt;=Setup!$B$8),1,""))</f>
        <v/>
      </c>
      <c r="Y86" s="30" t="str">
        <f t="shared" si="16"/>
        <v/>
      </c>
      <c r="Z86" s="33" t="str">
        <f>IF($X86=1,IF($T86&gt;$U86,Setup!$B$9,Setup!$B$10),"")</f>
        <v/>
      </c>
      <c r="AA86" s="33" t="str">
        <f>IF($X86=1,IF($U86&gt;$T86,Setup!$B$9,Setup!$B$10),"")</f>
        <v/>
      </c>
      <c r="AB86" s="30" t="str">
        <f t="shared" si="17"/>
        <v/>
      </c>
      <c r="AC86" s="30" t="str">
        <f t="shared" si="18"/>
        <v/>
      </c>
      <c r="AD86" s="30" t="str">
        <f t="shared" si="19"/>
        <v/>
      </c>
    </row>
    <row r="87" spans="1:30">
      <c r="A87" s="29">
        <v>86</v>
      </c>
      <c r="B87" s="29" t="str">
        <f>IF(INT(($A87-1)/28)+1&lt;=Setup!$B$5,INT(($A87-1)/28)+1,"")</f>
        <v/>
      </c>
      <c r="C87" s="29" t="str">
        <f t="shared" si="10"/>
        <v/>
      </c>
      <c r="D87" s="29">
        <f t="shared" si="11"/>
        <v>2</v>
      </c>
      <c r="E87" s="29" t="str">
        <f>IF($B87="","",IFERROR(INDEX('Fixture Library'!$C$2:$C$200,MATCH(Setup!$B$6*100+$D87,'Fixture Library'!$F$2:$F$200,0)),""))</f>
        <v/>
      </c>
      <c r="F87" s="30" t="str">
        <f>IF($B87="","",IFERROR(INDEX('Fixture Library'!$D$2:$D$200,MATCH(Setup!$B$6*100+$D87,'Fixture Library'!$F$2:$F$200,0)),""))</f>
        <v/>
      </c>
      <c r="G87" s="30" t="str">
        <f>IF($F87="","",INDEX(Teams!$E$2:$E$65,($B87-1)*8+$F87))</f>
        <v/>
      </c>
      <c r="H87" s="30" t="str">
        <f>IF($B87="","",IFERROR(INDEX('Fixture Library'!$E$2:$E$200,MATCH(Setup!$B$6*100+$D87,'Fixture Library'!$F$2:$F$200,0)),""))</f>
        <v/>
      </c>
      <c r="I87" s="30" t="str">
        <f>IF($H87="","",INDEX(Teams!$E$2:$E$65,($B87-1)*8+$H87))</f>
        <v/>
      </c>
      <c r="J87" s="34" t="str">
        <f>IF($G87="","",IFERROR(INDEX('Match Entry'!$F$5:$F$228,5+($B87-1)*Setup!$B$13+$D87-1-4),""))</f>
        <v/>
      </c>
      <c r="K87" s="35" t="str">
        <f>IF($G87="","",IFERROR(INDEX('Match Entry'!$G$5:$G$228,5+($B87-1)*Setup!$B$13+$D87-1-4),""))</f>
        <v/>
      </c>
      <c r="L87" s="34" t="str">
        <f>IF($G87="","",IFERROR(INDEX('Match Entry'!$H$5:$H$228,5+($B87-1)*Setup!$B$13+$D87-1-4),""))</f>
        <v/>
      </c>
      <c r="M87" s="35" t="str">
        <f>IF($G87="","",IFERROR(INDEX('Match Entry'!$I$5:$I$228,5+($B87-1)*Setup!$B$13+$D87-1-4),""))</f>
        <v/>
      </c>
      <c r="N87" s="34" t="str">
        <f>IF($G87="","",IFERROR(INDEX('Match Entry'!$J$5:$J$228,5+($B87-1)*Setup!$B$13+$D87-1-4),""))</f>
        <v/>
      </c>
      <c r="O87" s="35" t="str">
        <f>IF($G87="","",IFERROR(INDEX('Match Entry'!$K$5:$K$228,5+($B87-1)*Setup!$B$13+$D87-1-4),""))</f>
        <v/>
      </c>
      <c r="P87" s="34" t="str">
        <f>IF($G87="","",IFERROR(INDEX('Match Entry'!$L$5:$L$228,5+($B87-1)*Setup!$B$13+$D87-1-4),""))</f>
        <v/>
      </c>
      <c r="Q87" s="35" t="str">
        <f>IF($G87="","",IFERROR(INDEX('Match Entry'!$M$5:$M$228,5+($B87-1)*Setup!$B$13+$D87-1-4),""))</f>
        <v/>
      </c>
      <c r="R87" s="34" t="str">
        <f>IF($G87="","",IFERROR(INDEX('Match Entry'!$N$5:$N$228,5+($B87-1)*Setup!$B$13+$D87-1-4),""))</f>
        <v/>
      </c>
      <c r="S87" s="35" t="str">
        <f>IF($G87="","",IFERROR(INDEX('Match Entry'!$O$5:$O$228,5+($B87-1)*Setup!$B$13+$D87-1-4),""))</f>
        <v/>
      </c>
      <c r="T87" s="33" t="str">
        <f t="shared" si="12"/>
        <v/>
      </c>
      <c r="U87" s="33" t="str">
        <f t="shared" si="13"/>
        <v/>
      </c>
      <c r="V87" s="33" t="str">
        <f t="shared" si="14"/>
        <v/>
      </c>
      <c r="W87" s="33" t="str">
        <f t="shared" si="15"/>
        <v/>
      </c>
      <c r="X87" s="30" t="str">
        <f>IF(OR($G87="",$I87=""),"",IF(OR($T87&gt;=Setup!$B$8,$U87&gt;=Setup!$B$8),1,""))</f>
        <v/>
      </c>
      <c r="Y87" s="30" t="str">
        <f t="shared" si="16"/>
        <v/>
      </c>
      <c r="Z87" s="33" t="str">
        <f>IF($X87=1,IF($T87&gt;$U87,Setup!$B$9,Setup!$B$10),"")</f>
        <v/>
      </c>
      <c r="AA87" s="33" t="str">
        <f>IF($X87=1,IF($U87&gt;$T87,Setup!$B$9,Setup!$B$10),"")</f>
        <v/>
      </c>
      <c r="AB87" s="30" t="str">
        <f t="shared" si="17"/>
        <v/>
      </c>
      <c r="AC87" s="30" t="str">
        <f t="shared" si="18"/>
        <v/>
      </c>
      <c r="AD87" s="30" t="str">
        <f t="shared" si="19"/>
        <v/>
      </c>
    </row>
    <row r="88" spans="1:30">
      <c r="A88" s="29">
        <v>87</v>
      </c>
      <c r="B88" s="29" t="str">
        <f>IF(INT(($A88-1)/28)+1&lt;=Setup!$B$5,INT(($A88-1)/28)+1,"")</f>
        <v/>
      </c>
      <c r="C88" s="29" t="str">
        <f t="shared" si="10"/>
        <v/>
      </c>
      <c r="D88" s="29">
        <f t="shared" si="11"/>
        <v>3</v>
      </c>
      <c r="E88" s="29" t="str">
        <f>IF($B88="","",IFERROR(INDEX('Fixture Library'!$C$2:$C$200,MATCH(Setup!$B$6*100+$D88,'Fixture Library'!$F$2:$F$200,0)),""))</f>
        <v/>
      </c>
      <c r="F88" s="30" t="str">
        <f>IF($B88="","",IFERROR(INDEX('Fixture Library'!$D$2:$D$200,MATCH(Setup!$B$6*100+$D88,'Fixture Library'!$F$2:$F$200,0)),""))</f>
        <v/>
      </c>
      <c r="G88" s="30" t="str">
        <f>IF($F88="","",INDEX(Teams!$E$2:$E$65,($B88-1)*8+$F88))</f>
        <v/>
      </c>
      <c r="H88" s="30" t="str">
        <f>IF($B88="","",IFERROR(INDEX('Fixture Library'!$E$2:$E$200,MATCH(Setup!$B$6*100+$D88,'Fixture Library'!$F$2:$F$200,0)),""))</f>
        <v/>
      </c>
      <c r="I88" s="30" t="str">
        <f>IF($H88="","",INDEX(Teams!$E$2:$E$65,($B88-1)*8+$H88))</f>
        <v/>
      </c>
      <c r="J88" s="34" t="str">
        <f>IF($G88="","",IFERROR(INDEX('Match Entry'!$F$5:$F$228,5+($B88-1)*Setup!$B$13+$D88-1-4),""))</f>
        <v/>
      </c>
      <c r="K88" s="35" t="str">
        <f>IF($G88="","",IFERROR(INDEX('Match Entry'!$G$5:$G$228,5+($B88-1)*Setup!$B$13+$D88-1-4),""))</f>
        <v/>
      </c>
      <c r="L88" s="34" t="str">
        <f>IF($G88="","",IFERROR(INDEX('Match Entry'!$H$5:$H$228,5+($B88-1)*Setup!$B$13+$D88-1-4),""))</f>
        <v/>
      </c>
      <c r="M88" s="35" t="str">
        <f>IF($G88="","",IFERROR(INDEX('Match Entry'!$I$5:$I$228,5+($B88-1)*Setup!$B$13+$D88-1-4),""))</f>
        <v/>
      </c>
      <c r="N88" s="34" t="str">
        <f>IF($G88="","",IFERROR(INDEX('Match Entry'!$J$5:$J$228,5+($B88-1)*Setup!$B$13+$D88-1-4),""))</f>
        <v/>
      </c>
      <c r="O88" s="35" t="str">
        <f>IF($G88="","",IFERROR(INDEX('Match Entry'!$K$5:$K$228,5+($B88-1)*Setup!$B$13+$D88-1-4),""))</f>
        <v/>
      </c>
      <c r="P88" s="34" t="str">
        <f>IF($G88="","",IFERROR(INDEX('Match Entry'!$L$5:$L$228,5+($B88-1)*Setup!$B$13+$D88-1-4),""))</f>
        <v/>
      </c>
      <c r="Q88" s="35" t="str">
        <f>IF($G88="","",IFERROR(INDEX('Match Entry'!$M$5:$M$228,5+($B88-1)*Setup!$B$13+$D88-1-4),""))</f>
        <v/>
      </c>
      <c r="R88" s="34" t="str">
        <f>IF($G88="","",IFERROR(INDEX('Match Entry'!$N$5:$N$228,5+($B88-1)*Setup!$B$13+$D88-1-4),""))</f>
        <v/>
      </c>
      <c r="S88" s="35" t="str">
        <f>IF($G88="","",IFERROR(INDEX('Match Entry'!$O$5:$O$228,5+($B88-1)*Setup!$B$13+$D88-1-4),""))</f>
        <v/>
      </c>
      <c r="T88" s="33" t="str">
        <f t="shared" si="12"/>
        <v/>
      </c>
      <c r="U88" s="33" t="str">
        <f t="shared" si="13"/>
        <v/>
      </c>
      <c r="V88" s="33" t="str">
        <f t="shared" si="14"/>
        <v/>
      </c>
      <c r="W88" s="33" t="str">
        <f t="shared" si="15"/>
        <v/>
      </c>
      <c r="X88" s="30" t="str">
        <f>IF(OR($G88="",$I88=""),"",IF(OR($T88&gt;=Setup!$B$8,$U88&gt;=Setup!$B$8),1,""))</f>
        <v/>
      </c>
      <c r="Y88" s="30" t="str">
        <f t="shared" si="16"/>
        <v/>
      </c>
      <c r="Z88" s="33" t="str">
        <f>IF($X88=1,IF($T88&gt;$U88,Setup!$B$9,Setup!$B$10),"")</f>
        <v/>
      </c>
      <c r="AA88" s="33" t="str">
        <f>IF($X88=1,IF($U88&gt;$T88,Setup!$B$9,Setup!$B$10),"")</f>
        <v/>
      </c>
      <c r="AB88" s="30" t="str">
        <f t="shared" si="17"/>
        <v/>
      </c>
      <c r="AC88" s="30" t="str">
        <f t="shared" si="18"/>
        <v/>
      </c>
      <c r="AD88" s="30" t="str">
        <f t="shared" si="19"/>
        <v/>
      </c>
    </row>
    <row r="89" spans="1:30">
      <c r="A89" s="29">
        <v>88</v>
      </c>
      <c r="B89" s="29" t="str">
        <f>IF(INT(($A89-1)/28)+1&lt;=Setup!$B$5,INT(($A89-1)/28)+1,"")</f>
        <v/>
      </c>
      <c r="C89" s="29" t="str">
        <f t="shared" si="10"/>
        <v/>
      </c>
      <c r="D89" s="29">
        <f t="shared" si="11"/>
        <v>4</v>
      </c>
      <c r="E89" s="29" t="str">
        <f>IF($B89="","",IFERROR(INDEX('Fixture Library'!$C$2:$C$200,MATCH(Setup!$B$6*100+$D89,'Fixture Library'!$F$2:$F$200,0)),""))</f>
        <v/>
      </c>
      <c r="F89" s="30" t="str">
        <f>IF($B89="","",IFERROR(INDEX('Fixture Library'!$D$2:$D$200,MATCH(Setup!$B$6*100+$D89,'Fixture Library'!$F$2:$F$200,0)),""))</f>
        <v/>
      </c>
      <c r="G89" s="30" t="str">
        <f>IF($F89="","",INDEX(Teams!$E$2:$E$65,($B89-1)*8+$F89))</f>
        <v/>
      </c>
      <c r="H89" s="30" t="str">
        <f>IF($B89="","",IFERROR(INDEX('Fixture Library'!$E$2:$E$200,MATCH(Setup!$B$6*100+$D89,'Fixture Library'!$F$2:$F$200,0)),""))</f>
        <v/>
      </c>
      <c r="I89" s="30" t="str">
        <f>IF($H89="","",INDEX(Teams!$E$2:$E$65,($B89-1)*8+$H89))</f>
        <v/>
      </c>
      <c r="J89" s="34" t="str">
        <f>IF($G89="","",IFERROR(INDEX('Match Entry'!$F$5:$F$228,5+($B89-1)*Setup!$B$13+$D89-1-4),""))</f>
        <v/>
      </c>
      <c r="K89" s="35" t="str">
        <f>IF($G89="","",IFERROR(INDEX('Match Entry'!$G$5:$G$228,5+($B89-1)*Setup!$B$13+$D89-1-4),""))</f>
        <v/>
      </c>
      <c r="L89" s="34" t="str">
        <f>IF($G89="","",IFERROR(INDEX('Match Entry'!$H$5:$H$228,5+($B89-1)*Setup!$B$13+$D89-1-4),""))</f>
        <v/>
      </c>
      <c r="M89" s="35" t="str">
        <f>IF($G89="","",IFERROR(INDEX('Match Entry'!$I$5:$I$228,5+($B89-1)*Setup!$B$13+$D89-1-4),""))</f>
        <v/>
      </c>
      <c r="N89" s="34" t="str">
        <f>IF($G89="","",IFERROR(INDEX('Match Entry'!$J$5:$J$228,5+($B89-1)*Setup!$B$13+$D89-1-4),""))</f>
        <v/>
      </c>
      <c r="O89" s="35" t="str">
        <f>IF($G89="","",IFERROR(INDEX('Match Entry'!$K$5:$K$228,5+($B89-1)*Setup!$B$13+$D89-1-4),""))</f>
        <v/>
      </c>
      <c r="P89" s="34" t="str">
        <f>IF($G89="","",IFERROR(INDEX('Match Entry'!$L$5:$L$228,5+($B89-1)*Setup!$B$13+$D89-1-4),""))</f>
        <v/>
      </c>
      <c r="Q89" s="35" t="str">
        <f>IF($G89="","",IFERROR(INDEX('Match Entry'!$M$5:$M$228,5+($B89-1)*Setup!$B$13+$D89-1-4),""))</f>
        <v/>
      </c>
      <c r="R89" s="34" t="str">
        <f>IF($G89="","",IFERROR(INDEX('Match Entry'!$N$5:$N$228,5+($B89-1)*Setup!$B$13+$D89-1-4),""))</f>
        <v/>
      </c>
      <c r="S89" s="35" t="str">
        <f>IF($G89="","",IFERROR(INDEX('Match Entry'!$O$5:$O$228,5+($B89-1)*Setup!$B$13+$D89-1-4),""))</f>
        <v/>
      </c>
      <c r="T89" s="33" t="str">
        <f t="shared" si="12"/>
        <v/>
      </c>
      <c r="U89" s="33" t="str">
        <f t="shared" si="13"/>
        <v/>
      </c>
      <c r="V89" s="33" t="str">
        <f t="shared" si="14"/>
        <v/>
      </c>
      <c r="W89" s="33" t="str">
        <f t="shared" si="15"/>
        <v/>
      </c>
      <c r="X89" s="30" t="str">
        <f>IF(OR($G89="",$I89=""),"",IF(OR($T89&gt;=Setup!$B$8,$U89&gt;=Setup!$B$8),1,""))</f>
        <v/>
      </c>
      <c r="Y89" s="30" t="str">
        <f t="shared" si="16"/>
        <v/>
      </c>
      <c r="Z89" s="33" t="str">
        <f>IF($X89=1,IF($T89&gt;$U89,Setup!$B$9,Setup!$B$10),"")</f>
        <v/>
      </c>
      <c r="AA89" s="33" t="str">
        <f>IF($X89=1,IF($U89&gt;$T89,Setup!$B$9,Setup!$B$10),"")</f>
        <v/>
      </c>
      <c r="AB89" s="30" t="str">
        <f t="shared" si="17"/>
        <v/>
      </c>
      <c r="AC89" s="30" t="str">
        <f t="shared" si="18"/>
        <v/>
      </c>
      <c r="AD89" s="30" t="str">
        <f t="shared" si="19"/>
        <v/>
      </c>
    </row>
    <row r="90" spans="1:30">
      <c r="A90" s="29">
        <v>89</v>
      </c>
      <c r="B90" s="29" t="str">
        <f>IF(INT(($A90-1)/28)+1&lt;=Setup!$B$5,INT(($A90-1)/28)+1,"")</f>
        <v/>
      </c>
      <c r="C90" s="29" t="str">
        <f t="shared" si="10"/>
        <v/>
      </c>
      <c r="D90" s="29">
        <f t="shared" si="11"/>
        <v>5</v>
      </c>
      <c r="E90" s="29" t="str">
        <f>IF($B90="","",IFERROR(INDEX('Fixture Library'!$C$2:$C$200,MATCH(Setup!$B$6*100+$D90,'Fixture Library'!$F$2:$F$200,0)),""))</f>
        <v/>
      </c>
      <c r="F90" s="30" t="str">
        <f>IF($B90="","",IFERROR(INDEX('Fixture Library'!$D$2:$D$200,MATCH(Setup!$B$6*100+$D90,'Fixture Library'!$F$2:$F$200,0)),""))</f>
        <v/>
      </c>
      <c r="G90" s="30" t="str">
        <f>IF($F90="","",INDEX(Teams!$E$2:$E$65,($B90-1)*8+$F90))</f>
        <v/>
      </c>
      <c r="H90" s="30" t="str">
        <f>IF($B90="","",IFERROR(INDEX('Fixture Library'!$E$2:$E$200,MATCH(Setup!$B$6*100+$D90,'Fixture Library'!$F$2:$F$200,0)),""))</f>
        <v/>
      </c>
      <c r="I90" s="30" t="str">
        <f>IF($H90="","",INDEX(Teams!$E$2:$E$65,($B90-1)*8+$H90))</f>
        <v/>
      </c>
      <c r="J90" s="34" t="str">
        <f>IF($G90="","",IFERROR(INDEX('Match Entry'!$F$5:$F$228,5+($B90-1)*Setup!$B$13+$D90-1-4),""))</f>
        <v/>
      </c>
      <c r="K90" s="35" t="str">
        <f>IF($G90="","",IFERROR(INDEX('Match Entry'!$G$5:$G$228,5+($B90-1)*Setup!$B$13+$D90-1-4),""))</f>
        <v/>
      </c>
      <c r="L90" s="34" t="str">
        <f>IF($G90="","",IFERROR(INDEX('Match Entry'!$H$5:$H$228,5+($B90-1)*Setup!$B$13+$D90-1-4),""))</f>
        <v/>
      </c>
      <c r="M90" s="35" t="str">
        <f>IF($G90="","",IFERROR(INDEX('Match Entry'!$I$5:$I$228,5+($B90-1)*Setup!$B$13+$D90-1-4),""))</f>
        <v/>
      </c>
      <c r="N90" s="34" t="str">
        <f>IF($G90="","",IFERROR(INDEX('Match Entry'!$J$5:$J$228,5+($B90-1)*Setup!$B$13+$D90-1-4),""))</f>
        <v/>
      </c>
      <c r="O90" s="35" t="str">
        <f>IF($G90="","",IFERROR(INDEX('Match Entry'!$K$5:$K$228,5+($B90-1)*Setup!$B$13+$D90-1-4),""))</f>
        <v/>
      </c>
      <c r="P90" s="34" t="str">
        <f>IF($G90="","",IFERROR(INDEX('Match Entry'!$L$5:$L$228,5+($B90-1)*Setup!$B$13+$D90-1-4),""))</f>
        <v/>
      </c>
      <c r="Q90" s="35" t="str">
        <f>IF($G90="","",IFERROR(INDEX('Match Entry'!$M$5:$M$228,5+($B90-1)*Setup!$B$13+$D90-1-4),""))</f>
        <v/>
      </c>
      <c r="R90" s="34" t="str">
        <f>IF($G90="","",IFERROR(INDEX('Match Entry'!$N$5:$N$228,5+($B90-1)*Setup!$B$13+$D90-1-4),""))</f>
        <v/>
      </c>
      <c r="S90" s="35" t="str">
        <f>IF($G90="","",IFERROR(INDEX('Match Entry'!$O$5:$O$228,5+($B90-1)*Setup!$B$13+$D90-1-4),""))</f>
        <v/>
      </c>
      <c r="T90" s="33" t="str">
        <f t="shared" si="12"/>
        <v/>
      </c>
      <c r="U90" s="33" t="str">
        <f t="shared" si="13"/>
        <v/>
      </c>
      <c r="V90" s="33" t="str">
        <f t="shared" si="14"/>
        <v/>
      </c>
      <c r="W90" s="33" t="str">
        <f t="shared" si="15"/>
        <v/>
      </c>
      <c r="X90" s="30" t="str">
        <f>IF(OR($G90="",$I90=""),"",IF(OR($T90&gt;=Setup!$B$8,$U90&gt;=Setup!$B$8),1,""))</f>
        <v/>
      </c>
      <c r="Y90" s="30" t="str">
        <f t="shared" si="16"/>
        <v/>
      </c>
      <c r="Z90" s="33" t="str">
        <f>IF($X90=1,IF($T90&gt;$U90,Setup!$B$9,Setup!$B$10),"")</f>
        <v/>
      </c>
      <c r="AA90" s="33" t="str">
        <f>IF($X90=1,IF($U90&gt;$T90,Setup!$B$9,Setup!$B$10),"")</f>
        <v/>
      </c>
      <c r="AB90" s="30" t="str">
        <f t="shared" si="17"/>
        <v/>
      </c>
      <c r="AC90" s="30" t="str">
        <f t="shared" si="18"/>
        <v/>
      </c>
      <c r="AD90" s="30" t="str">
        <f t="shared" si="19"/>
        <v/>
      </c>
    </row>
    <row r="91" spans="1:30">
      <c r="A91" s="29">
        <v>90</v>
      </c>
      <c r="B91" s="29" t="str">
        <f>IF(INT(($A91-1)/28)+1&lt;=Setup!$B$5,INT(($A91-1)/28)+1,"")</f>
        <v/>
      </c>
      <c r="C91" s="29" t="str">
        <f t="shared" si="10"/>
        <v/>
      </c>
      <c r="D91" s="29">
        <f t="shared" si="11"/>
        <v>6</v>
      </c>
      <c r="E91" s="29" t="str">
        <f>IF($B91="","",IFERROR(INDEX('Fixture Library'!$C$2:$C$200,MATCH(Setup!$B$6*100+$D91,'Fixture Library'!$F$2:$F$200,0)),""))</f>
        <v/>
      </c>
      <c r="F91" s="30" t="str">
        <f>IF($B91="","",IFERROR(INDEX('Fixture Library'!$D$2:$D$200,MATCH(Setup!$B$6*100+$D91,'Fixture Library'!$F$2:$F$200,0)),""))</f>
        <v/>
      </c>
      <c r="G91" s="30" t="str">
        <f>IF($F91="","",INDEX(Teams!$E$2:$E$65,($B91-1)*8+$F91))</f>
        <v/>
      </c>
      <c r="H91" s="30" t="str">
        <f>IF($B91="","",IFERROR(INDEX('Fixture Library'!$E$2:$E$200,MATCH(Setup!$B$6*100+$D91,'Fixture Library'!$F$2:$F$200,0)),""))</f>
        <v/>
      </c>
      <c r="I91" s="30" t="str">
        <f>IF($H91="","",INDEX(Teams!$E$2:$E$65,($B91-1)*8+$H91))</f>
        <v/>
      </c>
      <c r="J91" s="34" t="str">
        <f>IF($G91="","",IFERROR(INDEX('Match Entry'!$F$5:$F$228,5+($B91-1)*Setup!$B$13+$D91-1-4),""))</f>
        <v/>
      </c>
      <c r="K91" s="35" t="str">
        <f>IF($G91="","",IFERROR(INDEX('Match Entry'!$G$5:$G$228,5+($B91-1)*Setup!$B$13+$D91-1-4),""))</f>
        <v/>
      </c>
      <c r="L91" s="34" t="str">
        <f>IF($G91="","",IFERROR(INDEX('Match Entry'!$H$5:$H$228,5+($B91-1)*Setup!$B$13+$D91-1-4),""))</f>
        <v/>
      </c>
      <c r="M91" s="35" t="str">
        <f>IF($G91="","",IFERROR(INDEX('Match Entry'!$I$5:$I$228,5+($B91-1)*Setup!$B$13+$D91-1-4),""))</f>
        <v/>
      </c>
      <c r="N91" s="34" t="str">
        <f>IF($G91="","",IFERROR(INDEX('Match Entry'!$J$5:$J$228,5+($B91-1)*Setup!$B$13+$D91-1-4),""))</f>
        <v/>
      </c>
      <c r="O91" s="35" t="str">
        <f>IF($G91="","",IFERROR(INDEX('Match Entry'!$K$5:$K$228,5+($B91-1)*Setup!$B$13+$D91-1-4),""))</f>
        <v/>
      </c>
      <c r="P91" s="34" t="str">
        <f>IF($G91="","",IFERROR(INDEX('Match Entry'!$L$5:$L$228,5+($B91-1)*Setup!$B$13+$D91-1-4),""))</f>
        <v/>
      </c>
      <c r="Q91" s="35" t="str">
        <f>IF($G91="","",IFERROR(INDEX('Match Entry'!$M$5:$M$228,5+($B91-1)*Setup!$B$13+$D91-1-4),""))</f>
        <v/>
      </c>
      <c r="R91" s="34" t="str">
        <f>IF($G91="","",IFERROR(INDEX('Match Entry'!$N$5:$N$228,5+($B91-1)*Setup!$B$13+$D91-1-4),""))</f>
        <v/>
      </c>
      <c r="S91" s="35" t="str">
        <f>IF($G91="","",IFERROR(INDEX('Match Entry'!$O$5:$O$228,5+($B91-1)*Setup!$B$13+$D91-1-4),""))</f>
        <v/>
      </c>
      <c r="T91" s="33" t="str">
        <f t="shared" si="12"/>
        <v/>
      </c>
      <c r="U91" s="33" t="str">
        <f t="shared" si="13"/>
        <v/>
      </c>
      <c r="V91" s="33" t="str">
        <f t="shared" si="14"/>
        <v/>
      </c>
      <c r="W91" s="33" t="str">
        <f t="shared" si="15"/>
        <v/>
      </c>
      <c r="X91" s="30" t="str">
        <f>IF(OR($G91="",$I91=""),"",IF(OR($T91&gt;=Setup!$B$8,$U91&gt;=Setup!$B$8),1,""))</f>
        <v/>
      </c>
      <c r="Y91" s="30" t="str">
        <f t="shared" si="16"/>
        <v/>
      </c>
      <c r="Z91" s="33" t="str">
        <f>IF($X91=1,IF($T91&gt;$U91,Setup!$B$9,Setup!$B$10),"")</f>
        <v/>
      </c>
      <c r="AA91" s="33" t="str">
        <f>IF($X91=1,IF($U91&gt;$T91,Setup!$B$9,Setup!$B$10),"")</f>
        <v/>
      </c>
      <c r="AB91" s="30" t="str">
        <f t="shared" si="17"/>
        <v/>
      </c>
      <c r="AC91" s="30" t="str">
        <f t="shared" si="18"/>
        <v/>
      </c>
      <c r="AD91" s="30" t="str">
        <f t="shared" si="19"/>
        <v/>
      </c>
    </row>
    <row r="92" spans="1:30">
      <c r="A92" s="29">
        <v>91</v>
      </c>
      <c r="B92" s="29" t="str">
        <f>IF(INT(($A92-1)/28)+1&lt;=Setup!$B$5,INT(($A92-1)/28)+1,"")</f>
        <v/>
      </c>
      <c r="C92" s="29" t="str">
        <f t="shared" si="10"/>
        <v/>
      </c>
      <c r="D92" s="29">
        <f t="shared" si="11"/>
        <v>7</v>
      </c>
      <c r="E92" s="29" t="str">
        <f>IF($B92="","",IFERROR(INDEX('Fixture Library'!$C$2:$C$200,MATCH(Setup!$B$6*100+$D92,'Fixture Library'!$F$2:$F$200,0)),""))</f>
        <v/>
      </c>
      <c r="F92" s="30" t="str">
        <f>IF($B92="","",IFERROR(INDEX('Fixture Library'!$D$2:$D$200,MATCH(Setup!$B$6*100+$D92,'Fixture Library'!$F$2:$F$200,0)),""))</f>
        <v/>
      </c>
      <c r="G92" s="30" t="str">
        <f>IF($F92="","",INDEX(Teams!$E$2:$E$65,($B92-1)*8+$F92))</f>
        <v/>
      </c>
      <c r="H92" s="30" t="str">
        <f>IF($B92="","",IFERROR(INDEX('Fixture Library'!$E$2:$E$200,MATCH(Setup!$B$6*100+$D92,'Fixture Library'!$F$2:$F$200,0)),""))</f>
        <v/>
      </c>
      <c r="I92" s="30" t="str">
        <f>IF($H92="","",INDEX(Teams!$E$2:$E$65,($B92-1)*8+$H92))</f>
        <v/>
      </c>
      <c r="J92" s="34" t="str">
        <f>IF($G92="","",IFERROR(INDEX('Match Entry'!$F$5:$F$228,5+($B92-1)*Setup!$B$13+$D92-1-4),""))</f>
        <v/>
      </c>
      <c r="K92" s="35" t="str">
        <f>IF($G92="","",IFERROR(INDEX('Match Entry'!$G$5:$G$228,5+($B92-1)*Setup!$B$13+$D92-1-4),""))</f>
        <v/>
      </c>
      <c r="L92" s="34" t="str">
        <f>IF($G92="","",IFERROR(INDEX('Match Entry'!$H$5:$H$228,5+($B92-1)*Setup!$B$13+$D92-1-4),""))</f>
        <v/>
      </c>
      <c r="M92" s="35" t="str">
        <f>IF($G92="","",IFERROR(INDEX('Match Entry'!$I$5:$I$228,5+($B92-1)*Setup!$B$13+$D92-1-4),""))</f>
        <v/>
      </c>
      <c r="N92" s="34" t="str">
        <f>IF($G92="","",IFERROR(INDEX('Match Entry'!$J$5:$J$228,5+($B92-1)*Setup!$B$13+$D92-1-4),""))</f>
        <v/>
      </c>
      <c r="O92" s="35" t="str">
        <f>IF($G92="","",IFERROR(INDEX('Match Entry'!$K$5:$K$228,5+($B92-1)*Setup!$B$13+$D92-1-4),""))</f>
        <v/>
      </c>
      <c r="P92" s="34" t="str">
        <f>IF($G92="","",IFERROR(INDEX('Match Entry'!$L$5:$L$228,5+($B92-1)*Setup!$B$13+$D92-1-4),""))</f>
        <v/>
      </c>
      <c r="Q92" s="35" t="str">
        <f>IF($G92="","",IFERROR(INDEX('Match Entry'!$M$5:$M$228,5+($B92-1)*Setup!$B$13+$D92-1-4),""))</f>
        <v/>
      </c>
      <c r="R92" s="34" t="str">
        <f>IF($G92="","",IFERROR(INDEX('Match Entry'!$N$5:$N$228,5+($B92-1)*Setup!$B$13+$D92-1-4),""))</f>
        <v/>
      </c>
      <c r="S92" s="35" t="str">
        <f>IF($G92="","",IFERROR(INDEX('Match Entry'!$O$5:$O$228,5+($B92-1)*Setup!$B$13+$D92-1-4),""))</f>
        <v/>
      </c>
      <c r="T92" s="33" t="str">
        <f t="shared" si="12"/>
        <v/>
      </c>
      <c r="U92" s="33" t="str">
        <f t="shared" si="13"/>
        <v/>
      </c>
      <c r="V92" s="33" t="str">
        <f t="shared" si="14"/>
        <v/>
      </c>
      <c r="W92" s="33" t="str">
        <f t="shared" si="15"/>
        <v/>
      </c>
      <c r="X92" s="30" t="str">
        <f>IF(OR($G92="",$I92=""),"",IF(OR($T92&gt;=Setup!$B$8,$U92&gt;=Setup!$B$8),1,""))</f>
        <v/>
      </c>
      <c r="Y92" s="30" t="str">
        <f t="shared" si="16"/>
        <v/>
      </c>
      <c r="Z92" s="33" t="str">
        <f>IF($X92=1,IF($T92&gt;$U92,Setup!$B$9,Setup!$B$10),"")</f>
        <v/>
      </c>
      <c r="AA92" s="33" t="str">
        <f>IF($X92=1,IF($U92&gt;$T92,Setup!$B$9,Setup!$B$10),"")</f>
        <v/>
      </c>
      <c r="AB92" s="30" t="str">
        <f t="shared" si="17"/>
        <v/>
      </c>
      <c r="AC92" s="30" t="str">
        <f t="shared" si="18"/>
        <v/>
      </c>
      <c r="AD92" s="30" t="str">
        <f t="shared" si="19"/>
        <v/>
      </c>
    </row>
    <row r="93" spans="1:30">
      <c r="A93" s="29">
        <v>92</v>
      </c>
      <c r="B93" s="29" t="str">
        <f>IF(INT(($A93-1)/28)+1&lt;=Setup!$B$5,INT(($A93-1)/28)+1,"")</f>
        <v/>
      </c>
      <c r="C93" s="29" t="str">
        <f t="shared" si="10"/>
        <v/>
      </c>
      <c r="D93" s="29">
        <f t="shared" si="11"/>
        <v>8</v>
      </c>
      <c r="E93" s="29" t="str">
        <f>IF($B93="","",IFERROR(INDEX('Fixture Library'!$C$2:$C$200,MATCH(Setup!$B$6*100+$D93,'Fixture Library'!$F$2:$F$200,0)),""))</f>
        <v/>
      </c>
      <c r="F93" s="30" t="str">
        <f>IF($B93="","",IFERROR(INDEX('Fixture Library'!$D$2:$D$200,MATCH(Setup!$B$6*100+$D93,'Fixture Library'!$F$2:$F$200,0)),""))</f>
        <v/>
      </c>
      <c r="G93" s="30" t="str">
        <f>IF($F93="","",INDEX(Teams!$E$2:$E$65,($B93-1)*8+$F93))</f>
        <v/>
      </c>
      <c r="H93" s="30" t="str">
        <f>IF($B93="","",IFERROR(INDEX('Fixture Library'!$E$2:$E$200,MATCH(Setup!$B$6*100+$D93,'Fixture Library'!$F$2:$F$200,0)),""))</f>
        <v/>
      </c>
      <c r="I93" s="30" t="str">
        <f>IF($H93="","",INDEX(Teams!$E$2:$E$65,($B93-1)*8+$H93))</f>
        <v/>
      </c>
      <c r="J93" s="34" t="str">
        <f>IF($G93="","",IFERROR(INDEX('Match Entry'!$F$5:$F$228,5+($B93-1)*Setup!$B$13+$D93-1-4),""))</f>
        <v/>
      </c>
      <c r="K93" s="35" t="str">
        <f>IF($G93="","",IFERROR(INDEX('Match Entry'!$G$5:$G$228,5+($B93-1)*Setup!$B$13+$D93-1-4),""))</f>
        <v/>
      </c>
      <c r="L93" s="34" t="str">
        <f>IF($G93="","",IFERROR(INDEX('Match Entry'!$H$5:$H$228,5+($B93-1)*Setup!$B$13+$D93-1-4),""))</f>
        <v/>
      </c>
      <c r="M93" s="35" t="str">
        <f>IF($G93="","",IFERROR(INDEX('Match Entry'!$I$5:$I$228,5+($B93-1)*Setup!$B$13+$D93-1-4),""))</f>
        <v/>
      </c>
      <c r="N93" s="34" t="str">
        <f>IF($G93="","",IFERROR(INDEX('Match Entry'!$J$5:$J$228,5+($B93-1)*Setup!$B$13+$D93-1-4),""))</f>
        <v/>
      </c>
      <c r="O93" s="35" t="str">
        <f>IF($G93="","",IFERROR(INDEX('Match Entry'!$K$5:$K$228,5+($B93-1)*Setup!$B$13+$D93-1-4),""))</f>
        <v/>
      </c>
      <c r="P93" s="34" t="str">
        <f>IF($G93="","",IFERROR(INDEX('Match Entry'!$L$5:$L$228,5+($B93-1)*Setup!$B$13+$D93-1-4),""))</f>
        <v/>
      </c>
      <c r="Q93" s="35" t="str">
        <f>IF($G93="","",IFERROR(INDEX('Match Entry'!$M$5:$M$228,5+($B93-1)*Setup!$B$13+$D93-1-4),""))</f>
        <v/>
      </c>
      <c r="R93" s="34" t="str">
        <f>IF($G93="","",IFERROR(INDEX('Match Entry'!$N$5:$N$228,5+($B93-1)*Setup!$B$13+$D93-1-4),""))</f>
        <v/>
      </c>
      <c r="S93" s="35" t="str">
        <f>IF($G93="","",IFERROR(INDEX('Match Entry'!$O$5:$O$228,5+($B93-1)*Setup!$B$13+$D93-1-4),""))</f>
        <v/>
      </c>
      <c r="T93" s="33" t="str">
        <f t="shared" si="12"/>
        <v/>
      </c>
      <c r="U93" s="33" t="str">
        <f t="shared" si="13"/>
        <v/>
      </c>
      <c r="V93" s="33" t="str">
        <f t="shared" si="14"/>
        <v/>
      </c>
      <c r="W93" s="33" t="str">
        <f t="shared" si="15"/>
        <v/>
      </c>
      <c r="X93" s="30" t="str">
        <f>IF(OR($G93="",$I93=""),"",IF(OR($T93&gt;=Setup!$B$8,$U93&gt;=Setup!$B$8),1,""))</f>
        <v/>
      </c>
      <c r="Y93" s="30" t="str">
        <f t="shared" si="16"/>
        <v/>
      </c>
      <c r="Z93" s="33" t="str">
        <f>IF($X93=1,IF($T93&gt;$U93,Setup!$B$9,Setup!$B$10),"")</f>
        <v/>
      </c>
      <c r="AA93" s="33" t="str">
        <f>IF($X93=1,IF($U93&gt;$T93,Setup!$B$9,Setup!$B$10),"")</f>
        <v/>
      </c>
      <c r="AB93" s="30" t="str">
        <f t="shared" si="17"/>
        <v/>
      </c>
      <c r="AC93" s="30" t="str">
        <f t="shared" si="18"/>
        <v/>
      </c>
      <c r="AD93" s="30" t="str">
        <f t="shared" si="19"/>
        <v/>
      </c>
    </row>
    <row r="94" spans="1:30">
      <c r="A94" s="29">
        <v>93</v>
      </c>
      <c r="B94" s="29" t="str">
        <f>IF(INT(($A94-1)/28)+1&lt;=Setup!$B$5,INT(($A94-1)/28)+1,"")</f>
        <v/>
      </c>
      <c r="C94" s="29" t="str">
        <f t="shared" si="10"/>
        <v/>
      </c>
      <c r="D94" s="29">
        <f t="shared" si="11"/>
        <v>9</v>
      </c>
      <c r="E94" s="29" t="str">
        <f>IF($B94="","",IFERROR(INDEX('Fixture Library'!$C$2:$C$200,MATCH(Setup!$B$6*100+$D94,'Fixture Library'!$F$2:$F$200,0)),""))</f>
        <v/>
      </c>
      <c r="F94" s="30" t="str">
        <f>IF($B94="","",IFERROR(INDEX('Fixture Library'!$D$2:$D$200,MATCH(Setup!$B$6*100+$D94,'Fixture Library'!$F$2:$F$200,0)),""))</f>
        <v/>
      </c>
      <c r="G94" s="30" t="str">
        <f>IF($F94="","",INDEX(Teams!$E$2:$E$65,($B94-1)*8+$F94))</f>
        <v/>
      </c>
      <c r="H94" s="30" t="str">
        <f>IF($B94="","",IFERROR(INDEX('Fixture Library'!$E$2:$E$200,MATCH(Setup!$B$6*100+$D94,'Fixture Library'!$F$2:$F$200,0)),""))</f>
        <v/>
      </c>
      <c r="I94" s="30" t="str">
        <f>IF($H94="","",INDEX(Teams!$E$2:$E$65,($B94-1)*8+$H94))</f>
        <v/>
      </c>
      <c r="J94" s="34" t="str">
        <f>IF($G94="","",IFERROR(INDEX('Match Entry'!$F$5:$F$228,5+($B94-1)*Setup!$B$13+$D94-1-4),""))</f>
        <v/>
      </c>
      <c r="K94" s="35" t="str">
        <f>IF($G94="","",IFERROR(INDEX('Match Entry'!$G$5:$G$228,5+($B94-1)*Setup!$B$13+$D94-1-4),""))</f>
        <v/>
      </c>
      <c r="L94" s="34" t="str">
        <f>IF($G94="","",IFERROR(INDEX('Match Entry'!$H$5:$H$228,5+($B94-1)*Setup!$B$13+$D94-1-4),""))</f>
        <v/>
      </c>
      <c r="M94" s="35" t="str">
        <f>IF($G94="","",IFERROR(INDEX('Match Entry'!$I$5:$I$228,5+($B94-1)*Setup!$B$13+$D94-1-4),""))</f>
        <v/>
      </c>
      <c r="N94" s="34" t="str">
        <f>IF($G94="","",IFERROR(INDEX('Match Entry'!$J$5:$J$228,5+($B94-1)*Setup!$B$13+$D94-1-4),""))</f>
        <v/>
      </c>
      <c r="O94" s="35" t="str">
        <f>IF($G94="","",IFERROR(INDEX('Match Entry'!$K$5:$K$228,5+($B94-1)*Setup!$B$13+$D94-1-4),""))</f>
        <v/>
      </c>
      <c r="P94" s="34" t="str">
        <f>IF($G94="","",IFERROR(INDEX('Match Entry'!$L$5:$L$228,5+($B94-1)*Setup!$B$13+$D94-1-4),""))</f>
        <v/>
      </c>
      <c r="Q94" s="35" t="str">
        <f>IF($G94="","",IFERROR(INDEX('Match Entry'!$M$5:$M$228,5+($B94-1)*Setup!$B$13+$D94-1-4),""))</f>
        <v/>
      </c>
      <c r="R94" s="34" t="str">
        <f>IF($G94="","",IFERROR(INDEX('Match Entry'!$N$5:$N$228,5+($B94-1)*Setup!$B$13+$D94-1-4),""))</f>
        <v/>
      </c>
      <c r="S94" s="35" t="str">
        <f>IF($G94="","",IFERROR(INDEX('Match Entry'!$O$5:$O$228,5+($B94-1)*Setup!$B$13+$D94-1-4),""))</f>
        <v/>
      </c>
      <c r="T94" s="33" t="str">
        <f t="shared" si="12"/>
        <v/>
      </c>
      <c r="U94" s="33" t="str">
        <f t="shared" si="13"/>
        <v/>
      </c>
      <c r="V94" s="33" t="str">
        <f t="shared" si="14"/>
        <v/>
      </c>
      <c r="W94" s="33" t="str">
        <f t="shared" si="15"/>
        <v/>
      </c>
      <c r="X94" s="30" t="str">
        <f>IF(OR($G94="",$I94=""),"",IF(OR($T94&gt;=Setup!$B$8,$U94&gt;=Setup!$B$8),1,""))</f>
        <v/>
      </c>
      <c r="Y94" s="30" t="str">
        <f t="shared" si="16"/>
        <v/>
      </c>
      <c r="Z94" s="33" t="str">
        <f>IF($X94=1,IF($T94&gt;$U94,Setup!$B$9,Setup!$B$10),"")</f>
        <v/>
      </c>
      <c r="AA94" s="33" t="str">
        <f>IF($X94=1,IF($U94&gt;$T94,Setup!$B$9,Setup!$B$10),"")</f>
        <v/>
      </c>
      <c r="AB94" s="30" t="str">
        <f t="shared" si="17"/>
        <v/>
      </c>
      <c r="AC94" s="30" t="str">
        <f t="shared" si="18"/>
        <v/>
      </c>
      <c r="AD94" s="30" t="str">
        <f t="shared" si="19"/>
        <v/>
      </c>
    </row>
    <row r="95" spans="1:30">
      <c r="A95" s="29">
        <v>94</v>
      </c>
      <c r="B95" s="29" t="str">
        <f>IF(INT(($A95-1)/28)+1&lt;=Setup!$B$5,INT(($A95-1)/28)+1,"")</f>
        <v/>
      </c>
      <c r="C95" s="29" t="str">
        <f t="shared" si="10"/>
        <v/>
      </c>
      <c r="D95" s="29">
        <f t="shared" si="11"/>
        <v>10</v>
      </c>
      <c r="E95" s="29" t="str">
        <f>IF($B95="","",IFERROR(INDEX('Fixture Library'!$C$2:$C$200,MATCH(Setup!$B$6*100+$D95,'Fixture Library'!$F$2:$F$200,0)),""))</f>
        <v/>
      </c>
      <c r="F95" s="30" t="str">
        <f>IF($B95="","",IFERROR(INDEX('Fixture Library'!$D$2:$D$200,MATCH(Setup!$B$6*100+$D95,'Fixture Library'!$F$2:$F$200,0)),""))</f>
        <v/>
      </c>
      <c r="G95" s="30" t="str">
        <f>IF($F95="","",INDEX(Teams!$E$2:$E$65,($B95-1)*8+$F95))</f>
        <v/>
      </c>
      <c r="H95" s="30" t="str">
        <f>IF($B95="","",IFERROR(INDEX('Fixture Library'!$E$2:$E$200,MATCH(Setup!$B$6*100+$D95,'Fixture Library'!$F$2:$F$200,0)),""))</f>
        <v/>
      </c>
      <c r="I95" s="30" t="str">
        <f>IF($H95="","",INDEX(Teams!$E$2:$E$65,($B95-1)*8+$H95))</f>
        <v/>
      </c>
      <c r="J95" s="34" t="str">
        <f>IF($G95="","",IFERROR(INDEX('Match Entry'!$F$5:$F$228,5+($B95-1)*Setup!$B$13+$D95-1-4),""))</f>
        <v/>
      </c>
      <c r="K95" s="35" t="str">
        <f>IF($G95="","",IFERROR(INDEX('Match Entry'!$G$5:$G$228,5+($B95-1)*Setup!$B$13+$D95-1-4),""))</f>
        <v/>
      </c>
      <c r="L95" s="34" t="str">
        <f>IF($G95="","",IFERROR(INDEX('Match Entry'!$H$5:$H$228,5+($B95-1)*Setup!$B$13+$D95-1-4),""))</f>
        <v/>
      </c>
      <c r="M95" s="35" t="str">
        <f>IF($G95="","",IFERROR(INDEX('Match Entry'!$I$5:$I$228,5+($B95-1)*Setup!$B$13+$D95-1-4),""))</f>
        <v/>
      </c>
      <c r="N95" s="34" t="str">
        <f>IF($G95="","",IFERROR(INDEX('Match Entry'!$J$5:$J$228,5+($B95-1)*Setup!$B$13+$D95-1-4),""))</f>
        <v/>
      </c>
      <c r="O95" s="35" t="str">
        <f>IF($G95="","",IFERROR(INDEX('Match Entry'!$K$5:$K$228,5+($B95-1)*Setup!$B$13+$D95-1-4),""))</f>
        <v/>
      </c>
      <c r="P95" s="34" t="str">
        <f>IF($G95="","",IFERROR(INDEX('Match Entry'!$L$5:$L$228,5+($B95-1)*Setup!$B$13+$D95-1-4),""))</f>
        <v/>
      </c>
      <c r="Q95" s="35" t="str">
        <f>IF($G95="","",IFERROR(INDEX('Match Entry'!$M$5:$M$228,5+($B95-1)*Setup!$B$13+$D95-1-4),""))</f>
        <v/>
      </c>
      <c r="R95" s="34" t="str">
        <f>IF($G95="","",IFERROR(INDEX('Match Entry'!$N$5:$N$228,5+($B95-1)*Setup!$B$13+$D95-1-4),""))</f>
        <v/>
      </c>
      <c r="S95" s="35" t="str">
        <f>IF($G95="","",IFERROR(INDEX('Match Entry'!$O$5:$O$228,5+($B95-1)*Setup!$B$13+$D95-1-4),""))</f>
        <v/>
      </c>
      <c r="T95" s="33" t="str">
        <f t="shared" si="12"/>
        <v/>
      </c>
      <c r="U95" s="33" t="str">
        <f t="shared" si="13"/>
        <v/>
      </c>
      <c r="V95" s="33" t="str">
        <f t="shared" si="14"/>
        <v/>
      </c>
      <c r="W95" s="33" t="str">
        <f t="shared" si="15"/>
        <v/>
      </c>
      <c r="X95" s="30" t="str">
        <f>IF(OR($G95="",$I95=""),"",IF(OR($T95&gt;=Setup!$B$8,$U95&gt;=Setup!$B$8),1,""))</f>
        <v/>
      </c>
      <c r="Y95" s="30" t="str">
        <f t="shared" si="16"/>
        <v/>
      </c>
      <c r="Z95" s="33" t="str">
        <f>IF($X95=1,IF($T95&gt;$U95,Setup!$B$9,Setup!$B$10),"")</f>
        <v/>
      </c>
      <c r="AA95" s="33" t="str">
        <f>IF($X95=1,IF($U95&gt;$T95,Setup!$B$9,Setup!$B$10),"")</f>
        <v/>
      </c>
      <c r="AB95" s="30" t="str">
        <f t="shared" si="17"/>
        <v/>
      </c>
      <c r="AC95" s="30" t="str">
        <f t="shared" si="18"/>
        <v/>
      </c>
      <c r="AD95" s="30" t="str">
        <f t="shared" si="19"/>
        <v/>
      </c>
    </row>
    <row r="96" spans="1:30">
      <c r="A96" s="29">
        <v>95</v>
      </c>
      <c r="B96" s="29" t="str">
        <f>IF(INT(($A96-1)/28)+1&lt;=Setup!$B$5,INT(($A96-1)/28)+1,"")</f>
        <v/>
      </c>
      <c r="C96" s="29" t="str">
        <f t="shared" si="10"/>
        <v/>
      </c>
      <c r="D96" s="29">
        <f t="shared" si="11"/>
        <v>11</v>
      </c>
      <c r="E96" s="29" t="str">
        <f>IF($B96="","",IFERROR(INDEX('Fixture Library'!$C$2:$C$200,MATCH(Setup!$B$6*100+$D96,'Fixture Library'!$F$2:$F$200,0)),""))</f>
        <v/>
      </c>
      <c r="F96" s="30" t="str">
        <f>IF($B96="","",IFERROR(INDEX('Fixture Library'!$D$2:$D$200,MATCH(Setup!$B$6*100+$D96,'Fixture Library'!$F$2:$F$200,0)),""))</f>
        <v/>
      </c>
      <c r="G96" s="30" t="str">
        <f>IF($F96="","",INDEX(Teams!$E$2:$E$65,($B96-1)*8+$F96))</f>
        <v/>
      </c>
      <c r="H96" s="30" t="str">
        <f>IF($B96="","",IFERROR(INDEX('Fixture Library'!$E$2:$E$200,MATCH(Setup!$B$6*100+$D96,'Fixture Library'!$F$2:$F$200,0)),""))</f>
        <v/>
      </c>
      <c r="I96" s="30" t="str">
        <f>IF($H96="","",INDEX(Teams!$E$2:$E$65,($B96-1)*8+$H96))</f>
        <v/>
      </c>
      <c r="J96" s="34" t="str">
        <f>IF($G96="","",IFERROR(INDEX('Match Entry'!$F$5:$F$228,5+($B96-1)*Setup!$B$13+$D96-1-4),""))</f>
        <v/>
      </c>
      <c r="K96" s="35" t="str">
        <f>IF($G96="","",IFERROR(INDEX('Match Entry'!$G$5:$G$228,5+($B96-1)*Setup!$B$13+$D96-1-4),""))</f>
        <v/>
      </c>
      <c r="L96" s="34" t="str">
        <f>IF($G96="","",IFERROR(INDEX('Match Entry'!$H$5:$H$228,5+($B96-1)*Setup!$B$13+$D96-1-4),""))</f>
        <v/>
      </c>
      <c r="M96" s="35" t="str">
        <f>IF($G96="","",IFERROR(INDEX('Match Entry'!$I$5:$I$228,5+($B96-1)*Setup!$B$13+$D96-1-4),""))</f>
        <v/>
      </c>
      <c r="N96" s="34" t="str">
        <f>IF($G96="","",IFERROR(INDEX('Match Entry'!$J$5:$J$228,5+($B96-1)*Setup!$B$13+$D96-1-4),""))</f>
        <v/>
      </c>
      <c r="O96" s="35" t="str">
        <f>IF($G96="","",IFERROR(INDEX('Match Entry'!$K$5:$K$228,5+($B96-1)*Setup!$B$13+$D96-1-4),""))</f>
        <v/>
      </c>
      <c r="P96" s="34" t="str">
        <f>IF($G96="","",IFERROR(INDEX('Match Entry'!$L$5:$L$228,5+($B96-1)*Setup!$B$13+$D96-1-4),""))</f>
        <v/>
      </c>
      <c r="Q96" s="35" t="str">
        <f>IF($G96="","",IFERROR(INDEX('Match Entry'!$M$5:$M$228,5+($B96-1)*Setup!$B$13+$D96-1-4),""))</f>
        <v/>
      </c>
      <c r="R96" s="34" t="str">
        <f>IF($G96="","",IFERROR(INDEX('Match Entry'!$N$5:$N$228,5+($B96-1)*Setup!$B$13+$D96-1-4),""))</f>
        <v/>
      </c>
      <c r="S96" s="35" t="str">
        <f>IF($G96="","",IFERROR(INDEX('Match Entry'!$O$5:$O$228,5+($B96-1)*Setup!$B$13+$D96-1-4),""))</f>
        <v/>
      </c>
      <c r="T96" s="33" t="str">
        <f t="shared" si="12"/>
        <v/>
      </c>
      <c r="U96" s="33" t="str">
        <f t="shared" si="13"/>
        <v/>
      </c>
      <c r="V96" s="33" t="str">
        <f t="shared" si="14"/>
        <v/>
      </c>
      <c r="W96" s="33" t="str">
        <f t="shared" si="15"/>
        <v/>
      </c>
      <c r="X96" s="30" t="str">
        <f>IF(OR($G96="",$I96=""),"",IF(OR($T96&gt;=Setup!$B$8,$U96&gt;=Setup!$B$8),1,""))</f>
        <v/>
      </c>
      <c r="Y96" s="30" t="str">
        <f t="shared" si="16"/>
        <v/>
      </c>
      <c r="Z96" s="33" t="str">
        <f>IF($X96=1,IF($T96&gt;$U96,Setup!$B$9,Setup!$B$10),"")</f>
        <v/>
      </c>
      <c r="AA96" s="33" t="str">
        <f>IF($X96=1,IF($U96&gt;$T96,Setup!$B$9,Setup!$B$10),"")</f>
        <v/>
      </c>
      <c r="AB96" s="30" t="str">
        <f t="shared" si="17"/>
        <v/>
      </c>
      <c r="AC96" s="30" t="str">
        <f t="shared" si="18"/>
        <v/>
      </c>
      <c r="AD96" s="30" t="str">
        <f t="shared" si="19"/>
        <v/>
      </c>
    </row>
    <row r="97" spans="1:30">
      <c r="A97" s="29">
        <v>96</v>
      </c>
      <c r="B97" s="29" t="str">
        <f>IF(INT(($A97-1)/28)+1&lt;=Setup!$B$5,INT(($A97-1)/28)+1,"")</f>
        <v/>
      </c>
      <c r="C97" s="29" t="str">
        <f t="shared" si="10"/>
        <v/>
      </c>
      <c r="D97" s="29">
        <f t="shared" si="11"/>
        <v>12</v>
      </c>
      <c r="E97" s="29" t="str">
        <f>IF($B97="","",IFERROR(INDEX('Fixture Library'!$C$2:$C$200,MATCH(Setup!$B$6*100+$D97,'Fixture Library'!$F$2:$F$200,0)),""))</f>
        <v/>
      </c>
      <c r="F97" s="30" t="str">
        <f>IF($B97="","",IFERROR(INDEX('Fixture Library'!$D$2:$D$200,MATCH(Setup!$B$6*100+$D97,'Fixture Library'!$F$2:$F$200,0)),""))</f>
        <v/>
      </c>
      <c r="G97" s="30" t="str">
        <f>IF($F97="","",INDEX(Teams!$E$2:$E$65,($B97-1)*8+$F97))</f>
        <v/>
      </c>
      <c r="H97" s="30" t="str">
        <f>IF($B97="","",IFERROR(INDEX('Fixture Library'!$E$2:$E$200,MATCH(Setup!$B$6*100+$D97,'Fixture Library'!$F$2:$F$200,0)),""))</f>
        <v/>
      </c>
      <c r="I97" s="30" t="str">
        <f>IF($H97="","",INDEX(Teams!$E$2:$E$65,($B97-1)*8+$H97))</f>
        <v/>
      </c>
      <c r="J97" s="34" t="str">
        <f>IF($G97="","",IFERROR(INDEX('Match Entry'!$F$5:$F$228,5+($B97-1)*Setup!$B$13+$D97-1-4),""))</f>
        <v/>
      </c>
      <c r="K97" s="35" t="str">
        <f>IF($G97="","",IFERROR(INDEX('Match Entry'!$G$5:$G$228,5+($B97-1)*Setup!$B$13+$D97-1-4),""))</f>
        <v/>
      </c>
      <c r="L97" s="34" t="str">
        <f>IF($G97="","",IFERROR(INDEX('Match Entry'!$H$5:$H$228,5+($B97-1)*Setup!$B$13+$D97-1-4),""))</f>
        <v/>
      </c>
      <c r="M97" s="35" t="str">
        <f>IF($G97="","",IFERROR(INDEX('Match Entry'!$I$5:$I$228,5+($B97-1)*Setup!$B$13+$D97-1-4),""))</f>
        <v/>
      </c>
      <c r="N97" s="34" t="str">
        <f>IF($G97="","",IFERROR(INDEX('Match Entry'!$J$5:$J$228,5+($B97-1)*Setup!$B$13+$D97-1-4),""))</f>
        <v/>
      </c>
      <c r="O97" s="35" t="str">
        <f>IF($G97="","",IFERROR(INDEX('Match Entry'!$K$5:$K$228,5+($B97-1)*Setup!$B$13+$D97-1-4),""))</f>
        <v/>
      </c>
      <c r="P97" s="34" t="str">
        <f>IF($G97="","",IFERROR(INDEX('Match Entry'!$L$5:$L$228,5+($B97-1)*Setup!$B$13+$D97-1-4),""))</f>
        <v/>
      </c>
      <c r="Q97" s="35" t="str">
        <f>IF($G97="","",IFERROR(INDEX('Match Entry'!$M$5:$M$228,5+($B97-1)*Setup!$B$13+$D97-1-4),""))</f>
        <v/>
      </c>
      <c r="R97" s="34" t="str">
        <f>IF($G97="","",IFERROR(INDEX('Match Entry'!$N$5:$N$228,5+($B97-1)*Setup!$B$13+$D97-1-4),""))</f>
        <v/>
      </c>
      <c r="S97" s="35" t="str">
        <f>IF($G97="","",IFERROR(INDEX('Match Entry'!$O$5:$O$228,5+($B97-1)*Setup!$B$13+$D97-1-4),""))</f>
        <v/>
      </c>
      <c r="T97" s="33" t="str">
        <f t="shared" si="12"/>
        <v/>
      </c>
      <c r="U97" s="33" t="str">
        <f t="shared" si="13"/>
        <v/>
      </c>
      <c r="V97" s="33" t="str">
        <f t="shared" si="14"/>
        <v/>
      </c>
      <c r="W97" s="33" t="str">
        <f t="shared" si="15"/>
        <v/>
      </c>
      <c r="X97" s="30" t="str">
        <f>IF(OR($G97="",$I97=""),"",IF(OR($T97&gt;=Setup!$B$8,$U97&gt;=Setup!$B$8),1,""))</f>
        <v/>
      </c>
      <c r="Y97" s="30" t="str">
        <f t="shared" si="16"/>
        <v/>
      </c>
      <c r="Z97" s="33" t="str">
        <f>IF($X97=1,IF($T97&gt;$U97,Setup!$B$9,Setup!$B$10),"")</f>
        <v/>
      </c>
      <c r="AA97" s="33" t="str">
        <f>IF($X97=1,IF($U97&gt;$T97,Setup!$B$9,Setup!$B$10),"")</f>
        <v/>
      </c>
      <c r="AB97" s="30" t="str">
        <f t="shared" si="17"/>
        <v/>
      </c>
      <c r="AC97" s="30" t="str">
        <f t="shared" si="18"/>
        <v/>
      </c>
      <c r="AD97" s="30" t="str">
        <f t="shared" si="19"/>
        <v/>
      </c>
    </row>
    <row r="98" spans="1:30">
      <c r="A98" s="29">
        <v>97</v>
      </c>
      <c r="B98" s="29" t="str">
        <f>IF(INT(($A98-1)/28)+1&lt;=Setup!$B$5,INT(($A98-1)/28)+1,"")</f>
        <v/>
      </c>
      <c r="C98" s="29" t="str">
        <f t="shared" si="10"/>
        <v/>
      </c>
      <c r="D98" s="29">
        <f t="shared" si="11"/>
        <v>13</v>
      </c>
      <c r="E98" s="29" t="str">
        <f>IF($B98="","",IFERROR(INDEX('Fixture Library'!$C$2:$C$200,MATCH(Setup!$B$6*100+$D98,'Fixture Library'!$F$2:$F$200,0)),""))</f>
        <v/>
      </c>
      <c r="F98" s="30" t="str">
        <f>IF($B98="","",IFERROR(INDEX('Fixture Library'!$D$2:$D$200,MATCH(Setup!$B$6*100+$D98,'Fixture Library'!$F$2:$F$200,0)),""))</f>
        <v/>
      </c>
      <c r="G98" s="30" t="str">
        <f>IF($F98="","",INDEX(Teams!$E$2:$E$65,($B98-1)*8+$F98))</f>
        <v/>
      </c>
      <c r="H98" s="30" t="str">
        <f>IF($B98="","",IFERROR(INDEX('Fixture Library'!$E$2:$E$200,MATCH(Setup!$B$6*100+$D98,'Fixture Library'!$F$2:$F$200,0)),""))</f>
        <v/>
      </c>
      <c r="I98" s="30" t="str">
        <f>IF($H98="","",INDEX(Teams!$E$2:$E$65,($B98-1)*8+$H98))</f>
        <v/>
      </c>
      <c r="J98" s="34" t="str">
        <f>IF($G98="","",IFERROR(INDEX('Match Entry'!$F$5:$F$228,5+($B98-1)*Setup!$B$13+$D98-1-4),""))</f>
        <v/>
      </c>
      <c r="K98" s="35" t="str">
        <f>IF($G98="","",IFERROR(INDEX('Match Entry'!$G$5:$G$228,5+($B98-1)*Setup!$B$13+$D98-1-4),""))</f>
        <v/>
      </c>
      <c r="L98" s="34" t="str">
        <f>IF($G98="","",IFERROR(INDEX('Match Entry'!$H$5:$H$228,5+($B98-1)*Setup!$B$13+$D98-1-4),""))</f>
        <v/>
      </c>
      <c r="M98" s="35" t="str">
        <f>IF($G98="","",IFERROR(INDEX('Match Entry'!$I$5:$I$228,5+($B98-1)*Setup!$B$13+$D98-1-4),""))</f>
        <v/>
      </c>
      <c r="N98" s="34" t="str">
        <f>IF($G98="","",IFERROR(INDEX('Match Entry'!$J$5:$J$228,5+($B98-1)*Setup!$B$13+$D98-1-4),""))</f>
        <v/>
      </c>
      <c r="O98" s="35" t="str">
        <f>IF($G98="","",IFERROR(INDEX('Match Entry'!$K$5:$K$228,5+($B98-1)*Setup!$B$13+$D98-1-4),""))</f>
        <v/>
      </c>
      <c r="P98" s="34" t="str">
        <f>IF($G98="","",IFERROR(INDEX('Match Entry'!$L$5:$L$228,5+($B98-1)*Setup!$B$13+$D98-1-4),""))</f>
        <v/>
      </c>
      <c r="Q98" s="35" t="str">
        <f>IF($G98="","",IFERROR(INDEX('Match Entry'!$M$5:$M$228,5+($B98-1)*Setup!$B$13+$D98-1-4),""))</f>
        <v/>
      </c>
      <c r="R98" s="34" t="str">
        <f>IF($G98="","",IFERROR(INDEX('Match Entry'!$N$5:$N$228,5+($B98-1)*Setup!$B$13+$D98-1-4),""))</f>
        <v/>
      </c>
      <c r="S98" s="35" t="str">
        <f>IF($G98="","",IFERROR(INDEX('Match Entry'!$O$5:$O$228,5+($B98-1)*Setup!$B$13+$D98-1-4),""))</f>
        <v/>
      </c>
      <c r="T98" s="33" t="str">
        <f t="shared" si="12"/>
        <v/>
      </c>
      <c r="U98" s="33" t="str">
        <f t="shared" si="13"/>
        <v/>
      </c>
      <c r="V98" s="33" t="str">
        <f t="shared" si="14"/>
        <v/>
      </c>
      <c r="W98" s="33" t="str">
        <f t="shared" si="15"/>
        <v/>
      </c>
      <c r="X98" s="30" t="str">
        <f>IF(OR($G98="",$I98=""),"",IF(OR($T98&gt;=Setup!$B$8,$U98&gt;=Setup!$B$8),1,""))</f>
        <v/>
      </c>
      <c r="Y98" s="30" t="str">
        <f t="shared" si="16"/>
        <v/>
      </c>
      <c r="Z98" s="33" t="str">
        <f>IF($X98=1,IF($T98&gt;$U98,Setup!$B$9,Setup!$B$10),"")</f>
        <v/>
      </c>
      <c r="AA98" s="33" t="str">
        <f>IF($X98=1,IF($U98&gt;$T98,Setup!$B$9,Setup!$B$10),"")</f>
        <v/>
      </c>
      <c r="AB98" s="30" t="str">
        <f t="shared" si="17"/>
        <v/>
      </c>
      <c r="AC98" s="30" t="str">
        <f t="shared" si="18"/>
        <v/>
      </c>
      <c r="AD98" s="30" t="str">
        <f t="shared" si="19"/>
        <v/>
      </c>
    </row>
    <row r="99" spans="1:30">
      <c r="A99" s="29">
        <v>98</v>
      </c>
      <c r="B99" s="29" t="str">
        <f>IF(INT(($A99-1)/28)+1&lt;=Setup!$B$5,INT(($A99-1)/28)+1,"")</f>
        <v/>
      </c>
      <c r="C99" s="29" t="str">
        <f t="shared" si="10"/>
        <v/>
      </c>
      <c r="D99" s="29">
        <f t="shared" si="11"/>
        <v>14</v>
      </c>
      <c r="E99" s="29" t="str">
        <f>IF($B99="","",IFERROR(INDEX('Fixture Library'!$C$2:$C$200,MATCH(Setup!$B$6*100+$D99,'Fixture Library'!$F$2:$F$200,0)),""))</f>
        <v/>
      </c>
      <c r="F99" s="30" t="str">
        <f>IF($B99="","",IFERROR(INDEX('Fixture Library'!$D$2:$D$200,MATCH(Setup!$B$6*100+$D99,'Fixture Library'!$F$2:$F$200,0)),""))</f>
        <v/>
      </c>
      <c r="G99" s="30" t="str">
        <f>IF($F99="","",INDEX(Teams!$E$2:$E$65,($B99-1)*8+$F99))</f>
        <v/>
      </c>
      <c r="H99" s="30" t="str">
        <f>IF($B99="","",IFERROR(INDEX('Fixture Library'!$E$2:$E$200,MATCH(Setup!$B$6*100+$D99,'Fixture Library'!$F$2:$F$200,0)),""))</f>
        <v/>
      </c>
      <c r="I99" s="30" t="str">
        <f>IF($H99="","",INDEX(Teams!$E$2:$E$65,($B99-1)*8+$H99))</f>
        <v/>
      </c>
      <c r="J99" s="34" t="str">
        <f>IF($G99="","",IFERROR(INDEX('Match Entry'!$F$5:$F$228,5+($B99-1)*Setup!$B$13+$D99-1-4),""))</f>
        <v/>
      </c>
      <c r="K99" s="35" t="str">
        <f>IF($G99="","",IFERROR(INDEX('Match Entry'!$G$5:$G$228,5+($B99-1)*Setup!$B$13+$D99-1-4),""))</f>
        <v/>
      </c>
      <c r="L99" s="34" t="str">
        <f>IF($G99="","",IFERROR(INDEX('Match Entry'!$H$5:$H$228,5+($B99-1)*Setup!$B$13+$D99-1-4),""))</f>
        <v/>
      </c>
      <c r="M99" s="35" t="str">
        <f>IF($G99="","",IFERROR(INDEX('Match Entry'!$I$5:$I$228,5+($B99-1)*Setup!$B$13+$D99-1-4),""))</f>
        <v/>
      </c>
      <c r="N99" s="34" t="str">
        <f>IF($G99="","",IFERROR(INDEX('Match Entry'!$J$5:$J$228,5+($B99-1)*Setup!$B$13+$D99-1-4),""))</f>
        <v/>
      </c>
      <c r="O99" s="35" t="str">
        <f>IF($G99="","",IFERROR(INDEX('Match Entry'!$K$5:$K$228,5+($B99-1)*Setup!$B$13+$D99-1-4),""))</f>
        <v/>
      </c>
      <c r="P99" s="34" t="str">
        <f>IF($G99="","",IFERROR(INDEX('Match Entry'!$L$5:$L$228,5+($B99-1)*Setup!$B$13+$D99-1-4),""))</f>
        <v/>
      </c>
      <c r="Q99" s="35" t="str">
        <f>IF($G99="","",IFERROR(INDEX('Match Entry'!$M$5:$M$228,5+($B99-1)*Setup!$B$13+$D99-1-4),""))</f>
        <v/>
      </c>
      <c r="R99" s="34" t="str">
        <f>IF($G99="","",IFERROR(INDEX('Match Entry'!$N$5:$N$228,5+($B99-1)*Setup!$B$13+$D99-1-4),""))</f>
        <v/>
      </c>
      <c r="S99" s="35" t="str">
        <f>IF($G99="","",IFERROR(INDEX('Match Entry'!$O$5:$O$228,5+($B99-1)*Setup!$B$13+$D99-1-4),""))</f>
        <v/>
      </c>
      <c r="T99" s="33" t="str">
        <f t="shared" si="12"/>
        <v/>
      </c>
      <c r="U99" s="33" t="str">
        <f t="shared" si="13"/>
        <v/>
      </c>
      <c r="V99" s="33" t="str">
        <f t="shared" si="14"/>
        <v/>
      </c>
      <c r="W99" s="33" t="str">
        <f t="shared" si="15"/>
        <v/>
      </c>
      <c r="X99" s="30" t="str">
        <f>IF(OR($G99="",$I99=""),"",IF(OR($T99&gt;=Setup!$B$8,$U99&gt;=Setup!$B$8),1,""))</f>
        <v/>
      </c>
      <c r="Y99" s="30" t="str">
        <f t="shared" si="16"/>
        <v/>
      </c>
      <c r="Z99" s="33" t="str">
        <f>IF($X99=1,IF($T99&gt;$U99,Setup!$B$9,Setup!$B$10),"")</f>
        <v/>
      </c>
      <c r="AA99" s="33" t="str">
        <f>IF($X99=1,IF($U99&gt;$T99,Setup!$B$9,Setup!$B$10),"")</f>
        <v/>
      </c>
      <c r="AB99" s="30" t="str">
        <f t="shared" si="17"/>
        <v/>
      </c>
      <c r="AC99" s="30" t="str">
        <f t="shared" si="18"/>
        <v/>
      </c>
      <c r="AD99" s="30" t="str">
        <f t="shared" si="19"/>
        <v/>
      </c>
    </row>
    <row r="100" spans="1:30">
      <c r="A100" s="29">
        <v>99</v>
      </c>
      <c r="B100" s="29" t="str">
        <f>IF(INT(($A100-1)/28)+1&lt;=Setup!$B$5,INT(($A100-1)/28)+1,"")</f>
        <v/>
      </c>
      <c r="C100" s="29" t="str">
        <f t="shared" si="10"/>
        <v/>
      </c>
      <c r="D100" s="29">
        <f t="shared" si="11"/>
        <v>15</v>
      </c>
      <c r="E100" s="29" t="str">
        <f>IF($B100="","",IFERROR(INDEX('Fixture Library'!$C$2:$C$200,MATCH(Setup!$B$6*100+$D100,'Fixture Library'!$F$2:$F$200,0)),""))</f>
        <v/>
      </c>
      <c r="F100" s="30" t="str">
        <f>IF($B100="","",IFERROR(INDEX('Fixture Library'!$D$2:$D$200,MATCH(Setup!$B$6*100+$D100,'Fixture Library'!$F$2:$F$200,0)),""))</f>
        <v/>
      </c>
      <c r="G100" s="30" t="str">
        <f>IF($F100="","",INDEX(Teams!$E$2:$E$65,($B100-1)*8+$F100))</f>
        <v/>
      </c>
      <c r="H100" s="30" t="str">
        <f>IF($B100="","",IFERROR(INDEX('Fixture Library'!$E$2:$E$200,MATCH(Setup!$B$6*100+$D100,'Fixture Library'!$F$2:$F$200,0)),""))</f>
        <v/>
      </c>
      <c r="I100" s="30" t="str">
        <f>IF($H100="","",INDEX(Teams!$E$2:$E$65,($B100-1)*8+$H100))</f>
        <v/>
      </c>
      <c r="J100" s="34" t="str">
        <f>IF($G100="","",IFERROR(INDEX('Match Entry'!$F$5:$F$228,5+($B100-1)*Setup!$B$13+$D100-1-4),""))</f>
        <v/>
      </c>
      <c r="K100" s="35" t="str">
        <f>IF($G100="","",IFERROR(INDEX('Match Entry'!$G$5:$G$228,5+($B100-1)*Setup!$B$13+$D100-1-4),""))</f>
        <v/>
      </c>
      <c r="L100" s="34" t="str">
        <f>IF($G100="","",IFERROR(INDEX('Match Entry'!$H$5:$H$228,5+($B100-1)*Setup!$B$13+$D100-1-4),""))</f>
        <v/>
      </c>
      <c r="M100" s="35" t="str">
        <f>IF($G100="","",IFERROR(INDEX('Match Entry'!$I$5:$I$228,5+($B100-1)*Setup!$B$13+$D100-1-4),""))</f>
        <v/>
      </c>
      <c r="N100" s="34" t="str">
        <f>IF($G100="","",IFERROR(INDEX('Match Entry'!$J$5:$J$228,5+($B100-1)*Setup!$B$13+$D100-1-4),""))</f>
        <v/>
      </c>
      <c r="O100" s="35" t="str">
        <f>IF($G100="","",IFERROR(INDEX('Match Entry'!$K$5:$K$228,5+($B100-1)*Setup!$B$13+$D100-1-4),""))</f>
        <v/>
      </c>
      <c r="P100" s="34" t="str">
        <f>IF($G100="","",IFERROR(INDEX('Match Entry'!$L$5:$L$228,5+($B100-1)*Setup!$B$13+$D100-1-4),""))</f>
        <v/>
      </c>
      <c r="Q100" s="35" t="str">
        <f>IF($G100="","",IFERROR(INDEX('Match Entry'!$M$5:$M$228,5+($B100-1)*Setup!$B$13+$D100-1-4),""))</f>
        <v/>
      </c>
      <c r="R100" s="34" t="str">
        <f>IF($G100="","",IFERROR(INDEX('Match Entry'!$N$5:$N$228,5+($B100-1)*Setup!$B$13+$D100-1-4),""))</f>
        <v/>
      </c>
      <c r="S100" s="35" t="str">
        <f>IF($G100="","",IFERROR(INDEX('Match Entry'!$O$5:$O$228,5+($B100-1)*Setup!$B$13+$D100-1-4),""))</f>
        <v/>
      </c>
      <c r="T100" s="33" t="str">
        <f t="shared" si="12"/>
        <v/>
      </c>
      <c r="U100" s="33" t="str">
        <f t="shared" si="13"/>
        <v/>
      </c>
      <c r="V100" s="33" t="str">
        <f t="shared" si="14"/>
        <v/>
      </c>
      <c r="W100" s="33" t="str">
        <f t="shared" si="15"/>
        <v/>
      </c>
      <c r="X100" s="30" t="str">
        <f>IF(OR($G100="",$I100=""),"",IF(OR($T100&gt;=Setup!$B$8,$U100&gt;=Setup!$B$8),1,""))</f>
        <v/>
      </c>
      <c r="Y100" s="30" t="str">
        <f t="shared" si="16"/>
        <v/>
      </c>
      <c r="Z100" s="33" t="str">
        <f>IF($X100=1,IF($T100&gt;$U100,Setup!$B$9,Setup!$B$10),"")</f>
        <v/>
      </c>
      <c r="AA100" s="33" t="str">
        <f>IF($X100=1,IF($U100&gt;$T100,Setup!$B$9,Setup!$B$10),"")</f>
        <v/>
      </c>
      <c r="AB100" s="30" t="str">
        <f t="shared" si="17"/>
        <v/>
      </c>
      <c r="AC100" s="30" t="str">
        <f t="shared" si="18"/>
        <v/>
      </c>
      <c r="AD100" s="30" t="str">
        <f t="shared" si="19"/>
        <v/>
      </c>
    </row>
    <row r="101" spans="1:30">
      <c r="A101" s="29">
        <v>100</v>
      </c>
      <c r="B101" s="29" t="str">
        <f>IF(INT(($A101-1)/28)+1&lt;=Setup!$B$5,INT(($A101-1)/28)+1,"")</f>
        <v/>
      </c>
      <c r="C101" s="29" t="str">
        <f t="shared" si="10"/>
        <v/>
      </c>
      <c r="D101" s="29">
        <f t="shared" si="11"/>
        <v>16</v>
      </c>
      <c r="E101" s="29" t="str">
        <f>IF($B101="","",IFERROR(INDEX('Fixture Library'!$C$2:$C$200,MATCH(Setup!$B$6*100+$D101,'Fixture Library'!$F$2:$F$200,0)),""))</f>
        <v/>
      </c>
      <c r="F101" s="30" t="str">
        <f>IF($B101="","",IFERROR(INDEX('Fixture Library'!$D$2:$D$200,MATCH(Setup!$B$6*100+$D101,'Fixture Library'!$F$2:$F$200,0)),""))</f>
        <v/>
      </c>
      <c r="G101" s="30" t="str">
        <f>IF($F101="","",INDEX(Teams!$E$2:$E$65,($B101-1)*8+$F101))</f>
        <v/>
      </c>
      <c r="H101" s="30" t="str">
        <f>IF($B101="","",IFERROR(INDEX('Fixture Library'!$E$2:$E$200,MATCH(Setup!$B$6*100+$D101,'Fixture Library'!$F$2:$F$200,0)),""))</f>
        <v/>
      </c>
      <c r="I101" s="30" t="str">
        <f>IF($H101="","",INDEX(Teams!$E$2:$E$65,($B101-1)*8+$H101))</f>
        <v/>
      </c>
      <c r="J101" s="34" t="str">
        <f>IF($G101="","",IFERROR(INDEX('Match Entry'!$F$5:$F$228,5+($B101-1)*Setup!$B$13+$D101-1-4),""))</f>
        <v/>
      </c>
      <c r="K101" s="35" t="str">
        <f>IF($G101="","",IFERROR(INDEX('Match Entry'!$G$5:$G$228,5+($B101-1)*Setup!$B$13+$D101-1-4),""))</f>
        <v/>
      </c>
      <c r="L101" s="34" t="str">
        <f>IF($G101="","",IFERROR(INDEX('Match Entry'!$H$5:$H$228,5+($B101-1)*Setup!$B$13+$D101-1-4),""))</f>
        <v/>
      </c>
      <c r="M101" s="35" t="str">
        <f>IF($G101="","",IFERROR(INDEX('Match Entry'!$I$5:$I$228,5+($B101-1)*Setup!$B$13+$D101-1-4),""))</f>
        <v/>
      </c>
      <c r="N101" s="34" t="str">
        <f>IF($G101="","",IFERROR(INDEX('Match Entry'!$J$5:$J$228,5+($B101-1)*Setup!$B$13+$D101-1-4),""))</f>
        <v/>
      </c>
      <c r="O101" s="35" t="str">
        <f>IF($G101="","",IFERROR(INDEX('Match Entry'!$K$5:$K$228,5+($B101-1)*Setup!$B$13+$D101-1-4),""))</f>
        <v/>
      </c>
      <c r="P101" s="34" t="str">
        <f>IF($G101="","",IFERROR(INDEX('Match Entry'!$L$5:$L$228,5+($B101-1)*Setup!$B$13+$D101-1-4),""))</f>
        <v/>
      </c>
      <c r="Q101" s="35" t="str">
        <f>IF($G101="","",IFERROR(INDEX('Match Entry'!$M$5:$M$228,5+($B101-1)*Setup!$B$13+$D101-1-4),""))</f>
        <v/>
      </c>
      <c r="R101" s="34" t="str">
        <f>IF($G101="","",IFERROR(INDEX('Match Entry'!$N$5:$N$228,5+($B101-1)*Setup!$B$13+$D101-1-4),""))</f>
        <v/>
      </c>
      <c r="S101" s="35" t="str">
        <f>IF($G101="","",IFERROR(INDEX('Match Entry'!$O$5:$O$228,5+($B101-1)*Setup!$B$13+$D101-1-4),""))</f>
        <v/>
      </c>
      <c r="T101" s="33" t="str">
        <f t="shared" si="12"/>
        <v/>
      </c>
      <c r="U101" s="33" t="str">
        <f t="shared" si="13"/>
        <v/>
      </c>
      <c r="V101" s="33" t="str">
        <f t="shared" si="14"/>
        <v/>
      </c>
      <c r="W101" s="33" t="str">
        <f t="shared" si="15"/>
        <v/>
      </c>
      <c r="X101" s="30" t="str">
        <f>IF(OR($G101="",$I101=""),"",IF(OR($T101&gt;=Setup!$B$8,$U101&gt;=Setup!$B$8),1,""))</f>
        <v/>
      </c>
      <c r="Y101" s="30" t="str">
        <f t="shared" si="16"/>
        <v/>
      </c>
      <c r="Z101" s="33" t="str">
        <f>IF($X101=1,IF($T101&gt;$U101,Setup!$B$9,Setup!$B$10),"")</f>
        <v/>
      </c>
      <c r="AA101" s="33" t="str">
        <f>IF($X101=1,IF($U101&gt;$T101,Setup!$B$9,Setup!$B$10),"")</f>
        <v/>
      </c>
      <c r="AB101" s="30" t="str">
        <f t="shared" si="17"/>
        <v/>
      </c>
      <c r="AC101" s="30" t="str">
        <f t="shared" si="18"/>
        <v/>
      </c>
      <c r="AD101" s="30" t="str">
        <f t="shared" si="19"/>
        <v/>
      </c>
    </row>
    <row r="102" spans="1:30">
      <c r="A102" s="29">
        <v>101</v>
      </c>
      <c r="B102" s="29" t="str">
        <f>IF(INT(($A102-1)/28)+1&lt;=Setup!$B$5,INT(($A102-1)/28)+1,"")</f>
        <v/>
      </c>
      <c r="C102" s="29" t="str">
        <f t="shared" si="10"/>
        <v/>
      </c>
      <c r="D102" s="29">
        <f t="shared" si="11"/>
        <v>17</v>
      </c>
      <c r="E102" s="29" t="str">
        <f>IF($B102="","",IFERROR(INDEX('Fixture Library'!$C$2:$C$200,MATCH(Setup!$B$6*100+$D102,'Fixture Library'!$F$2:$F$200,0)),""))</f>
        <v/>
      </c>
      <c r="F102" s="30" t="str">
        <f>IF($B102="","",IFERROR(INDEX('Fixture Library'!$D$2:$D$200,MATCH(Setup!$B$6*100+$D102,'Fixture Library'!$F$2:$F$200,0)),""))</f>
        <v/>
      </c>
      <c r="G102" s="30" t="str">
        <f>IF($F102="","",INDEX(Teams!$E$2:$E$65,($B102-1)*8+$F102))</f>
        <v/>
      </c>
      <c r="H102" s="30" t="str">
        <f>IF($B102="","",IFERROR(INDEX('Fixture Library'!$E$2:$E$200,MATCH(Setup!$B$6*100+$D102,'Fixture Library'!$F$2:$F$200,0)),""))</f>
        <v/>
      </c>
      <c r="I102" s="30" t="str">
        <f>IF($H102="","",INDEX(Teams!$E$2:$E$65,($B102-1)*8+$H102))</f>
        <v/>
      </c>
      <c r="J102" s="34" t="str">
        <f>IF($G102="","",IFERROR(INDEX('Match Entry'!$F$5:$F$228,5+($B102-1)*Setup!$B$13+$D102-1-4),""))</f>
        <v/>
      </c>
      <c r="K102" s="35" t="str">
        <f>IF($G102="","",IFERROR(INDEX('Match Entry'!$G$5:$G$228,5+($B102-1)*Setup!$B$13+$D102-1-4),""))</f>
        <v/>
      </c>
      <c r="L102" s="34" t="str">
        <f>IF($G102="","",IFERROR(INDEX('Match Entry'!$H$5:$H$228,5+($B102-1)*Setup!$B$13+$D102-1-4),""))</f>
        <v/>
      </c>
      <c r="M102" s="35" t="str">
        <f>IF($G102="","",IFERROR(INDEX('Match Entry'!$I$5:$I$228,5+($B102-1)*Setup!$B$13+$D102-1-4),""))</f>
        <v/>
      </c>
      <c r="N102" s="34" t="str">
        <f>IF($G102="","",IFERROR(INDEX('Match Entry'!$J$5:$J$228,5+($B102-1)*Setup!$B$13+$D102-1-4),""))</f>
        <v/>
      </c>
      <c r="O102" s="35" t="str">
        <f>IF($G102="","",IFERROR(INDEX('Match Entry'!$K$5:$K$228,5+($B102-1)*Setup!$B$13+$D102-1-4),""))</f>
        <v/>
      </c>
      <c r="P102" s="34" t="str">
        <f>IF($G102="","",IFERROR(INDEX('Match Entry'!$L$5:$L$228,5+($B102-1)*Setup!$B$13+$D102-1-4),""))</f>
        <v/>
      </c>
      <c r="Q102" s="35" t="str">
        <f>IF($G102="","",IFERROR(INDEX('Match Entry'!$M$5:$M$228,5+($B102-1)*Setup!$B$13+$D102-1-4),""))</f>
        <v/>
      </c>
      <c r="R102" s="34" t="str">
        <f>IF($G102="","",IFERROR(INDEX('Match Entry'!$N$5:$N$228,5+($B102-1)*Setup!$B$13+$D102-1-4),""))</f>
        <v/>
      </c>
      <c r="S102" s="35" t="str">
        <f>IF($G102="","",IFERROR(INDEX('Match Entry'!$O$5:$O$228,5+($B102-1)*Setup!$B$13+$D102-1-4),""))</f>
        <v/>
      </c>
      <c r="T102" s="33" t="str">
        <f t="shared" si="12"/>
        <v/>
      </c>
      <c r="U102" s="33" t="str">
        <f t="shared" si="13"/>
        <v/>
      </c>
      <c r="V102" s="33" t="str">
        <f t="shared" si="14"/>
        <v/>
      </c>
      <c r="W102" s="33" t="str">
        <f t="shared" si="15"/>
        <v/>
      </c>
      <c r="X102" s="30" t="str">
        <f>IF(OR($G102="",$I102=""),"",IF(OR($T102&gt;=Setup!$B$8,$U102&gt;=Setup!$B$8),1,""))</f>
        <v/>
      </c>
      <c r="Y102" s="30" t="str">
        <f t="shared" si="16"/>
        <v/>
      </c>
      <c r="Z102" s="33" t="str">
        <f>IF($X102=1,IF($T102&gt;$U102,Setup!$B$9,Setup!$B$10),"")</f>
        <v/>
      </c>
      <c r="AA102" s="33" t="str">
        <f>IF($X102=1,IF($U102&gt;$T102,Setup!$B$9,Setup!$B$10),"")</f>
        <v/>
      </c>
      <c r="AB102" s="30" t="str">
        <f t="shared" si="17"/>
        <v/>
      </c>
      <c r="AC102" s="30" t="str">
        <f t="shared" si="18"/>
        <v/>
      </c>
      <c r="AD102" s="30" t="str">
        <f t="shared" si="19"/>
        <v/>
      </c>
    </row>
    <row r="103" spans="1:30">
      <c r="A103" s="29">
        <v>102</v>
      </c>
      <c r="B103" s="29" t="str">
        <f>IF(INT(($A103-1)/28)+1&lt;=Setup!$B$5,INT(($A103-1)/28)+1,"")</f>
        <v/>
      </c>
      <c r="C103" s="29" t="str">
        <f t="shared" si="10"/>
        <v/>
      </c>
      <c r="D103" s="29">
        <f t="shared" si="11"/>
        <v>18</v>
      </c>
      <c r="E103" s="29" t="str">
        <f>IF($B103="","",IFERROR(INDEX('Fixture Library'!$C$2:$C$200,MATCH(Setup!$B$6*100+$D103,'Fixture Library'!$F$2:$F$200,0)),""))</f>
        <v/>
      </c>
      <c r="F103" s="30" t="str">
        <f>IF($B103="","",IFERROR(INDEX('Fixture Library'!$D$2:$D$200,MATCH(Setup!$B$6*100+$D103,'Fixture Library'!$F$2:$F$200,0)),""))</f>
        <v/>
      </c>
      <c r="G103" s="30" t="str">
        <f>IF($F103="","",INDEX(Teams!$E$2:$E$65,($B103-1)*8+$F103))</f>
        <v/>
      </c>
      <c r="H103" s="30" t="str">
        <f>IF($B103="","",IFERROR(INDEX('Fixture Library'!$E$2:$E$200,MATCH(Setup!$B$6*100+$D103,'Fixture Library'!$F$2:$F$200,0)),""))</f>
        <v/>
      </c>
      <c r="I103" s="30" t="str">
        <f>IF($H103="","",INDEX(Teams!$E$2:$E$65,($B103-1)*8+$H103))</f>
        <v/>
      </c>
      <c r="J103" s="34" t="str">
        <f>IF($G103="","",IFERROR(INDEX('Match Entry'!$F$5:$F$228,5+($B103-1)*Setup!$B$13+$D103-1-4),""))</f>
        <v/>
      </c>
      <c r="K103" s="35" t="str">
        <f>IF($G103="","",IFERROR(INDEX('Match Entry'!$G$5:$G$228,5+($B103-1)*Setup!$B$13+$D103-1-4),""))</f>
        <v/>
      </c>
      <c r="L103" s="34" t="str">
        <f>IF($G103="","",IFERROR(INDEX('Match Entry'!$H$5:$H$228,5+($B103-1)*Setup!$B$13+$D103-1-4),""))</f>
        <v/>
      </c>
      <c r="M103" s="35" t="str">
        <f>IF($G103="","",IFERROR(INDEX('Match Entry'!$I$5:$I$228,5+($B103-1)*Setup!$B$13+$D103-1-4),""))</f>
        <v/>
      </c>
      <c r="N103" s="34" t="str">
        <f>IF($G103="","",IFERROR(INDEX('Match Entry'!$J$5:$J$228,5+($B103-1)*Setup!$B$13+$D103-1-4),""))</f>
        <v/>
      </c>
      <c r="O103" s="35" t="str">
        <f>IF($G103="","",IFERROR(INDEX('Match Entry'!$K$5:$K$228,5+($B103-1)*Setup!$B$13+$D103-1-4),""))</f>
        <v/>
      </c>
      <c r="P103" s="34" t="str">
        <f>IF($G103="","",IFERROR(INDEX('Match Entry'!$L$5:$L$228,5+($B103-1)*Setup!$B$13+$D103-1-4),""))</f>
        <v/>
      </c>
      <c r="Q103" s="35" t="str">
        <f>IF($G103="","",IFERROR(INDEX('Match Entry'!$M$5:$M$228,5+($B103-1)*Setup!$B$13+$D103-1-4),""))</f>
        <v/>
      </c>
      <c r="R103" s="34" t="str">
        <f>IF($G103="","",IFERROR(INDEX('Match Entry'!$N$5:$N$228,5+($B103-1)*Setup!$B$13+$D103-1-4),""))</f>
        <v/>
      </c>
      <c r="S103" s="35" t="str">
        <f>IF($G103="","",IFERROR(INDEX('Match Entry'!$O$5:$O$228,5+($B103-1)*Setup!$B$13+$D103-1-4),""))</f>
        <v/>
      </c>
      <c r="T103" s="33" t="str">
        <f t="shared" si="12"/>
        <v/>
      </c>
      <c r="U103" s="33" t="str">
        <f t="shared" si="13"/>
        <v/>
      </c>
      <c r="V103" s="33" t="str">
        <f t="shared" si="14"/>
        <v/>
      </c>
      <c r="W103" s="33" t="str">
        <f t="shared" si="15"/>
        <v/>
      </c>
      <c r="X103" s="30" t="str">
        <f>IF(OR($G103="",$I103=""),"",IF(OR($T103&gt;=Setup!$B$8,$U103&gt;=Setup!$B$8),1,""))</f>
        <v/>
      </c>
      <c r="Y103" s="30" t="str">
        <f t="shared" si="16"/>
        <v/>
      </c>
      <c r="Z103" s="33" t="str">
        <f>IF($X103=1,IF($T103&gt;$U103,Setup!$B$9,Setup!$B$10),"")</f>
        <v/>
      </c>
      <c r="AA103" s="33" t="str">
        <f>IF($X103=1,IF($U103&gt;$T103,Setup!$B$9,Setup!$B$10),"")</f>
        <v/>
      </c>
      <c r="AB103" s="30" t="str">
        <f t="shared" si="17"/>
        <v/>
      </c>
      <c r="AC103" s="30" t="str">
        <f t="shared" si="18"/>
        <v/>
      </c>
      <c r="AD103" s="30" t="str">
        <f t="shared" si="19"/>
        <v/>
      </c>
    </row>
    <row r="104" spans="1:30">
      <c r="A104" s="29">
        <v>103</v>
      </c>
      <c r="B104" s="29" t="str">
        <f>IF(INT(($A104-1)/28)+1&lt;=Setup!$B$5,INT(($A104-1)/28)+1,"")</f>
        <v/>
      </c>
      <c r="C104" s="29" t="str">
        <f t="shared" si="10"/>
        <v/>
      </c>
      <c r="D104" s="29">
        <f t="shared" si="11"/>
        <v>19</v>
      </c>
      <c r="E104" s="29" t="str">
        <f>IF($B104="","",IFERROR(INDEX('Fixture Library'!$C$2:$C$200,MATCH(Setup!$B$6*100+$D104,'Fixture Library'!$F$2:$F$200,0)),""))</f>
        <v/>
      </c>
      <c r="F104" s="30" t="str">
        <f>IF($B104="","",IFERROR(INDEX('Fixture Library'!$D$2:$D$200,MATCH(Setup!$B$6*100+$D104,'Fixture Library'!$F$2:$F$200,0)),""))</f>
        <v/>
      </c>
      <c r="G104" s="30" t="str">
        <f>IF($F104="","",INDEX(Teams!$E$2:$E$65,($B104-1)*8+$F104))</f>
        <v/>
      </c>
      <c r="H104" s="30" t="str">
        <f>IF($B104="","",IFERROR(INDEX('Fixture Library'!$E$2:$E$200,MATCH(Setup!$B$6*100+$D104,'Fixture Library'!$F$2:$F$200,0)),""))</f>
        <v/>
      </c>
      <c r="I104" s="30" t="str">
        <f>IF($H104="","",INDEX(Teams!$E$2:$E$65,($B104-1)*8+$H104))</f>
        <v/>
      </c>
      <c r="J104" s="34" t="str">
        <f>IF($G104="","",IFERROR(INDEX('Match Entry'!$F$5:$F$228,5+($B104-1)*Setup!$B$13+$D104-1-4),""))</f>
        <v/>
      </c>
      <c r="K104" s="35" t="str">
        <f>IF($G104="","",IFERROR(INDEX('Match Entry'!$G$5:$G$228,5+($B104-1)*Setup!$B$13+$D104-1-4),""))</f>
        <v/>
      </c>
      <c r="L104" s="34" t="str">
        <f>IF($G104="","",IFERROR(INDEX('Match Entry'!$H$5:$H$228,5+($B104-1)*Setup!$B$13+$D104-1-4),""))</f>
        <v/>
      </c>
      <c r="M104" s="35" t="str">
        <f>IF($G104="","",IFERROR(INDEX('Match Entry'!$I$5:$I$228,5+($B104-1)*Setup!$B$13+$D104-1-4),""))</f>
        <v/>
      </c>
      <c r="N104" s="34" t="str">
        <f>IF($G104="","",IFERROR(INDEX('Match Entry'!$J$5:$J$228,5+($B104-1)*Setup!$B$13+$D104-1-4),""))</f>
        <v/>
      </c>
      <c r="O104" s="35" t="str">
        <f>IF($G104="","",IFERROR(INDEX('Match Entry'!$K$5:$K$228,5+($B104-1)*Setup!$B$13+$D104-1-4),""))</f>
        <v/>
      </c>
      <c r="P104" s="34" t="str">
        <f>IF($G104="","",IFERROR(INDEX('Match Entry'!$L$5:$L$228,5+($B104-1)*Setup!$B$13+$D104-1-4),""))</f>
        <v/>
      </c>
      <c r="Q104" s="35" t="str">
        <f>IF($G104="","",IFERROR(INDEX('Match Entry'!$M$5:$M$228,5+($B104-1)*Setup!$B$13+$D104-1-4),""))</f>
        <v/>
      </c>
      <c r="R104" s="34" t="str">
        <f>IF($G104="","",IFERROR(INDEX('Match Entry'!$N$5:$N$228,5+($B104-1)*Setup!$B$13+$D104-1-4),""))</f>
        <v/>
      </c>
      <c r="S104" s="35" t="str">
        <f>IF($G104="","",IFERROR(INDEX('Match Entry'!$O$5:$O$228,5+($B104-1)*Setup!$B$13+$D104-1-4),""))</f>
        <v/>
      </c>
      <c r="T104" s="33" t="str">
        <f t="shared" si="12"/>
        <v/>
      </c>
      <c r="U104" s="33" t="str">
        <f t="shared" si="13"/>
        <v/>
      </c>
      <c r="V104" s="33" t="str">
        <f t="shared" si="14"/>
        <v/>
      </c>
      <c r="W104" s="33" t="str">
        <f t="shared" si="15"/>
        <v/>
      </c>
      <c r="X104" s="30" t="str">
        <f>IF(OR($G104="",$I104=""),"",IF(OR($T104&gt;=Setup!$B$8,$U104&gt;=Setup!$B$8),1,""))</f>
        <v/>
      </c>
      <c r="Y104" s="30" t="str">
        <f t="shared" si="16"/>
        <v/>
      </c>
      <c r="Z104" s="33" t="str">
        <f>IF($X104=1,IF($T104&gt;$U104,Setup!$B$9,Setup!$B$10),"")</f>
        <v/>
      </c>
      <c r="AA104" s="33" t="str">
        <f>IF($X104=1,IF($U104&gt;$T104,Setup!$B$9,Setup!$B$10),"")</f>
        <v/>
      </c>
      <c r="AB104" s="30" t="str">
        <f t="shared" si="17"/>
        <v/>
      </c>
      <c r="AC104" s="30" t="str">
        <f t="shared" si="18"/>
        <v/>
      </c>
      <c r="AD104" s="30" t="str">
        <f t="shared" si="19"/>
        <v/>
      </c>
    </row>
    <row r="105" spans="1:30">
      <c r="A105" s="29">
        <v>104</v>
      </c>
      <c r="B105" s="29" t="str">
        <f>IF(INT(($A105-1)/28)+1&lt;=Setup!$B$5,INT(($A105-1)/28)+1,"")</f>
        <v/>
      </c>
      <c r="C105" s="29" t="str">
        <f t="shared" si="10"/>
        <v/>
      </c>
      <c r="D105" s="29">
        <f t="shared" si="11"/>
        <v>20</v>
      </c>
      <c r="E105" s="29" t="str">
        <f>IF($B105="","",IFERROR(INDEX('Fixture Library'!$C$2:$C$200,MATCH(Setup!$B$6*100+$D105,'Fixture Library'!$F$2:$F$200,0)),""))</f>
        <v/>
      </c>
      <c r="F105" s="30" t="str">
        <f>IF($B105="","",IFERROR(INDEX('Fixture Library'!$D$2:$D$200,MATCH(Setup!$B$6*100+$D105,'Fixture Library'!$F$2:$F$200,0)),""))</f>
        <v/>
      </c>
      <c r="G105" s="30" t="str">
        <f>IF($F105="","",INDEX(Teams!$E$2:$E$65,($B105-1)*8+$F105))</f>
        <v/>
      </c>
      <c r="H105" s="30" t="str">
        <f>IF($B105="","",IFERROR(INDEX('Fixture Library'!$E$2:$E$200,MATCH(Setup!$B$6*100+$D105,'Fixture Library'!$F$2:$F$200,0)),""))</f>
        <v/>
      </c>
      <c r="I105" s="30" t="str">
        <f>IF($H105="","",INDEX(Teams!$E$2:$E$65,($B105-1)*8+$H105))</f>
        <v/>
      </c>
      <c r="J105" s="34" t="str">
        <f>IF($G105="","",IFERROR(INDEX('Match Entry'!$F$5:$F$228,5+($B105-1)*Setup!$B$13+$D105-1-4),""))</f>
        <v/>
      </c>
      <c r="K105" s="35" t="str">
        <f>IF($G105="","",IFERROR(INDEX('Match Entry'!$G$5:$G$228,5+($B105-1)*Setup!$B$13+$D105-1-4),""))</f>
        <v/>
      </c>
      <c r="L105" s="34" t="str">
        <f>IF($G105="","",IFERROR(INDEX('Match Entry'!$H$5:$H$228,5+($B105-1)*Setup!$B$13+$D105-1-4),""))</f>
        <v/>
      </c>
      <c r="M105" s="35" t="str">
        <f>IF($G105="","",IFERROR(INDEX('Match Entry'!$I$5:$I$228,5+($B105-1)*Setup!$B$13+$D105-1-4),""))</f>
        <v/>
      </c>
      <c r="N105" s="34" t="str">
        <f>IF($G105="","",IFERROR(INDEX('Match Entry'!$J$5:$J$228,5+($B105-1)*Setup!$B$13+$D105-1-4),""))</f>
        <v/>
      </c>
      <c r="O105" s="35" t="str">
        <f>IF($G105="","",IFERROR(INDEX('Match Entry'!$K$5:$K$228,5+($B105-1)*Setup!$B$13+$D105-1-4),""))</f>
        <v/>
      </c>
      <c r="P105" s="34" t="str">
        <f>IF($G105="","",IFERROR(INDEX('Match Entry'!$L$5:$L$228,5+($B105-1)*Setup!$B$13+$D105-1-4),""))</f>
        <v/>
      </c>
      <c r="Q105" s="35" t="str">
        <f>IF($G105="","",IFERROR(INDEX('Match Entry'!$M$5:$M$228,5+($B105-1)*Setup!$B$13+$D105-1-4),""))</f>
        <v/>
      </c>
      <c r="R105" s="34" t="str">
        <f>IF($G105="","",IFERROR(INDEX('Match Entry'!$N$5:$N$228,5+($B105-1)*Setup!$B$13+$D105-1-4),""))</f>
        <v/>
      </c>
      <c r="S105" s="35" t="str">
        <f>IF($G105="","",IFERROR(INDEX('Match Entry'!$O$5:$O$228,5+($B105-1)*Setup!$B$13+$D105-1-4),""))</f>
        <v/>
      </c>
      <c r="T105" s="33" t="str">
        <f t="shared" si="12"/>
        <v/>
      </c>
      <c r="U105" s="33" t="str">
        <f t="shared" si="13"/>
        <v/>
      </c>
      <c r="V105" s="33" t="str">
        <f t="shared" si="14"/>
        <v/>
      </c>
      <c r="W105" s="33" t="str">
        <f t="shared" si="15"/>
        <v/>
      </c>
      <c r="X105" s="30" t="str">
        <f>IF(OR($G105="",$I105=""),"",IF(OR($T105&gt;=Setup!$B$8,$U105&gt;=Setup!$B$8),1,""))</f>
        <v/>
      </c>
      <c r="Y105" s="30" t="str">
        <f t="shared" si="16"/>
        <v/>
      </c>
      <c r="Z105" s="33" t="str">
        <f>IF($X105=1,IF($T105&gt;$U105,Setup!$B$9,Setup!$B$10),"")</f>
        <v/>
      </c>
      <c r="AA105" s="33" t="str">
        <f>IF($X105=1,IF($U105&gt;$T105,Setup!$B$9,Setup!$B$10),"")</f>
        <v/>
      </c>
      <c r="AB105" s="30" t="str">
        <f t="shared" si="17"/>
        <v/>
      </c>
      <c r="AC105" s="30" t="str">
        <f t="shared" si="18"/>
        <v/>
      </c>
      <c r="AD105" s="30" t="str">
        <f t="shared" si="19"/>
        <v/>
      </c>
    </row>
    <row r="106" spans="1:30">
      <c r="A106" s="29">
        <v>105</v>
      </c>
      <c r="B106" s="29" t="str">
        <f>IF(INT(($A106-1)/28)+1&lt;=Setup!$B$5,INT(($A106-1)/28)+1,"")</f>
        <v/>
      </c>
      <c r="C106" s="29" t="str">
        <f t="shared" si="10"/>
        <v/>
      </c>
      <c r="D106" s="29">
        <f t="shared" si="11"/>
        <v>21</v>
      </c>
      <c r="E106" s="29" t="str">
        <f>IF($B106="","",IFERROR(INDEX('Fixture Library'!$C$2:$C$200,MATCH(Setup!$B$6*100+$D106,'Fixture Library'!$F$2:$F$200,0)),""))</f>
        <v/>
      </c>
      <c r="F106" s="30" t="str">
        <f>IF($B106="","",IFERROR(INDEX('Fixture Library'!$D$2:$D$200,MATCH(Setup!$B$6*100+$D106,'Fixture Library'!$F$2:$F$200,0)),""))</f>
        <v/>
      </c>
      <c r="G106" s="30" t="str">
        <f>IF($F106="","",INDEX(Teams!$E$2:$E$65,($B106-1)*8+$F106))</f>
        <v/>
      </c>
      <c r="H106" s="30" t="str">
        <f>IF($B106="","",IFERROR(INDEX('Fixture Library'!$E$2:$E$200,MATCH(Setup!$B$6*100+$D106,'Fixture Library'!$F$2:$F$200,0)),""))</f>
        <v/>
      </c>
      <c r="I106" s="30" t="str">
        <f>IF($H106="","",INDEX(Teams!$E$2:$E$65,($B106-1)*8+$H106))</f>
        <v/>
      </c>
      <c r="J106" s="34" t="str">
        <f>IF($G106="","",IFERROR(INDEX('Match Entry'!$F$5:$F$228,5+($B106-1)*Setup!$B$13+$D106-1-4),""))</f>
        <v/>
      </c>
      <c r="K106" s="35" t="str">
        <f>IF($G106="","",IFERROR(INDEX('Match Entry'!$G$5:$G$228,5+($B106-1)*Setup!$B$13+$D106-1-4),""))</f>
        <v/>
      </c>
      <c r="L106" s="34" t="str">
        <f>IF($G106="","",IFERROR(INDEX('Match Entry'!$H$5:$H$228,5+($B106-1)*Setup!$B$13+$D106-1-4),""))</f>
        <v/>
      </c>
      <c r="M106" s="35" t="str">
        <f>IF($G106="","",IFERROR(INDEX('Match Entry'!$I$5:$I$228,5+($B106-1)*Setup!$B$13+$D106-1-4),""))</f>
        <v/>
      </c>
      <c r="N106" s="34" t="str">
        <f>IF($G106="","",IFERROR(INDEX('Match Entry'!$J$5:$J$228,5+($B106-1)*Setup!$B$13+$D106-1-4),""))</f>
        <v/>
      </c>
      <c r="O106" s="35" t="str">
        <f>IF($G106="","",IFERROR(INDEX('Match Entry'!$K$5:$K$228,5+($B106-1)*Setup!$B$13+$D106-1-4),""))</f>
        <v/>
      </c>
      <c r="P106" s="34" t="str">
        <f>IF($G106="","",IFERROR(INDEX('Match Entry'!$L$5:$L$228,5+($B106-1)*Setup!$B$13+$D106-1-4),""))</f>
        <v/>
      </c>
      <c r="Q106" s="35" t="str">
        <f>IF($G106="","",IFERROR(INDEX('Match Entry'!$M$5:$M$228,5+($B106-1)*Setup!$B$13+$D106-1-4),""))</f>
        <v/>
      </c>
      <c r="R106" s="34" t="str">
        <f>IF($G106="","",IFERROR(INDEX('Match Entry'!$N$5:$N$228,5+($B106-1)*Setup!$B$13+$D106-1-4),""))</f>
        <v/>
      </c>
      <c r="S106" s="35" t="str">
        <f>IF($G106="","",IFERROR(INDEX('Match Entry'!$O$5:$O$228,5+($B106-1)*Setup!$B$13+$D106-1-4),""))</f>
        <v/>
      </c>
      <c r="T106" s="33" t="str">
        <f t="shared" si="12"/>
        <v/>
      </c>
      <c r="U106" s="33" t="str">
        <f t="shared" si="13"/>
        <v/>
      </c>
      <c r="V106" s="33" t="str">
        <f t="shared" si="14"/>
        <v/>
      </c>
      <c r="W106" s="33" t="str">
        <f t="shared" si="15"/>
        <v/>
      </c>
      <c r="X106" s="30" t="str">
        <f>IF(OR($G106="",$I106=""),"",IF(OR($T106&gt;=Setup!$B$8,$U106&gt;=Setup!$B$8),1,""))</f>
        <v/>
      </c>
      <c r="Y106" s="30" t="str">
        <f t="shared" si="16"/>
        <v/>
      </c>
      <c r="Z106" s="33" t="str">
        <f>IF($X106=1,IF($T106&gt;$U106,Setup!$B$9,Setup!$B$10),"")</f>
        <v/>
      </c>
      <c r="AA106" s="33" t="str">
        <f>IF($X106=1,IF($U106&gt;$T106,Setup!$B$9,Setup!$B$10),"")</f>
        <v/>
      </c>
      <c r="AB106" s="30" t="str">
        <f t="shared" si="17"/>
        <v/>
      </c>
      <c r="AC106" s="30" t="str">
        <f t="shared" si="18"/>
        <v/>
      </c>
      <c r="AD106" s="30" t="str">
        <f t="shared" si="19"/>
        <v/>
      </c>
    </row>
    <row r="107" spans="1:30">
      <c r="A107" s="29">
        <v>106</v>
      </c>
      <c r="B107" s="29" t="str">
        <f>IF(INT(($A107-1)/28)+1&lt;=Setup!$B$5,INT(($A107-1)/28)+1,"")</f>
        <v/>
      </c>
      <c r="C107" s="29" t="str">
        <f t="shared" si="10"/>
        <v/>
      </c>
      <c r="D107" s="29">
        <f t="shared" si="11"/>
        <v>22</v>
      </c>
      <c r="E107" s="29" t="str">
        <f>IF($B107="","",IFERROR(INDEX('Fixture Library'!$C$2:$C$200,MATCH(Setup!$B$6*100+$D107,'Fixture Library'!$F$2:$F$200,0)),""))</f>
        <v/>
      </c>
      <c r="F107" s="30" t="str">
        <f>IF($B107="","",IFERROR(INDEX('Fixture Library'!$D$2:$D$200,MATCH(Setup!$B$6*100+$D107,'Fixture Library'!$F$2:$F$200,0)),""))</f>
        <v/>
      </c>
      <c r="G107" s="30" t="str">
        <f>IF($F107="","",INDEX(Teams!$E$2:$E$65,($B107-1)*8+$F107))</f>
        <v/>
      </c>
      <c r="H107" s="30" t="str">
        <f>IF($B107="","",IFERROR(INDEX('Fixture Library'!$E$2:$E$200,MATCH(Setup!$B$6*100+$D107,'Fixture Library'!$F$2:$F$200,0)),""))</f>
        <v/>
      </c>
      <c r="I107" s="30" t="str">
        <f>IF($H107="","",INDEX(Teams!$E$2:$E$65,($B107-1)*8+$H107))</f>
        <v/>
      </c>
      <c r="J107" s="34" t="str">
        <f>IF($G107="","",IFERROR(INDEX('Match Entry'!$F$5:$F$228,5+($B107-1)*Setup!$B$13+$D107-1-4),""))</f>
        <v/>
      </c>
      <c r="K107" s="35" t="str">
        <f>IF($G107="","",IFERROR(INDEX('Match Entry'!$G$5:$G$228,5+($B107-1)*Setup!$B$13+$D107-1-4),""))</f>
        <v/>
      </c>
      <c r="L107" s="34" t="str">
        <f>IF($G107="","",IFERROR(INDEX('Match Entry'!$H$5:$H$228,5+($B107-1)*Setup!$B$13+$D107-1-4),""))</f>
        <v/>
      </c>
      <c r="M107" s="35" t="str">
        <f>IF($G107="","",IFERROR(INDEX('Match Entry'!$I$5:$I$228,5+($B107-1)*Setup!$B$13+$D107-1-4),""))</f>
        <v/>
      </c>
      <c r="N107" s="34" t="str">
        <f>IF($G107="","",IFERROR(INDEX('Match Entry'!$J$5:$J$228,5+($B107-1)*Setup!$B$13+$D107-1-4),""))</f>
        <v/>
      </c>
      <c r="O107" s="35" t="str">
        <f>IF($G107="","",IFERROR(INDEX('Match Entry'!$K$5:$K$228,5+($B107-1)*Setup!$B$13+$D107-1-4),""))</f>
        <v/>
      </c>
      <c r="P107" s="34" t="str">
        <f>IF($G107="","",IFERROR(INDEX('Match Entry'!$L$5:$L$228,5+($B107-1)*Setup!$B$13+$D107-1-4),""))</f>
        <v/>
      </c>
      <c r="Q107" s="35" t="str">
        <f>IF($G107="","",IFERROR(INDEX('Match Entry'!$M$5:$M$228,5+($B107-1)*Setup!$B$13+$D107-1-4),""))</f>
        <v/>
      </c>
      <c r="R107" s="34" t="str">
        <f>IF($G107="","",IFERROR(INDEX('Match Entry'!$N$5:$N$228,5+($B107-1)*Setup!$B$13+$D107-1-4),""))</f>
        <v/>
      </c>
      <c r="S107" s="35" t="str">
        <f>IF($G107="","",IFERROR(INDEX('Match Entry'!$O$5:$O$228,5+($B107-1)*Setup!$B$13+$D107-1-4),""))</f>
        <v/>
      </c>
      <c r="T107" s="33" t="str">
        <f t="shared" si="12"/>
        <v/>
      </c>
      <c r="U107" s="33" t="str">
        <f t="shared" si="13"/>
        <v/>
      </c>
      <c r="V107" s="33" t="str">
        <f t="shared" si="14"/>
        <v/>
      </c>
      <c r="W107" s="33" t="str">
        <f t="shared" si="15"/>
        <v/>
      </c>
      <c r="X107" s="30" t="str">
        <f>IF(OR($G107="",$I107=""),"",IF(OR($T107&gt;=Setup!$B$8,$U107&gt;=Setup!$B$8),1,""))</f>
        <v/>
      </c>
      <c r="Y107" s="30" t="str">
        <f t="shared" si="16"/>
        <v/>
      </c>
      <c r="Z107" s="33" t="str">
        <f>IF($X107=1,IF($T107&gt;$U107,Setup!$B$9,Setup!$B$10),"")</f>
        <v/>
      </c>
      <c r="AA107" s="33" t="str">
        <f>IF($X107=1,IF($U107&gt;$T107,Setup!$B$9,Setup!$B$10),"")</f>
        <v/>
      </c>
      <c r="AB107" s="30" t="str">
        <f t="shared" si="17"/>
        <v/>
      </c>
      <c r="AC107" s="30" t="str">
        <f t="shared" si="18"/>
        <v/>
      </c>
      <c r="AD107" s="30" t="str">
        <f t="shared" si="19"/>
        <v/>
      </c>
    </row>
    <row r="108" spans="1:30">
      <c r="A108" s="29">
        <v>107</v>
      </c>
      <c r="B108" s="29" t="str">
        <f>IF(INT(($A108-1)/28)+1&lt;=Setup!$B$5,INT(($A108-1)/28)+1,"")</f>
        <v/>
      </c>
      <c r="C108" s="29" t="str">
        <f t="shared" si="10"/>
        <v/>
      </c>
      <c r="D108" s="29">
        <f t="shared" si="11"/>
        <v>23</v>
      </c>
      <c r="E108" s="29" t="str">
        <f>IF($B108="","",IFERROR(INDEX('Fixture Library'!$C$2:$C$200,MATCH(Setup!$B$6*100+$D108,'Fixture Library'!$F$2:$F$200,0)),""))</f>
        <v/>
      </c>
      <c r="F108" s="30" t="str">
        <f>IF($B108="","",IFERROR(INDEX('Fixture Library'!$D$2:$D$200,MATCH(Setup!$B$6*100+$D108,'Fixture Library'!$F$2:$F$200,0)),""))</f>
        <v/>
      </c>
      <c r="G108" s="30" t="str">
        <f>IF($F108="","",INDEX(Teams!$E$2:$E$65,($B108-1)*8+$F108))</f>
        <v/>
      </c>
      <c r="H108" s="30" t="str">
        <f>IF($B108="","",IFERROR(INDEX('Fixture Library'!$E$2:$E$200,MATCH(Setup!$B$6*100+$D108,'Fixture Library'!$F$2:$F$200,0)),""))</f>
        <v/>
      </c>
      <c r="I108" s="30" t="str">
        <f>IF($H108="","",INDEX(Teams!$E$2:$E$65,($B108-1)*8+$H108))</f>
        <v/>
      </c>
      <c r="J108" s="34" t="str">
        <f>IF($G108="","",IFERROR(INDEX('Match Entry'!$F$5:$F$228,5+($B108-1)*Setup!$B$13+$D108-1-4),""))</f>
        <v/>
      </c>
      <c r="K108" s="35" t="str">
        <f>IF($G108="","",IFERROR(INDEX('Match Entry'!$G$5:$G$228,5+($B108-1)*Setup!$B$13+$D108-1-4),""))</f>
        <v/>
      </c>
      <c r="L108" s="34" t="str">
        <f>IF($G108="","",IFERROR(INDEX('Match Entry'!$H$5:$H$228,5+($B108-1)*Setup!$B$13+$D108-1-4),""))</f>
        <v/>
      </c>
      <c r="M108" s="35" t="str">
        <f>IF($G108="","",IFERROR(INDEX('Match Entry'!$I$5:$I$228,5+($B108-1)*Setup!$B$13+$D108-1-4),""))</f>
        <v/>
      </c>
      <c r="N108" s="34" t="str">
        <f>IF($G108="","",IFERROR(INDEX('Match Entry'!$J$5:$J$228,5+($B108-1)*Setup!$B$13+$D108-1-4),""))</f>
        <v/>
      </c>
      <c r="O108" s="35" t="str">
        <f>IF($G108="","",IFERROR(INDEX('Match Entry'!$K$5:$K$228,5+($B108-1)*Setup!$B$13+$D108-1-4),""))</f>
        <v/>
      </c>
      <c r="P108" s="34" t="str">
        <f>IF($G108="","",IFERROR(INDEX('Match Entry'!$L$5:$L$228,5+($B108-1)*Setup!$B$13+$D108-1-4),""))</f>
        <v/>
      </c>
      <c r="Q108" s="35" t="str">
        <f>IF($G108="","",IFERROR(INDEX('Match Entry'!$M$5:$M$228,5+($B108-1)*Setup!$B$13+$D108-1-4),""))</f>
        <v/>
      </c>
      <c r="R108" s="34" t="str">
        <f>IF($G108="","",IFERROR(INDEX('Match Entry'!$N$5:$N$228,5+($B108-1)*Setup!$B$13+$D108-1-4),""))</f>
        <v/>
      </c>
      <c r="S108" s="35" t="str">
        <f>IF($G108="","",IFERROR(INDEX('Match Entry'!$O$5:$O$228,5+($B108-1)*Setup!$B$13+$D108-1-4),""))</f>
        <v/>
      </c>
      <c r="T108" s="33" t="str">
        <f t="shared" si="12"/>
        <v/>
      </c>
      <c r="U108" s="33" t="str">
        <f t="shared" si="13"/>
        <v/>
      </c>
      <c r="V108" s="33" t="str">
        <f t="shared" si="14"/>
        <v/>
      </c>
      <c r="W108" s="33" t="str">
        <f t="shared" si="15"/>
        <v/>
      </c>
      <c r="X108" s="30" t="str">
        <f>IF(OR($G108="",$I108=""),"",IF(OR($T108&gt;=Setup!$B$8,$U108&gt;=Setup!$B$8),1,""))</f>
        <v/>
      </c>
      <c r="Y108" s="30" t="str">
        <f t="shared" si="16"/>
        <v/>
      </c>
      <c r="Z108" s="33" t="str">
        <f>IF($X108=1,IF($T108&gt;$U108,Setup!$B$9,Setup!$B$10),"")</f>
        <v/>
      </c>
      <c r="AA108" s="33" t="str">
        <f>IF($X108=1,IF($U108&gt;$T108,Setup!$B$9,Setup!$B$10),"")</f>
        <v/>
      </c>
      <c r="AB108" s="30" t="str">
        <f t="shared" si="17"/>
        <v/>
      </c>
      <c r="AC108" s="30" t="str">
        <f t="shared" si="18"/>
        <v/>
      </c>
      <c r="AD108" s="30" t="str">
        <f t="shared" si="19"/>
        <v/>
      </c>
    </row>
    <row r="109" spans="1:30">
      <c r="A109" s="29">
        <v>108</v>
      </c>
      <c r="B109" s="29" t="str">
        <f>IF(INT(($A109-1)/28)+1&lt;=Setup!$B$5,INT(($A109-1)/28)+1,"")</f>
        <v/>
      </c>
      <c r="C109" s="29" t="str">
        <f t="shared" si="10"/>
        <v/>
      </c>
      <c r="D109" s="29">
        <f t="shared" si="11"/>
        <v>24</v>
      </c>
      <c r="E109" s="29" t="str">
        <f>IF($B109="","",IFERROR(INDEX('Fixture Library'!$C$2:$C$200,MATCH(Setup!$B$6*100+$D109,'Fixture Library'!$F$2:$F$200,0)),""))</f>
        <v/>
      </c>
      <c r="F109" s="30" t="str">
        <f>IF($B109="","",IFERROR(INDEX('Fixture Library'!$D$2:$D$200,MATCH(Setup!$B$6*100+$D109,'Fixture Library'!$F$2:$F$200,0)),""))</f>
        <v/>
      </c>
      <c r="G109" s="30" t="str">
        <f>IF($F109="","",INDEX(Teams!$E$2:$E$65,($B109-1)*8+$F109))</f>
        <v/>
      </c>
      <c r="H109" s="30" t="str">
        <f>IF($B109="","",IFERROR(INDEX('Fixture Library'!$E$2:$E$200,MATCH(Setup!$B$6*100+$D109,'Fixture Library'!$F$2:$F$200,0)),""))</f>
        <v/>
      </c>
      <c r="I109" s="30" t="str">
        <f>IF($H109="","",INDEX(Teams!$E$2:$E$65,($B109-1)*8+$H109))</f>
        <v/>
      </c>
      <c r="J109" s="34" t="str">
        <f>IF($G109="","",IFERROR(INDEX('Match Entry'!$F$5:$F$228,5+($B109-1)*Setup!$B$13+$D109-1-4),""))</f>
        <v/>
      </c>
      <c r="K109" s="35" t="str">
        <f>IF($G109="","",IFERROR(INDEX('Match Entry'!$G$5:$G$228,5+($B109-1)*Setup!$B$13+$D109-1-4),""))</f>
        <v/>
      </c>
      <c r="L109" s="34" t="str">
        <f>IF($G109="","",IFERROR(INDEX('Match Entry'!$H$5:$H$228,5+($B109-1)*Setup!$B$13+$D109-1-4),""))</f>
        <v/>
      </c>
      <c r="M109" s="35" t="str">
        <f>IF($G109="","",IFERROR(INDEX('Match Entry'!$I$5:$I$228,5+($B109-1)*Setup!$B$13+$D109-1-4),""))</f>
        <v/>
      </c>
      <c r="N109" s="34" t="str">
        <f>IF($G109="","",IFERROR(INDEX('Match Entry'!$J$5:$J$228,5+($B109-1)*Setup!$B$13+$D109-1-4),""))</f>
        <v/>
      </c>
      <c r="O109" s="35" t="str">
        <f>IF($G109="","",IFERROR(INDEX('Match Entry'!$K$5:$K$228,5+($B109-1)*Setup!$B$13+$D109-1-4),""))</f>
        <v/>
      </c>
      <c r="P109" s="34" t="str">
        <f>IF($G109="","",IFERROR(INDEX('Match Entry'!$L$5:$L$228,5+($B109-1)*Setup!$B$13+$D109-1-4),""))</f>
        <v/>
      </c>
      <c r="Q109" s="35" t="str">
        <f>IF($G109="","",IFERROR(INDEX('Match Entry'!$M$5:$M$228,5+($B109-1)*Setup!$B$13+$D109-1-4),""))</f>
        <v/>
      </c>
      <c r="R109" s="34" t="str">
        <f>IF($G109="","",IFERROR(INDEX('Match Entry'!$N$5:$N$228,5+($B109-1)*Setup!$B$13+$D109-1-4),""))</f>
        <v/>
      </c>
      <c r="S109" s="35" t="str">
        <f>IF($G109="","",IFERROR(INDEX('Match Entry'!$O$5:$O$228,5+($B109-1)*Setup!$B$13+$D109-1-4),""))</f>
        <v/>
      </c>
      <c r="T109" s="33" t="str">
        <f t="shared" si="12"/>
        <v/>
      </c>
      <c r="U109" s="33" t="str">
        <f t="shared" si="13"/>
        <v/>
      </c>
      <c r="V109" s="33" t="str">
        <f t="shared" si="14"/>
        <v/>
      </c>
      <c r="W109" s="33" t="str">
        <f t="shared" si="15"/>
        <v/>
      </c>
      <c r="X109" s="30" t="str">
        <f>IF(OR($G109="",$I109=""),"",IF(OR($T109&gt;=Setup!$B$8,$U109&gt;=Setup!$B$8),1,""))</f>
        <v/>
      </c>
      <c r="Y109" s="30" t="str">
        <f t="shared" si="16"/>
        <v/>
      </c>
      <c r="Z109" s="33" t="str">
        <f>IF($X109=1,IF($T109&gt;$U109,Setup!$B$9,Setup!$B$10),"")</f>
        <v/>
      </c>
      <c r="AA109" s="33" t="str">
        <f>IF($X109=1,IF($U109&gt;$T109,Setup!$B$9,Setup!$B$10),"")</f>
        <v/>
      </c>
      <c r="AB109" s="30" t="str">
        <f t="shared" si="17"/>
        <v/>
      </c>
      <c r="AC109" s="30" t="str">
        <f t="shared" si="18"/>
        <v/>
      </c>
      <c r="AD109" s="30" t="str">
        <f t="shared" si="19"/>
        <v/>
      </c>
    </row>
    <row r="110" spans="1:30">
      <c r="A110" s="29">
        <v>109</v>
      </c>
      <c r="B110" s="29" t="str">
        <f>IF(INT(($A110-1)/28)+1&lt;=Setup!$B$5,INT(($A110-1)/28)+1,"")</f>
        <v/>
      </c>
      <c r="C110" s="29" t="str">
        <f t="shared" si="10"/>
        <v/>
      </c>
      <c r="D110" s="29">
        <f t="shared" si="11"/>
        <v>25</v>
      </c>
      <c r="E110" s="29" t="str">
        <f>IF($B110="","",IFERROR(INDEX('Fixture Library'!$C$2:$C$200,MATCH(Setup!$B$6*100+$D110,'Fixture Library'!$F$2:$F$200,0)),""))</f>
        <v/>
      </c>
      <c r="F110" s="30" t="str">
        <f>IF($B110="","",IFERROR(INDEX('Fixture Library'!$D$2:$D$200,MATCH(Setup!$B$6*100+$D110,'Fixture Library'!$F$2:$F$200,0)),""))</f>
        <v/>
      </c>
      <c r="G110" s="30" t="str">
        <f>IF($F110="","",INDEX(Teams!$E$2:$E$65,($B110-1)*8+$F110))</f>
        <v/>
      </c>
      <c r="H110" s="30" t="str">
        <f>IF($B110="","",IFERROR(INDEX('Fixture Library'!$E$2:$E$200,MATCH(Setup!$B$6*100+$D110,'Fixture Library'!$F$2:$F$200,0)),""))</f>
        <v/>
      </c>
      <c r="I110" s="30" t="str">
        <f>IF($H110="","",INDEX(Teams!$E$2:$E$65,($B110-1)*8+$H110))</f>
        <v/>
      </c>
      <c r="J110" s="34" t="str">
        <f>IF($G110="","",IFERROR(INDEX('Match Entry'!$F$5:$F$228,5+($B110-1)*Setup!$B$13+$D110-1-4),""))</f>
        <v/>
      </c>
      <c r="K110" s="35" t="str">
        <f>IF($G110="","",IFERROR(INDEX('Match Entry'!$G$5:$G$228,5+($B110-1)*Setup!$B$13+$D110-1-4),""))</f>
        <v/>
      </c>
      <c r="L110" s="34" t="str">
        <f>IF($G110="","",IFERROR(INDEX('Match Entry'!$H$5:$H$228,5+($B110-1)*Setup!$B$13+$D110-1-4),""))</f>
        <v/>
      </c>
      <c r="M110" s="35" t="str">
        <f>IF($G110="","",IFERROR(INDEX('Match Entry'!$I$5:$I$228,5+($B110-1)*Setup!$B$13+$D110-1-4),""))</f>
        <v/>
      </c>
      <c r="N110" s="34" t="str">
        <f>IF($G110="","",IFERROR(INDEX('Match Entry'!$J$5:$J$228,5+($B110-1)*Setup!$B$13+$D110-1-4),""))</f>
        <v/>
      </c>
      <c r="O110" s="35" t="str">
        <f>IF($G110="","",IFERROR(INDEX('Match Entry'!$K$5:$K$228,5+($B110-1)*Setup!$B$13+$D110-1-4),""))</f>
        <v/>
      </c>
      <c r="P110" s="34" t="str">
        <f>IF($G110="","",IFERROR(INDEX('Match Entry'!$L$5:$L$228,5+($B110-1)*Setup!$B$13+$D110-1-4),""))</f>
        <v/>
      </c>
      <c r="Q110" s="35" t="str">
        <f>IF($G110="","",IFERROR(INDEX('Match Entry'!$M$5:$M$228,5+($B110-1)*Setup!$B$13+$D110-1-4),""))</f>
        <v/>
      </c>
      <c r="R110" s="34" t="str">
        <f>IF($G110="","",IFERROR(INDEX('Match Entry'!$N$5:$N$228,5+($B110-1)*Setup!$B$13+$D110-1-4),""))</f>
        <v/>
      </c>
      <c r="S110" s="35" t="str">
        <f>IF($G110="","",IFERROR(INDEX('Match Entry'!$O$5:$O$228,5+($B110-1)*Setup!$B$13+$D110-1-4),""))</f>
        <v/>
      </c>
      <c r="T110" s="33" t="str">
        <f t="shared" si="12"/>
        <v/>
      </c>
      <c r="U110" s="33" t="str">
        <f t="shared" si="13"/>
        <v/>
      </c>
      <c r="V110" s="33" t="str">
        <f t="shared" si="14"/>
        <v/>
      </c>
      <c r="W110" s="33" t="str">
        <f t="shared" si="15"/>
        <v/>
      </c>
      <c r="X110" s="30" t="str">
        <f>IF(OR($G110="",$I110=""),"",IF(OR($T110&gt;=Setup!$B$8,$U110&gt;=Setup!$B$8),1,""))</f>
        <v/>
      </c>
      <c r="Y110" s="30" t="str">
        <f t="shared" si="16"/>
        <v/>
      </c>
      <c r="Z110" s="33" t="str">
        <f>IF($X110=1,IF($T110&gt;$U110,Setup!$B$9,Setup!$B$10),"")</f>
        <v/>
      </c>
      <c r="AA110" s="33" t="str">
        <f>IF($X110=1,IF($U110&gt;$T110,Setup!$B$9,Setup!$B$10),"")</f>
        <v/>
      </c>
      <c r="AB110" s="30" t="str">
        <f t="shared" si="17"/>
        <v/>
      </c>
      <c r="AC110" s="30" t="str">
        <f t="shared" si="18"/>
        <v/>
      </c>
      <c r="AD110" s="30" t="str">
        <f t="shared" si="19"/>
        <v/>
      </c>
    </row>
    <row r="111" spans="1:30">
      <c r="A111" s="29">
        <v>110</v>
      </c>
      <c r="B111" s="29" t="str">
        <f>IF(INT(($A111-1)/28)+1&lt;=Setup!$B$5,INT(($A111-1)/28)+1,"")</f>
        <v/>
      </c>
      <c r="C111" s="29" t="str">
        <f t="shared" si="10"/>
        <v/>
      </c>
      <c r="D111" s="29">
        <f t="shared" si="11"/>
        <v>26</v>
      </c>
      <c r="E111" s="29" t="str">
        <f>IF($B111="","",IFERROR(INDEX('Fixture Library'!$C$2:$C$200,MATCH(Setup!$B$6*100+$D111,'Fixture Library'!$F$2:$F$200,0)),""))</f>
        <v/>
      </c>
      <c r="F111" s="30" t="str">
        <f>IF($B111="","",IFERROR(INDEX('Fixture Library'!$D$2:$D$200,MATCH(Setup!$B$6*100+$D111,'Fixture Library'!$F$2:$F$200,0)),""))</f>
        <v/>
      </c>
      <c r="G111" s="30" t="str">
        <f>IF($F111="","",INDEX(Teams!$E$2:$E$65,($B111-1)*8+$F111))</f>
        <v/>
      </c>
      <c r="H111" s="30" t="str">
        <f>IF($B111="","",IFERROR(INDEX('Fixture Library'!$E$2:$E$200,MATCH(Setup!$B$6*100+$D111,'Fixture Library'!$F$2:$F$200,0)),""))</f>
        <v/>
      </c>
      <c r="I111" s="30" t="str">
        <f>IF($H111="","",INDEX(Teams!$E$2:$E$65,($B111-1)*8+$H111))</f>
        <v/>
      </c>
      <c r="J111" s="34" t="str">
        <f>IF($G111="","",IFERROR(INDEX('Match Entry'!$F$5:$F$228,5+($B111-1)*Setup!$B$13+$D111-1-4),""))</f>
        <v/>
      </c>
      <c r="K111" s="35" t="str">
        <f>IF($G111="","",IFERROR(INDEX('Match Entry'!$G$5:$G$228,5+($B111-1)*Setup!$B$13+$D111-1-4),""))</f>
        <v/>
      </c>
      <c r="L111" s="34" t="str">
        <f>IF($G111="","",IFERROR(INDEX('Match Entry'!$H$5:$H$228,5+($B111-1)*Setup!$B$13+$D111-1-4),""))</f>
        <v/>
      </c>
      <c r="M111" s="35" t="str">
        <f>IF($G111="","",IFERROR(INDEX('Match Entry'!$I$5:$I$228,5+($B111-1)*Setup!$B$13+$D111-1-4),""))</f>
        <v/>
      </c>
      <c r="N111" s="34" t="str">
        <f>IF($G111="","",IFERROR(INDEX('Match Entry'!$J$5:$J$228,5+($B111-1)*Setup!$B$13+$D111-1-4),""))</f>
        <v/>
      </c>
      <c r="O111" s="35" t="str">
        <f>IF($G111="","",IFERROR(INDEX('Match Entry'!$K$5:$K$228,5+($B111-1)*Setup!$B$13+$D111-1-4),""))</f>
        <v/>
      </c>
      <c r="P111" s="34" t="str">
        <f>IF($G111="","",IFERROR(INDEX('Match Entry'!$L$5:$L$228,5+($B111-1)*Setup!$B$13+$D111-1-4),""))</f>
        <v/>
      </c>
      <c r="Q111" s="35" t="str">
        <f>IF($G111="","",IFERROR(INDEX('Match Entry'!$M$5:$M$228,5+($B111-1)*Setup!$B$13+$D111-1-4),""))</f>
        <v/>
      </c>
      <c r="R111" s="34" t="str">
        <f>IF($G111="","",IFERROR(INDEX('Match Entry'!$N$5:$N$228,5+($B111-1)*Setup!$B$13+$D111-1-4),""))</f>
        <v/>
      </c>
      <c r="S111" s="35" t="str">
        <f>IF($G111="","",IFERROR(INDEX('Match Entry'!$O$5:$O$228,5+($B111-1)*Setup!$B$13+$D111-1-4),""))</f>
        <v/>
      </c>
      <c r="T111" s="33" t="str">
        <f t="shared" si="12"/>
        <v/>
      </c>
      <c r="U111" s="33" t="str">
        <f t="shared" si="13"/>
        <v/>
      </c>
      <c r="V111" s="33" t="str">
        <f t="shared" si="14"/>
        <v/>
      </c>
      <c r="W111" s="33" t="str">
        <f t="shared" si="15"/>
        <v/>
      </c>
      <c r="X111" s="30" t="str">
        <f>IF(OR($G111="",$I111=""),"",IF(OR($T111&gt;=Setup!$B$8,$U111&gt;=Setup!$B$8),1,""))</f>
        <v/>
      </c>
      <c r="Y111" s="30" t="str">
        <f t="shared" si="16"/>
        <v/>
      </c>
      <c r="Z111" s="33" t="str">
        <f>IF($X111=1,IF($T111&gt;$U111,Setup!$B$9,Setup!$B$10),"")</f>
        <v/>
      </c>
      <c r="AA111" s="33" t="str">
        <f>IF($X111=1,IF($U111&gt;$T111,Setup!$B$9,Setup!$B$10),"")</f>
        <v/>
      </c>
      <c r="AB111" s="30" t="str">
        <f t="shared" si="17"/>
        <v/>
      </c>
      <c r="AC111" s="30" t="str">
        <f t="shared" si="18"/>
        <v/>
      </c>
      <c r="AD111" s="30" t="str">
        <f t="shared" si="19"/>
        <v/>
      </c>
    </row>
    <row r="112" spans="1:30">
      <c r="A112" s="29">
        <v>111</v>
      </c>
      <c r="B112" s="29" t="str">
        <f>IF(INT(($A112-1)/28)+1&lt;=Setup!$B$5,INT(($A112-1)/28)+1,"")</f>
        <v/>
      </c>
      <c r="C112" s="29" t="str">
        <f t="shared" si="10"/>
        <v/>
      </c>
      <c r="D112" s="29">
        <f t="shared" si="11"/>
        <v>27</v>
      </c>
      <c r="E112" s="29" t="str">
        <f>IF($B112="","",IFERROR(INDEX('Fixture Library'!$C$2:$C$200,MATCH(Setup!$B$6*100+$D112,'Fixture Library'!$F$2:$F$200,0)),""))</f>
        <v/>
      </c>
      <c r="F112" s="30" t="str">
        <f>IF($B112="","",IFERROR(INDEX('Fixture Library'!$D$2:$D$200,MATCH(Setup!$B$6*100+$D112,'Fixture Library'!$F$2:$F$200,0)),""))</f>
        <v/>
      </c>
      <c r="G112" s="30" t="str">
        <f>IF($F112="","",INDEX(Teams!$E$2:$E$65,($B112-1)*8+$F112))</f>
        <v/>
      </c>
      <c r="H112" s="30" t="str">
        <f>IF($B112="","",IFERROR(INDEX('Fixture Library'!$E$2:$E$200,MATCH(Setup!$B$6*100+$D112,'Fixture Library'!$F$2:$F$200,0)),""))</f>
        <v/>
      </c>
      <c r="I112" s="30" t="str">
        <f>IF($H112="","",INDEX(Teams!$E$2:$E$65,($B112-1)*8+$H112))</f>
        <v/>
      </c>
      <c r="J112" s="34" t="str">
        <f>IF($G112="","",IFERROR(INDEX('Match Entry'!$F$5:$F$228,5+($B112-1)*Setup!$B$13+$D112-1-4),""))</f>
        <v/>
      </c>
      <c r="K112" s="35" t="str">
        <f>IF($G112="","",IFERROR(INDEX('Match Entry'!$G$5:$G$228,5+($B112-1)*Setup!$B$13+$D112-1-4),""))</f>
        <v/>
      </c>
      <c r="L112" s="34" t="str">
        <f>IF($G112="","",IFERROR(INDEX('Match Entry'!$H$5:$H$228,5+($B112-1)*Setup!$B$13+$D112-1-4),""))</f>
        <v/>
      </c>
      <c r="M112" s="35" t="str">
        <f>IF($G112="","",IFERROR(INDEX('Match Entry'!$I$5:$I$228,5+($B112-1)*Setup!$B$13+$D112-1-4),""))</f>
        <v/>
      </c>
      <c r="N112" s="34" t="str">
        <f>IF($G112="","",IFERROR(INDEX('Match Entry'!$J$5:$J$228,5+($B112-1)*Setup!$B$13+$D112-1-4),""))</f>
        <v/>
      </c>
      <c r="O112" s="35" t="str">
        <f>IF($G112="","",IFERROR(INDEX('Match Entry'!$K$5:$K$228,5+($B112-1)*Setup!$B$13+$D112-1-4),""))</f>
        <v/>
      </c>
      <c r="P112" s="34" t="str">
        <f>IF($G112="","",IFERROR(INDEX('Match Entry'!$L$5:$L$228,5+($B112-1)*Setup!$B$13+$D112-1-4),""))</f>
        <v/>
      </c>
      <c r="Q112" s="35" t="str">
        <f>IF($G112="","",IFERROR(INDEX('Match Entry'!$M$5:$M$228,5+($B112-1)*Setup!$B$13+$D112-1-4),""))</f>
        <v/>
      </c>
      <c r="R112" s="34" t="str">
        <f>IF($G112="","",IFERROR(INDEX('Match Entry'!$N$5:$N$228,5+($B112-1)*Setup!$B$13+$D112-1-4),""))</f>
        <v/>
      </c>
      <c r="S112" s="35" t="str">
        <f>IF($G112="","",IFERROR(INDEX('Match Entry'!$O$5:$O$228,5+($B112-1)*Setup!$B$13+$D112-1-4),""))</f>
        <v/>
      </c>
      <c r="T112" s="33" t="str">
        <f t="shared" si="12"/>
        <v/>
      </c>
      <c r="U112" s="33" t="str">
        <f t="shared" si="13"/>
        <v/>
      </c>
      <c r="V112" s="33" t="str">
        <f t="shared" si="14"/>
        <v/>
      </c>
      <c r="W112" s="33" t="str">
        <f t="shared" si="15"/>
        <v/>
      </c>
      <c r="X112" s="30" t="str">
        <f>IF(OR($G112="",$I112=""),"",IF(OR($T112&gt;=Setup!$B$8,$U112&gt;=Setup!$B$8),1,""))</f>
        <v/>
      </c>
      <c r="Y112" s="30" t="str">
        <f t="shared" si="16"/>
        <v/>
      </c>
      <c r="Z112" s="33" t="str">
        <f>IF($X112=1,IF($T112&gt;$U112,Setup!$B$9,Setup!$B$10),"")</f>
        <v/>
      </c>
      <c r="AA112" s="33" t="str">
        <f>IF($X112=1,IF($U112&gt;$T112,Setup!$B$9,Setup!$B$10),"")</f>
        <v/>
      </c>
      <c r="AB112" s="30" t="str">
        <f t="shared" si="17"/>
        <v/>
      </c>
      <c r="AC112" s="30" t="str">
        <f t="shared" si="18"/>
        <v/>
      </c>
      <c r="AD112" s="30" t="str">
        <f t="shared" si="19"/>
        <v/>
      </c>
    </row>
    <row r="113" spans="1:30">
      <c r="A113" s="29">
        <v>112</v>
      </c>
      <c r="B113" s="29" t="str">
        <f>IF(INT(($A113-1)/28)+1&lt;=Setup!$B$5,INT(($A113-1)/28)+1,"")</f>
        <v/>
      </c>
      <c r="C113" s="29" t="str">
        <f t="shared" si="10"/>
        <v/>
      </c>
      <c r="D113" s="29">
        <f t="shared" si="11"/>
        <v>28</v>
      </c>
      <c r="E113" s="29" t="str">
        <f>IF($B113="","",IFERROR(INDEX('Fixture Library'!$C$2:$C$200,MATCH(Setup!$B$6*100+$D113,'Fixture Library'!$F$2:$F$200,0)),""))</f>
        <v/>
      </c>
      <c r="F113" s="30" t="str">
        <f>IF($B113="","",IFERROR(INDEX('Fixture Library'!$D$2:$D$200,MATCH(Setup!$B$6*100+$D113,'Fixture Library'!$F$2:$F$200,0)),""))</f>
        <v/>
      </c>
      <c r="G113" s="30" t="str">
        <f>IF($F113="","",INDEX(Teams!$E$2:$E$65,($B113-1)*8+$F113))</f>
        <v/>
      </c>
      <c r="H113" s="30" t="str">
        <f>IF($B113="","",IFERROR(INDEX('Fixture Library'!$E$2:$E$200,MATCH(Setup!$B$6*100+$D113,'Fixture Library'!$F$2:$F$200,0)),""))</f>
        <v/>
      </c>
      <c r="I113" s="30" t="str">
        <f>IF($H113="","",INDEX(Teams!$E$2:$E$65,($B113-1)*8+$H113))</f>
        <v/>
      </c>
      <c r="J113" s="34" t="str">
        <f>IF($G113="","",IFERROR(INDEX('Match Entry'!$F$5:$F$228,5+($B113-1)*Setup!$B$13+$D113-1-4),""))</f>
        <v/>
      </c>
      <c r="K113" s="35" t="str">
        <f>IF($G113="","",IFERROR(INDEX('Match Entry'!$G$5:$G$228,5+($B113-1)*Setup!$B$13+$D113-1-4),""))</f>
        <v/>
      </c>
      <c r="L113" s="34" t="str">
        <f>IF($G113="","",IFERROR(INDEX('Match Entry'!$H$5:$H$228,5+($B113-1)*Setup!$B$13+$D113-1-4),""))</f>
        <v/>
      </c>
      <c r="M113" s="35" t="str">
        <f>IF($G113="","",IFERROR(INDEX('Match Entry'!$I$5:$I$228,5+($B113-1)*Setup!$B$13+$D113-1-4),""))</f>
        <v/>
      </c>
      <c r="N113" s="34" t="str">
        <f>IF($G113="","",IFERROR(INDEX('Match Entry'!$J$5:$J$228,5+($B113-1)*Setup!$B$13+$D113-1-4),""))</f>
        <v/>
      </c>
      <c r="O113" s="35" t="str">
        <f>IF($G113="","",IFERROR(INDEX('Match Entry'!$K$5:$K$228,5+($B113-1)*Setup!$B$13+$D113-1-4),""))</f>
        <v/>
      </c>
      <c r="P113" s="34" t="str">
        <f>IF($G113="","",IFERROR(INDEX('Match Entry'!$L$5:$L$228,5+($B113-1)*Setup!$B$13+$D113-1-4),""))</f>
        <v/>
      </c>
      <c r="Q113" s="35" t="str">
        <f>IF($G113="","",IFERROR(INDEX('Match Entry'!$M$5:$M$228,5+($B113-1)*Setup!$B$13+$D113-1-4),""))</f>
        <v/>
      </c>
      <c r="R113" s="34" t="str">
        <f>IF($G113="","",IFERROR(INDEX('Match Entry'!$N$5:$N$228,5+($B113-1)*Setup!$B$13+$D113-1-4),""))</f>
        <v/>
      </c>
      <c r="S113" s="35" t="str">
        <f>IF($G113="","",IFERROR(INDEX('Match Entry'!$O$5:$O$228,5+($B113-1)*Setup!$B$13+$D113-1-4),""))</f>
        <v/>
      </c>
      <c r="T113" s="33" t="str">
        <f t="shared" si="12"/>
        <v/>
      </c>
      <c r="U113" s="33" t="str">
        <f t="shared" si="13"/>
        <v/>
      </c>
      <c r="V113" s="33" t="str">
        <f t="shared" si="14"/>
        <v/>
      </c>
      <c r="W113" s="33" t="str">
        <f t="shared" si="15"/>
        <v/>
      </c>
      <c r="X113" s="30" t="str">
        <f>IF(OR($G113="",$I113=""),"",IF(OR($T113&gt;=Setup!$B$8,$U113&gt;=Setup!$B$8),1,""))</f>
        <v/>
      </c>
      <c r="Y113" s="30" t="str">
        <f t="shared" si="16"/>
        <v/>
      </c>
      <c r="Z113" s="33" t="str">
        <f>IF($X113=1,IF($T113&gt;$U113,Setup!$B$9,Setup!$B$10),"")</f>
        <v/>
      </c>
      <c r="AA113" s="33" t="str">
        <f>IF($X113=1,IF($U113&gt;$T113,Setup!$B$9,Setup!$B$10),"")</f>
        <v/>
      </c>
      <c r="AB113" s="30" t="str">
        <f t="shared" si="17"/>
        <v/>
      </c>
      <c r="AC113" s="30" t="str">
        <f t="shared" si="18"/>
        <v/>
      </c>
      <c r="AD113" s="30" t="str">
        <f t="shared" si="19"/>
        <v/>
      </c>
    </row>
    <row r="114" spans="1:30">
      <c r="A114" s="29">
        <v>113</v>
      </c>
      <c r="B114" s="29" t="str">
        <f>IF(INT(($A114-1)/28)+1&lt;=Setup!$B$5,INT(($A114-1)/28)+1,"")</f>
        <v/>
      </c>
      <c r="C114" s="29" t="str">
        <f t="shared" si="10"/>
        <v/>
      </c>
      <c r="D114" s="29">
        <f t="shared" si="11"/>
        <v>1</v>
      </c>
      <c r="E114" s="29" t="str">
        <f>IF($B114="","",IFERROR(INDEX('Fixture Library'!$C$2:$C$200,MATCH(Setup!$B$6*100+$D114,'Fixture Library'!$F$2:$F$200,0)),""))</f>
        <v/>
      </c>
      <c r="F114" s="30" t="str">
        <f>IF($B114="","",IFERROR(INDEX('Fixture Library'!$D$2:$D$200,MATCH(Setup!$B$6*100+$D114,'Fixture Library'!$F$2:$F$200,0)),""))</f>
        <v/>
      </c>
      <c r="G114" s="30" t="str">
        <f>IF($F114="","",INDEX(Teams!$E$2:$E$65,($B114-1)*8+$F114))</f>
        <v/>
      </c>
      <c r="H114" s="30" t="str">
        <f>IF($B114="","",IFERROR(INDEX('Fixture Library'!$E$2:$E$200,MATCH(Setup!$B$6*100+$D114,'Fixture Library'!$F$2:$F$200,0)),""))</f>
        <v/>
      </c>
      <c r="I114" s="30" t="str">
        <f>IF($H114="","",INDEX(Teams!$E$2:$E$65,($B114-1)*8+$H114))</f>
        <v/>
      </c>
      <c r="J114" s="34" t="str">
        <f>IF($G114="","",IFERROR(INDEX('Match Entry'!$F$5:$F$228,5+($B114-1)*Setup!$B$13+$D114-1-4),""))</f>
        <v/>
      </c>
      <c r="K114" s="35" t="str">
        <f>IF($G114="","",IFERROR(INDEX('Match Entry'!$G$5:$G$228,5+($B114-1)*Setup!$B$13+$D114-1-4),""))</f>
        <v/>
      </c>
      <c r="L114" s="34" t="str">
        <f>IF($G114="","",IFERROR(INDEX('Match Entry'!$H$5:$H$228,5+($B114-1)*Setup!$B$13+$D114-1-4),""))</f>
        <v/>
      </c>
      <c r="M114" s="35" t="str">
        <f>IF($G114="","",IFERROR(INDEX('Match Entry'!$I$5:$I$228,5+($B114-1)*Setup!$B$13+$D114-1-4),""))</f>
        <v/>
      </c>
      <c r="N114" s="34" t="str">
        <f>IF($G114="","",IFERROR(INDEX('Match Entry'!$J$5:$J$228,5+($B114-1)*Setup!$B$13+$D114-1-4),""))</f>
        <v/>
      </c>
      <c r="O114" s="35" t="str">
        <f>IF($G114="","",IFERROR(INDEX('Match Entry'!$K$5:$K$228,5+($B114-1)*Setup!$B$13+$D114-1-4),""))</f>
        <v/>
      </c>
      <c r="P114" s="34" t="str">
        <f>IF($G114="","",IFERROR(INDEX('Match Entry'!$L$5:$L$228,5+($B114-1)*Setup!$B$13+$D114-1-4),""))</f>
        <v/>
      </c>
      <c r="Q114" s="35" t="str">
        <f>IF($G114="","",IFERROR(INDEX('Match Entry'!$M$5:$M$228,5+($B114-1)*Setup!$B$13+$D114-1-4),""))</f>
        <v/>
      </c>
      <c r="R114" s="34" t="str">
        <f>IF($G114="","",IFERROR(INDEX('Match Entry'!$N$5:$N$228,5+($B114-1)*Setup!$B$13+$D114-1-4),""))</f>
        <v/>
      </c>
      <c r="S114" s="35" t="str">
        <f>IF($G114="","",IFERROR(INDEX('Match Entry'!$O$5:$O$228,5+($B114-1)*Setup!$B$13+$D114-1-4),""))</f>
        <v/>
      </c>
      <c r="T114" s="33" t="str">
        <f t="shared" si="12"/>
        <v/>
      </c>
      <c r="U114" s="33" t="str">
        <f t="shared" si="13"/>
        <v/>
      </c>
      <c r="V114" s="33" t="str">
        <f t="shared" si="14"/>
        <v/>
      </c>
      <c r="W114" s="33" t="str">
        <f t="shared" si="15"/>
        <v/>
      </c>
      <c r="X114" s="30" t="str">
        <f>IF(OR($G114="",$I114=""),"",IF(OR($T114&gt;=Setup!$B$8,$U114&gt;=Setup!$B$8),1,""))</f>
        <v/>
      </c>
      <c r="Y114" s="30" t="str">
        <f t="shared" si="16"/>
        <v/>
      </c>
      <c r="Z114" s="33" t="str">
        <f>IF($X114=1,IF($T114&gt;$U114,Setup!$B$9,Setup!$B$10),"")</f>
        <v/>
      </c>
      <c r="AA114" s="33" t="str">
        <f>IF($X114=1,IF($U114&gt;$T114,Setup!$B$9,Setup!$B$10),"")</f>
        <v/>
      </c>
      <c r="AB114" s="30" t="str">
        <f t="shared" si="17"/>
        <v/>
      </c>
      <c r="AC114" s="30" t="str">
        <f t="shared" si="18"/>
        <v/>
      </c>
      <c r="AD114" s="30" t="str">
        <f t="shared" si="19"/>
        <v/>
      </c>
    </row>
    <row r="115" spans="1:30">
      <c r="A115" s="29">
        <v>114</v>
      </c>
      <c r="B115" s="29" t="str">
        <f>IF(INT(($A115-1)/28)+1&lt;=Setup!$B$5,INT(($A115-1)/28)+1,"")</f>
        <v/>
      </c>
      <c r="C115" s="29" t="str">
        <f t="shared" si="10"/>
        <v/>
      </c>
      <c r="D115" s="29">
        <f t="shared" si="11"/>
        <v>2</v>
      </c>
      <c r="E115" s="29" t="str">
        <f>IF($B115="","",IFERROR(INDEX('Fixture Library'!$C$2:$C$200,MATCH(Setup!$B$6*100+$D115,'Fixture Library'!$F$2:$F$200,0)),""))</f>
        <v/>
      </c>
      <c r="F115" s="30" t="str">
        <f>IF($B115="","",IFERROR(INDEX('Fixture Library'!$D$2:$D$200,MATCH(Setup!$B$6*100+$D115,'Fixture Library'!$F$2:$F$200,0)),""))</f>
        <v/>
      </c>
      <c r="G115" s="30" t="str">
        <f>IF($F115="","",INDEX(Teams!$E$2:$E$65,($B115-1)*8+$F115))</f>
        <v/>
      </c>
      <c r="H115" s="30" t="str">
        <f>IF($B115="","",IFERROR(INDEX('Fixture Library'!$E$2:$E$200,MATCH(Setup!$B$6*100+$D115,'Fixture Library'!$F$2:$F$200,0)),""))</f>
        <v/>
      </c>
      <c r="I115" s="30" t="str">
        <f>IF($H115="","",INDEX(Teams!$E$2:$E$65,($B115-1)*8+$H115))</f>
        <v/>
      </c>
      <c r="J115" s="34" t="str">
        <f>IF($G115="","",IFERROR(INDEX('Match Entry'!$F$5:$F$228,5+($B115-1)*Setup!$B$13+$D115-1-4),""))</f>
        <v/>
      </c>
      <c r="K115" s="35" t="str">
        <f>IF($G115="","",IFERROR(INDEX('Match Entry'!$G$5:$G$228,5+($B115-1)*Setup!$B$13+$D115-1-4),""))</f>
        <v/>
      </c>
      <c r="L115" s="34" t="str">
        <f>IF($G115="","",IFERROR(INDEX('Match Entry'!$H$5:$H$228,5+($B115-1)*Setup!$B$13+$D115-1-4),""))</f>
        <v/>
      </c>
      <c r="M115" s="35" t="str">
        <f>IF($G115="","",IFERROR(INDEX('Match Entry'!$I$5:$I$228,5+($B115-1)*Setup!$B$13+$D115-1-4),""))</f>
        <v/>
      </c>
      <c r="N115" s="34" t="str">
        <f>IF($G115="","",IFERROR(INDEX('Match Entry'!$J$5:$J$228,5+($B115-1)*Setup!$B$13+$D115-1-4),""))</f>
        <v/>
      </c>
      <c r="O115" s="35" t="str">
        <f>IF($G115="","",IFERROR(INDEX('Match Entry'!$K$5:$K$228,5+($B115-1)*Setup!$B$13+$D115-1-4),""))</f>
        <v/>
      </c>
      <c r="P115" s="34" t="str">
        <f>IF($G115="","",IFERROR(INDEX('Match Entry'!$L$5:$L$228,5+($B115-1)*Setup!$B$13+$D115-1-4),""))</f>
        <v/>
      </c>
      <c r="Q115" s="35" t="str">
        <f>IF($G115="","",IFERROR(INDEX('Match Entry'!$M$5:$M$228,5+($B115-1)*Setup!$B$13+$D115-1-4),""))</f>
        <v/>
      </c>
      <c r="R115" s="34" t="str">
        <f>IF($G115="","",IFERROR(INDEX('Match Entry'!$N$5:$N$228,5+($B115-1)*Setup!$B$13+$D115-1-4),""))</f>
        <v/>
      </c>
      <c r="S115" s="35" t="str">
        <f>IF($G115="","",IFERROR(INDEX('Match Entry'!$O$5:$O$228,5+($B115-1)*Setup!$B$13+$D115-1-4),""))</f>
        <v/>
      </c>
      <c r="T115" s="33" t="str">
        <f t="shared" si="12"/>
        <v/>
      </c>
      <c r="U115" s="33" t="str">
        <f t="shared" si="13"/>
        <v/>
      </c>
      <c r="V115" s="33" t="str">
        <f t="shared" si="14"/>
        <v/>
      </c>
      <c r="W115" s="33" t="str">
        <f t="shared" si="15"/>
        <v/>
      </c>
      <c r="X115" s="30" t="str">
        <f>IF(OR($G115="",$I115=""),"",IF(OR($T115&gt;=Setup!$B$8,$U115&gt;=Setup!$B$8),1,""))</f>
        <v/>
      </c>
      <c r="Y115" s="30" t="str">
        <f t="shared" si="16"/>
        <v/>
      </c>
      <c r="Z115" s="33" t="str">
        <f>IF($X115=1,IF($T115&gt;$U115,Setup!$B$9,Setup!$B$10),"")</f>
        <v/>
      </c>
      <c r="AA115" s="33" t="str">
        <f>IF($X115=1,IF($U115&gt;$T115,Setup!$B$9,Setup!$B$10),"")</f>
        <v/>
      </c>
      <c r="AB115" s="30" t="str">
        <f t="shared" si="17"/>
        <v/>
      </c>
      <c r="AC115" s="30" t="str">
        <f t="shared" si="18"/>
        <v/>
      </c>
      <c r="AD115" s="30" t="str">
        <f t="shared" si="19"/>
        <v/>
      </c>
    </row>
    <row r="116" spans="1:30">
      <c r="A116" s="29">
        <v>115</v>
      </c>
      <c r="B116" s="29" t="str">
        <f>IF(INT(($A116-1)/28)+1&lt;=Setup!$B$5,INT(($A116-1)/28)+1,"")</f>
        <v/>
      </c>
      <c r="C116" s="29" t="str">
        <f t="shared" si="10"/>
        <v/>
      </c>
      <c r="D116" s="29">
        <f t="shared" si="11"/>
        <v>3</v>
      </c>
      <c r="E116" s="29" t="str">
        <f>IF($B116="","",IFERROR(INDEX('Fixture Library'!$C$2:$C$200,MATCH(Setup!$B$6*100+$D116,'Fixture Library'!$F$2:$F$200,0)),""))</f>
        <v/>
      </c>
      <c r="F116" s="30" t="str">
        <f>IF($B116="","",IFERROR(INDEX('Fixture Library'!$D$2:$D$200,MATCH(Setup!$B$6*100+$D116,'Fixture Library'!$F$2:$F$200,0)),""))</f>
        <v/>
      </c>
      <c r="G116" s="30" t="str">
        <f>IF($F116="","",INDEX(Teams!$E$2:$E$65,($B116-1)*8+$F116))</f>
        <v/>
      </c>
      <c r="H116" s="30" t="str">
        <f>IF($B116="","",IFERROR(INDEX('Fixture Library'!$E$2:$E$200,MATCH(Setup!$B$6*100+$D116,'Fixture Library'!$F$2:$F$200,0)),""))</f>
        <v/>
      </c>
      <c r="I116" s="30" t="str">
        <f>IF($H116="","",INDEX(Teams!$E$2:$E$65,($B116-1)*8+$H116))</f>
        <v/>
      </c>
      <c r="J116" s="34" t="str">
        <f>IF($G116="","",IFERROR(INDEX('Match Entry'!$F$5:$F$228,5+($B116-1)*Setup!$B$13+$D116-1-4),""))</f>
        <v/>
      </c>
      <c r="K116" s="35" t="str">
        <f>IF($G116="","",IFERROR(INDEX('Match Entry'!$G$5:$G$228,5+($B116-1)*Setup!$B$13+$D116-1-4),""))</f>
        <v/>
      </c>
      <c r="L116" s="34" t="str">
        <f>IF($G116="","",IFERROR(INDEX('Match Entry'!$H$5:$H$228,5+($B116-1)*Setup!$B$13+$D116-1-4),""))</f>
        <v/>
      </c>
      <c r="M116" s="35" t="str">
        <f>IF($G116="","",IFERROR(INDEX('Match Entry'!$I$5:$I$228,5+($B116-1)*Setup!$B$13+$D116-1-4),""))</f>
        <v/>
      </c>
      <c r="N116" s="34" t="str">
        <f>IF($G116="","",IFERROR(INDEX('Match Entry'!$J$5:$J$228,5+($B116-1)*Setup!$B$13+$D116-1-4),""))</f>
        <v/>
      </c>
      <c r="O116" s="35" t="str">
        <f>IF($G116="","",IFERROR(INDEX('Match Entry'!$K$5:$K$228,5+($B116-1)*Setup!$B$13+$D116-1-4),""))</f>
        <v/>
      </c>
      <c r="P116" s="34" t="str">
        <f>IF($G116="","",IFERROR(INDEX('Match Entry'!$L$5:$L$228,5+($B116-1)*Setup!$B$13+$D116-1-4),""))</f>
        <v/>
      </c>
      <c r="Q116" s="35" t="str">
        <f>IF($G116="","",IFERROR(INDEX('Match Entry'!$M$5:$M$228,5+($B116-1)*Setup!$B$13+$D116-1-4),""))</f>
        <v/>
      </c>
      <c r="R116" s="34" t="str">
        <f>IF($G116="","",IFERROR(INDEX('Match Entry'!$N$5:$N$228,5+($B116-1)*Setup!$B$13+$D116-1-4),""))</f>
        <v/>
      </c>
      <c r="S116" s="35" t="str">
        <f>IF($G116="","",IFERROR(INDEX('Match Entry'!$O$5:$O$228,5+($B116-1)*Setup!$B$13+$D116-1-4),""))</f>
        <v/>
      </c>
      <c r="T116" s="33" t="str">
        <f t="shared" si="12"/>
        <v/>
      </c>
      <c r="U116" s="33" t="str">
        <f t="shared" si="13"/>
        <v/>
      </c>
      <c r="V116" s="33" t="str">
        <f t="shared" si="14"/>
        <v/>
      </c>
      <c r="W116" s="33" t="str">
        <f t="shared" si="15"/>
        <v/>
      </c>
      <c r="X116" s="30" t="str">
        <f>IF(OR($G116="",$I116=""),"",IF(OR($T116&gt;=Setup!$B$8,$U116&gt;=Setup!$B$8),1,""))</f>
        <v/>
      </c>
      <c r="Y116" s="30" t="str">
        <f t="shared" si="16"/>
        <v/>
      </c>
      <c r="Z116" s="33" t="str">
        <f>IF($X116=1,IF($T116&gt;$U116,Setup!$B$9,Setup!$B$10),"")</f>
        <v/>
      </c>
      <c r="AA116" s="33" t="str">
        <f>IF($X116=1,IF($U116&gt;$T116,Setup!$B$9,Setup!$B$10),"")</f>
        <v/>
      </c>
      <c r="AB116" s="30" t="str">
        <f t="shared" si="17"/>
        <v/>
      </c>
      <c r="AC116" s="30" t="str">
        <f t="shared" si="18"/>
        <v/>
      </c>
      <c r="AD116" s="30" t="str">
        <f t="shared" si="19"/>
        <v/>
      </c>
    </row>
    <row r="117" spans="1:30">
      <c r="A117" s="29">
        <v>116</v>
      </c>
      <c r="B117" s="29" t="str">
        <f>IF(INT(($A117-1)/28)+1&lt;=Setup!$B$5,INT(($A117-1)/28)+1,"")</f>
        <v/>
      </c>
      <c r="C117" s="29" t="str">
        <f t="shared" si="10"/>
        <v/>
      </c>
      <c r="D117" s="29">
        <f t="shared" si="11"/>
        <v>4</v>
      </c>
      <c r="E117" s="29" t="str">
        <f>IF($B117="","",IFERROR(INDEX('Fixture Library'!$C$2:$C$200,MATCH(Setup!$B$6*100+$D117,'Fixture Library'!$F$2:$F$200,0)),""))</f>
        <v/>
      </c>
      <c r="F117" s="30" t="str">
        <f>IF($B117="","",IFERROR(INDEX('Fixture Library'!$D$2:$D$200,MATCH(Setup!$B$6*100+$D117,'Fixture Library'!$F$2:$F$200,0)),""))</f>
        <v/>
      </c>
      <c r="G117" s="30" t="str">
        <f>IF($F117="","",INDEX(Teams!$E$2:$E$65,($B117-1)*8+$F117))</f>
        <v/>
      </c>
      <c r="H117" s="30" t="str">
        <f>IF($B117="","",IFERROR(INDEX('Fixture Library'!$E$2:$E$200,MATCH(Setup!$B$6*100+$D117,'Fixture Library'!$F$2:$F$200,0)),""))</f>
        <v/>
      </c>
      <c r="I117" s="30" t="str">
        <f>IF($H117="","",INDEX(Teams!$E$2:$E$65,($B117-1)*8+$H117))</f>
        <v/>
      </c>
      <c r="J117" s="34" t="str">
        <f>IF($G117="","",IFERROR(INDEX('Match Entry'!$F$5:$F$228,5+($B117-1)*Setup!$B$13+$D117-1-4),""))</f>
        <v/>
      </c>
      <c r="K117" s="35" t="str">
        <f>IF($G117="","",IFERROR(INDEX('Match Entry'!$G$5:$G$228,5+($B117-1)*Setup!$B$13+$D117-1-4),""))</f>
        <v/>
      </c>
      <c r="L117" s="34" t="str">
        <f>IF($G117="","",IFERROR(INDEX('Match Entry'!$H$5:$H$228,5+($B117-1)*Setup!$B$13+$D117-1-4),""))</f>
        <v/>
      </c>
      <c r="M117" s="35" t="str">
        <f>IF($G117="","",IFERROR(INDEX('Match Entry'!$I$5:$I$228,5+($B117-1)*Setup!$B$13+$D117-1-4),""))</f>
        <v/>
      </c>
      <c r="N117" s="34" t="str">
        <f>IF($G117="","",IFERROR(INDEX('Match Entry'!$J$5:$J$228,5+($B117-1)*Setup!$B$13+$D117-1-4),""))</f>
        <v/>
      </c>
      <c r="O117" s="35" t="str">
        <f>IF($G117="","",IFERROR(INDEX('Match Entry'!$K$5:$K$228,5+($B117-1)*Setup!$B$13+$D117-1-4),""))</f>
        <v/>
      </c>
      <c r="P117" s="34" t="str">
        <f>IF($G117="","",IFERROR(INDEX('Match Entry'!$L$5:$L$228,5+($B117-1)*Setup!$B$13+$D117-1-4),""))</f>
        <v/>
      </c>
      <c r="Q117" s="35" t="str">
        <f>IF($G117="","",IFERROR(INDEX('Match Entry'!$M$5:$M$228,5+($B117-1)*Setup!$B$13+$D117-1-4),""))</f>
        <v/>
      </c>
      <c r="R117" s="34" t="str">
        <f>IF($G117="","",IFERROR(INDEX('Match Entry'!$N$5:$N$228,5+($B117-1)*Setup!$B$13+$D117-1-4),""))</f>
        <v/>
      </c>
      <c r="S117" s="35" t="str">
        <f>IF($G117="","",IFERROR(INDEX('Match Entry'!$O$5:$O$228,5+($B117-1)*Setup!$B$13+$D117-1-4),""))</f>
        <v/>
      </c>
      <c r="T117" s="33" t="str">
        <f t="shared" si="12"/>
        <v/>
      </c>
      <c r="U117" s="33" t="str">
        <f t="shared" si="13"/>
        <v/>
      </c>
      <c r="V117" s="33" t="str">
        <f t="shared" si="14"/>
        <v/>
      </c>
      <c r="W117" s="33" t="str">
        <f t="shared" si="15"/>
        <v/>
      </c>
      <c r="X117" s="30" t="str">
        <f>IF(OR($G117="",$I117=""),"",IF(OR($T117&gt;=Setup!$B$8,$U117&gt;=Setup!$B$8),1,""))</f>
        <v/>
      </c>
      <c r="Y117" s="30" t="str">
        <f t="shared" si="16"/>
        <v/>
      </c>
      <c r="Z117" s="33" t="str">
        <f>IF($X117=1,IF($T117&gt;$U117,Setup!$B$9,Setup!$B$10),"")</f>
        <v/>
      </c>
      <c r="AA117" s="33" t="str">
        <f>IF($X117=1,IF($U117&gt;$T117,Setup!$B$9,Setup!$B$10),"")</f>
        <v/>
      </c>
      <c r="AB117" s="30" t="str">
        <f t="shared" si="17"/>
        <v/>
      </c>
      <c r="AC117" s="30" t="str">
        <f t="shared" si="18"/>
        <v/>
      </c>
      <c r="AD117" s="30" t="str">
        <f t="shared" si="19"/>
        <v/>
      </c>
    </row>
    <row r="118" spans="1:30">
      <c r="A118" s="29">
        <v>117</v>
      </c>
      <c r="B118" s="29" t="str">
        <f>IF(INT(($A118-1)/28)+1&lt;=Setup!$B$5,INT(($A118-1)/28)+1,"")</f>
        <v/>
      </c>
      <c r="C118" s="29" t="str">
        <f t="shared" si="10"/>
        <v/>
      </c>
      <c r="D118" s="29">
        <f t="shared" si="11"/>
        <v>5</v>
      </c>
      <c r="E118" s="29" t="str">
        <f>IF($B118="","",IFERROR(INDEX('Fixture Library'!$C$2:$C$200,MATCH(Setup!$B$6*100+$D118,'Fixture Library'!$F$2:$F$200,0)),""))</f>
        <v/>
      </c>
      <c r="F118" s="30" t="str">
        <f>IF($B118="","",IFERROR(INDEX('Fixture Library'!$D$2:$D$200,MATCH(Setup!$B$6*100+$D118,'Fixture Library'!$F$2:$F$200,0)),""))</f>
        <v/>
      </c>
      <c r="G118" s="30" t="str">
        <f>IF($F118="","",INDEX(Teams!$E$2:$E$65,($B118-1)*8+$F118))</f>
        <v/>
      </c>
      <c r="H118" s="30" t="str">
        <f>IF($B118="","",IFERROR(INDEX('Fixture Library'!$E$2:$E$200,MATCH(Setup!$B$6*100+$D118,'Fixture Library'!$F$2:$F$200,0)),""))</f>
        <v/>
      </c>
      <c r="I118" s="30" t="str">
        <f>IF($H118="","",INDEX(Teams!$E$2:$E$65,($B118-1)*8+$H118))</f>
        <v/>
      </c>
      <c r="J118" s="34" t="str">
        <f>IF($G118="","",IFERROR(INDEX('Match Entry'!$F$5:$F$228,5+($B118-1)*Setup!$B$13+$D118-1-4),""))</f>
        <v/>
      </c>
      <c r="K118" s="35" t="str">
        <f>IF($G118="","",IFERROR(INDEX('Match Entry'!$G$5:$G$228,5+($B118-1)*Setup!$B$13+$D118-1-4),""))</f>
        <v/>
      </c>
      <c r="L118" s="34" t="str">
        <f>IF($G118="","",IFERROR(INDEX('Match Entry'!$H$5:$H$228,5+($B118-1)*Setup!$B$13+$D118-1-4),""))</f>
        <v/>
      </c>
      <c r="M118" s="35" t="str">
        <f>IF($G118="","",IFERROR(INDEX('Match Entry'!$I$5:$I$228,5+($B118-1)*Setup!$B$13+$D118-1-4),""))</f>
        <v/>
      </c>
      <c r="N118" s="34" t="str">
        <f>IF($G118="","",IFERROR(INDEX('Match Entry'!$J$5:$J$228,5+($B118-1)*Setup!$B$13+$D118-1-4),""))</f>
        <v/>
      </c>
      <c r="O118" s="35" t="str">
        <f>IF($G118="","",IFERROR(INDEX('Match Entry'!$K$5:$K$228,5+($B118-1)*Setup!$B$13+$D118-1-4),""))</f>
        <v/>
      </c>
      <c r="P118" s="34" t="str">
        <f>IF($G118="","",IFERROR(INDEX('Match Entry'!$L$5:$L$228,5+($B118-1)*Setup!$B$13+$D118-1-4),""))</f>
        <v/>
      </c>
      <c r="Q118" s="35" t="str">
        <f>IF($G118="","",IFERROR(INDEX('Match Entry'!$M$5:$M$228,5+($B118-1)*Setup!$B$13+$D118-1-4),""))</f>
        <v/>
      </c>
      <c r="R118" s="34" t="str">
        <f>IF($G118="","",IFERROR(INDEX('Match Entry'!$N$5:$N$228,5+($B118-1)*Setup!$B$13+$D118-1-4),""))</f>
        <v/>
      </c>
      <c r="S118" s="35" t="str">
        <f>IF($G118="","",IFERROR(INDEX('Match Entry'!$O$5:$O$228,5+($B118-1)*Setup!$B$13+$D118-1-4),""))</f>
        <v/>
      </c>
      <c r="T118" s="33" t="str">
        <f t="shared" si="12"/>
        <v/>
      </c>
      <c r="U118" s="33" t="str">
        <f t="shared" si="13"/>
        <v/>
      </c>
      <c r="V118" s="33" t="str">
        <f t="shared" si="14"/>
        <v/>
      </c>
      <c r="W118" s="33" t="str">
        <f t="shared" si="15"/>
        <v/>
      </c>
      <c r="X118" s="30" t="str">
        <f>IF(OR($G118="",$I118=""),"",IF(OR($T118&gt;=Setup!$B$8,$U118&gt;=Setup!$B$8),1,""))</f>
        <v/>
      </c>
      <c r="Y118" s="30" t="str">
        <f t="shared" si="16"/>
        <v/>
      </c>
      <c r="Z118" s="33" t="str">
        <f>IF($X118=1,IF($T118&gt;$U118,Setup!$B$9,Setup!$B$10),"")</f>
        <v/>
      </c>
      <c r="AA118" s="33" t="str">
        <f>IF($X118=1,IF($U118&gt;$T118,Setup!$B$9,Setup!$B$10),"")</f>
        <v/>
      </c>
      <c r="AB118" s="30" t="str">
        <f t="shared" si="17"/>
        <v/>
      </c>
      <c r="AC118" s="30" t="str">
        <f t="shared" si="18"/>
        <v/>
      </c>
      <c r="AD118" s="30" t="str">
        <f t="shared" si="19"/>
        <v/>
      </c>
    </row>
    <row r="119" spans="1:30">
      <c r="A119" s="29">
        <v>118</v>
      </c>
      <c r="B119" s="29" t="str">
        <f>IF(INT(($A119-1)/28)+1&lt;=Setup!$B$5,INT(($A119-1)/28)+1,"")</f>
        <v/>
      </c>
      <c r="C119" s="29" t="str">
        <f t="shared" si="10"/>
        <v/>
      </c>
      <c r="D119" s="29">
        <f t="shared" si="11"/>
        <v>6</v>
      </c>
      <c r="E119" s="29" t="str">
        <f>IF($B119="","",IFERROR(INDEX('Fixture Library'!$C$2:$C$200,MATCH(Setup!$B$6*100+$D119,'Fixture Library'!$F$2:$F$200,0)),""))</f>
        <v/>
      </c>
      <c r="F119" s="30" t="str">
        <f>IF($B119="","",IFERROR(INDEX('Fixture Library'!$D$2:$D$200,MATCH(Setup!$B$6*100+$D119,'Fixture Library'!$F$2:$F$200,0)),""))</f>
        <v/>
      </c>
      <c r="G119" s="30" t="str">
        <f>IF($F119="","",INDEX(Teams!$E$2:$E$65,($B119-1)*8+$F119))</f>
        <v/>
      </c>
      <c r="H119" s="30" t="str">
        <f>IF($B119="","",IFERROR(INDEX('Fixture Library'!$E$2:$E$200,MATCH(Setup!$B$6*100+$D119,'Fixture Library'!$F$2:$F$200,0)),""))</f>
        <v/>
      </c>
      <c r="I119" s="30" t="str">
        <f>IF($H119="","",INDEX(Teams!$E$2:$E$65,($B119-1)*8+$H119))</f>
        <v/>
      </c>
      <c r="J119" s="34" t="str">
        <f>IF($G119="","",IFERROR(INDEX('Match Entry'!$F$5:$F$228,5+($B119-1)*Setup!$B$13+$D119-1-4),""))</f>
        <v/>
      </c>
      <c r="K119" s="35" t="str">
        <f>IF($G119="","",IFERROR(INDEX('Match Entry'!$G$5:$G$228,5+($B119-1)*Setup!$B$13+$D119-1-4),""))</f>
        <v/>
      </c>
      <c r="L119" s="34" t="str">
        <f>IF($G119="","",IFERROR(INDEX('Match Entry'!$H$5:$H$228,5+($B119-1)*Setup!$B$13+$D119-1-4),""))</f>
        <v/>
      </c>
      <c r="M119" s="35" t="str">
        <f>IF($G119="","",IFERROR(INDEX('Match Entry'!$I$5:$I$228,5+($B119-1)*Setup!$B$13+$D119-1-4),""))</f>
        <v/>
      </c>
      <c r="N119" s="34" t="str">
        <f>IF($G119="","",IFERROR(INDEX('Match Entry'!$J$5:$J$228,5+($B119-1)*Setup!$B$13+$D119-1-4),""))</f>
        <v/>
      </c>
      <c r="O119" s="35" t="str">
        <f>IF($G119="","",IFERROR(INDEX('Match Entry'!$K$5:$K$228,5+($B119-1)*Setup!$B$13+$D119-1-4),""))</f>
        <v/>
      </c>
      <c r="P119" s="34" t="str">
        <f>IF($G119="","",IFERROR(INDEX('Match Entry'!$L$5:$L$228,5+($B119-1)*Setup!$B$13+$D119-1-4),""))</f>
        <v/>
      </c>
      <c r="Q119" s="35" t="str">
        <f>IF($G119="","",IFERROR(INDEX('Match Entry'!$M$5:$M$228,5+($B119-1)*Setup!$B$13+$D119-1-4),""))</f>
        <v/>
      </c>
      <c r="R119" s="34" t="str">
        <f>IF($G119="","",IFERROR(INDEX('Match Entry'!$N$5:$N$228,5+($B119-1)*Setup!$B$13+$D119-1-4),""))</f>
        <v/>
      </c>
      <c r="S119" s="35" t="str">
        <f>IF($G119="","",IFERROR(INDEX('Match Entry'!$O$5:$O$228,5+($B119-1)*Setup!$B$13+$D119-1-4),""))</f>
        <v/>
      </c>
      <c r="T119" s="33" t="str">
        <f t="shared" si="12"/>
        <v/>
      </c>
      <c r="U119" s="33" t="str">
        <f t="shared" si="13"/>
        <v/>
      </c>
      <c r="V119" s="33" t="str">
        <f t="shared" si="14"/>
        <v/>
      </c>
      <c r="W119" s="33" t="str">
        <f t="shared" si="15"/>
        <v/>
      </c>
      <c r="X119" s="30" t="str">
        <f>IF(OR($G119="",$I119=""),"",IF(OR($T119&gt;=Setup!$B$8,$U119&gt;=Setup!$B$8),1,""))</f>
        <v/>
      </c>
      <c r="Y119" s="30" t="str">
        <f t="shared" si="16"/>
        <v/>
      </c>
      <c r="Z119" s="33" t="str">
        <f>IF($X119=1,IF($T119&gt;$U119,Setup!$B$9,Setup!$B$10),"")</f>
        <v/>
      </c>
      <c r="AA119" s="33" t="str">
        <f>IF($X119=1,IF($U119&gt;$T119,Setup!$B$9,Setup!$B$10),"")</f>
        <v/>
      </c>
      <c r="AB119" s="30" t="str">
        <f t="shared" si="17"/>
        <v/>
      </c>
      <c r="AC119" s="30" t="str">
        <f t="shared" si="18"/>
        <v/>
      </c>
      <c r="AD119" s="30" t="str">
        <f t="shared" si="19"/>
        <v/>
      </c>
    </row>
    <row r="120" spans="1:30">
      <c r="A120" s="29">
        <v>119</v>
      </c>
      <c r="B120" s="29" t="str">
        <f>IF(INT(($A120-1)/28)+1&lt;=Setup!$B$5,INT(($A120-1)/28)+1,"")</f>
        <v/>
      </c>
      <c r="C120" s="29" t="str">
        <f t="shared" si="10"/>
        <v/>
      </c>
      <c r="D120" s="29">
        <f t="shared" si="11"/>
        <v>7</v>
      </c>
      <c r="E120" s="29" t="str">
        <f>IF($B120="","",IFERROR(INDEX('Fixture Library'!$C$2:$C$200,MATCH(Setup!$B$6*100+$D120,'Fixture Library'!$F$2:$F$200,0)),""))</f>
        <v/>
      </c>
      <c r="F120" s="30" t="str">
        <f>IF($B120="","",IFERROR(INDEX('Fixture Library'!$D$2:$D$200,MATCH(Setup!$B$6*100+$D120,'Fixture Library'!$F$2:$F$200,0)),""))</f>
        <v/>
      </c>
      <c r="G120" s="30" t="str">
        <f>IF($F120="","",INDEX(Teams!$E$2:$E$65,($B120-1)*8+$F120))</f>
        <v/>
      </c>
      <c r="H120" s="30" t="str">
        <f>IF($B120="","",IFERROR(INDEX('Fixture Library'!$E$2:$E$200,MATCH(Setup!$B$6*100+$D120,'Fixture Library'!$F$2:$F$200,0)),""))</f>
        <v/>
      </c>
      <c r="I120" s="30" t="str">
        <f>IF($H120="","",INDEX(Teams!$E$2:$E$65,($B120-1)*8+$H120))</f>
        <v/>
      </c>
      <c r="J120" s="34" t="str">
        <f>IF($G120="","",IFERROR(INDEX('Match Entry'!$F$5:$F$228,5+($B120-1)*Setup!$B$13+$D120-1-4),""))</f>
        <v/>
      </c>
      <c r="K120" s="35" t="str">
        <f>IF($G120="","",IFERROR(INDEX('Match Entry'!$G$5:$G$228,5+($B120-1)*Setup!$B$13+$D120-1-4),""))</f>
        <v/>
      </c>
      <c r="L120" s="34" t="str">
        <f>IF($G120="","",IFERROR(INDEX('Match Entry'!$H$5:$H$228,5+($B120-1)*Setup!$B$13+$D120-1-4),""))</f>
        <v/>
      </c>
      <c r="M120" s="35" t="str">
        <f>IF($G120="","",IFERROR(INDEX('Match Entry'!$I$5:$I$228,5+($B120-1)*Setup!$B$13+$D120-1-4),""))</f>
        <v/>
      </c>
      <c r="N120" s="34" t="str">
        <f>IF($G120="","",IFERROR(INDEX('Match Entry'!$J$5:$J$228,5+($B120-1)*Setup!$B$13+$D120-1-4),""))</f>
        <v/>
      </c>
      <c r="O120" s="35" t="str">
        <f>IF($G120="","",IFERROR(INDEX('Match Entry'!$K$5:$K$228,5+($B120-1)*Setup!$B$13+$D120-1-4),""))</f>
        <v/>
      </c>
      <c r="P120" s="34" t="str">
        <f>IF($G120="","",IFERROR(INDEX('Match Entry'!$L$5:$L$228,5+($B120-1)*Setup!$B$13+$D120-1-4),""))</f>
        <v/>
      </c>
      <c r="Q120" s="35" t="str">
        <f>IF($G120="","",IFERROR(INDEX('Match Entry'!$M$5:$M$228,5+($B120-1)*Setup!$B$13+$D120-1-4),""))</f>
        <v/>
      </c>
      <c r="R120" s="34" t="str">
        <f>IF($G120="","",IFERROR(INDEX('Match Entry'!$N$5:$N$228,5+($B120-1)*Setup!$B$13+$D120-1-4),""))</f>
        <v/>
      </c>
      <c r="S120" s="35" t="str">
        <f>IF($G120="","",IFERROR(INDEX('Match Entry'!$O$5:$O$228,5+($B120-1)*Setup!$B$13+$D120-1-4),""))</f>
        <v/>
      </c>
      <c r="T120" s="33" t="str">
        <f t="shared" si="12"/>
        <v/>
      </c>
      <c r="U120" s="33" t="str">
        <f t="shared" si="13"/>
        <v/>
      </c>
      <c r="V120" s="33" t="str">
        <f t="shared" si="14"/>
        <v/>
      </c>
      <c r="W120" s="33" t="str">
        <f t="shared" si="15"/>
        <v/>
      </c>
      <c r="X120" s="30" t="str">
        <f>IF(OR($G120="",$I120=""),"",IF(OR($T120&gt;=Setup!$B$8,$U120&gt;=Setup!$B$8),1,""))</f>
        <v/>
      </c>
      <c r="Y120" s="30" t="str">
        <f t="shared" si="16"/>
        <v/>
      </c>
      <c r="Z120" s="33" t="str">
        <f>IF($X120=1,IF($T120&gt;$U120,Setup!$B$9,Setup!$B$10),"")</f>
        <v/>
      </c>
      <c r="AA120" s="33" t="str">
        <f>IF($X120=1,IF($U120&gt;$T120,Setup!$B$9,Setup!$B$10),"")</f>
        <v/>
      </c>
      <c r="AB120" s="30" t="str">
        <f t="shared" si="17"/>
        <v/>
      </c>
      <c r="AC120" s="30" t="str">
        <f t="shared" si="18"/>
        <v/>
      </c>
      <c r="AD120" s="30" t="str">
        <f t="shared" si="19"/>
        <v/>
      </c>
    </row>
    <row r="121" spans="1:30">
      <c r="A121" s="29">
        <v>120</v>
      </c>
      <c r="B121" s="29" t="str">
        <f>IF(INT(($A121-1)/28)+1&lt;=Setup!$B$5,INT(($A121-1)/28)+1,"")</f>
        <v/>
      </c>
      <c r="C121" s="29" t="str">
        <f t="shared" si="10"/>
        <v/>
      </c>
      <c r="D121" s="29">
        <f t="shared" si="11"/>
        <v>8</v>
      </c>
      <c r="E121" s="29" t="str">
        <f>IF($B121="","",IFERROR(INDEX('Fixture Library'!$C$2:$C$200,MATCH(Setup!$B$6*100+$D121,'Fixture Library'!$F$2:$F$200,0)),""))</f>
        <v/>
      </c>
      <c r="F121" s="30" t="str">
        <f>IF($B121="","",IFERROR(INDEX('Fixture Library'!$D$2:$D$200,MATCH(Setup!$B$6*100+$D121,'Fixture Library'!$F$2:$F$200,0)),""))</f>
        <v/>
      </c>
      <c r="G121" s="30" t="str">
        <f>IF($F121="","",INDEX(Teams!$E$2:$E$65,($B121-1)*8+$F121))</f>
        <v/>
      </c>
      <c r="H121" s="30" t="str">
        <f>IF($B121="","",IFERROR(INDEX('Fixture Library'!$E$2:$E$200,MATCH(Setup!$B$6*100+$D121,'Fixture Library'!$F$2:$F$200,0)),""))</f>
        <v/>
      </c>
      <c r="I121" s="30" t="str">
        <f>IF($H121="","",INDEX(Teams!$E$2:$E$65,($B121-1)*8+$H121))</f>
        <v/>
      </c>
      <c r="J121" s="34" t="str">
        <f>IF($G121="","",IFERROR(INDEX('Match Entry'!$F$5:$F$228,5+($B121-1)*Setup!$B$13+$D121-1-4),""))</f>
        <v/>
      </c>
      <c r="K121" s="35" t="str">
        <f>IF($G121="","",IFERROR(INDEX('Match Entry'!$G$5:$G$228,5+($B121-1)*Setup!$B$13+$D121-1-4),""))</f>
        <v/>
      </c>
      <c r="L121" s="34" t="str">
        <f>IF($G121="","",IFERROR(INDEX('Match Entry'!$H$5:$H$228,5+($B121-1)*Setup!$B$13+$D121-1-4),""))</f>
        <v/>
      </c>
      <c r="M121" s="35" t="str">
        <f>IF($G121="","",IFERROR(INDEX('Match Entry'!$I$5:$I$228,5+($B121-1)*Setup!$B$13+$D121-1-4),""))</f>
        <v/>
      </c>
      <c r="N121" s="34" t="str">
        <f>IF($G121="","",IFERROR(INDEX('Match Entry'!$J$5:$J$228,5+($B121-1)*Setup!$B$13+$D121-1-4),""))</f>
        <v/>
      </c>
      <c r="O121" s="35" t="str">
        <f>IF($G121="","",IFERROR(INDEX('Match Entry'!$K$5:$K$228,5+($B121-1)*Setup!$B$13+$D121-1-4),""))</f>
        <v/>
      </c>
      <c r="P121" s="34" t="str">
        <f>IF($G121="","",IFERROR(INDEX('Match Entry'!$L$5:$L$228,5+($B121-1)*Setup!$B$13+$D121-1-4),""))</f>
        <v/>
      </c>
      <c r="Q121" s="35" t="str">
        <f>IF($G121="","",IFERROR(INDEX('Match Entry'!$M$5:$M$228,5+($B121-1)*Setup!$B$13+$D121-1-4),""))</f>
        <v/>
      </c>
      <c r="R121" s="34" t="str">
        <f>IF($G121="","",IFERROR(INDEX('Match Entry'!$N$5:$N$228,5+($B121-1)*Setup!$B$13+$D121-1-4),""))</f>
        <v/>
      </c>
      <c r="S121" s="35" t="str">
        <f>IF($G121="","",IFERROR(INDEX('Match Entry'!$O$5:$O$228,5+($B121-1)*Setup!$B$13+$D121-1-4),""))</f>
        <v/>
      </c>
      <c r="T121" s="33" t="str">
        <f t="shared" si="12"/>
        <v/>
      </c>
      <c r="U121" s="33" t="str">
        <f t="shared" si="13"/>
        <v/>
      </c>
      <c r="V121" s="33" t="str">
        <f t="shared" si="14"/>
        <v/>
      </c>
      <c r="W121" s="33" t="str">
        <f t="shared" si="15"/>
        <v/>
      </c>
      <c r="X121" s="30" t="str">
        <f>IF(OR($G121="",$I121=""),"",IF(OR($T121&gt;=Setup!$B$8,$U121&gt;=Setup!$B$8),1,""))</f>
        <v/>
      </c>
      <c r="Y121" s="30" t="str">
        <f t="shared" si="16"/>
        <v/>
      </c>
      <c r="Z121" s="33" t="str">
        <f>IF($X121=1,IF($T121&gt;$U121,Setup!$B$9,Setup!$B$10),"")</f>
        <v/>
      </c>
      <c r="AA121" s="33" t="str">
        <f>IF($X121=1,IF($U121&gt;$T121,Setup!$B$9,Setup!$B$10),"")</f>
        <v/>
      </c>
      <c r="AB121" s="30" t="str">
        <f t="shared" si="17"/>
        <v/>
      </c>
      <c r="AC121" s="30" t="str">
        <f t="shared" si="18"/>
        <v/>
      </c>
      <c r="AD121" s="30" t="str">
        <f t="shared" si="19"/>
        <v/>
      </c>
    </row>
    <row r="122" spans="1:30">
      <c r="A122" s="29">
        <v>121</v>
      </c>
      <c r="B122" s="29" t="str">
        <f>IF(INT(($A122-1)/28)+1&lt;=Setup!$B$5,INT(($A122-1)/28)+1,"")</f>
        <v/>
      </c>
      <c r="C122" s="29" t="str">
        <f t="shared" si="10"/>
        <v/>
      </c>
      <c r="D122" s="29">
        <f t="shared" si="11"/>
        <v>9</v>
      </c>
      <c r="E122" s="29" t="str">
        <f>IF($B122="","",IFERROR(INDEX('Fixture Library'!$C$2:$C$200,MATCH(Setup!$B$6*100+$D122,'Fixture Library'!$F$2:$F$200,0)),""))</f>
        <v/>
      </c>
      <c r="F122" s="30" t="str">
        <f>IF($B122="","",IFERROR(INDEX('Fixture Library'!$D$2:$D$200,MATCH(Setup!$B$6*100+$D122,'Fixture Library'!$F$2:$F$200,0)),""))</f>
        <v/>
      </c>
      <c r="G122" s="30" t="str">
        <f>IF($F122="","",INDEX(Teams!$E$2:$E$65,($B122-1)*8+$F122))</f>
        <v/>
      </c>
      <c r="H122" s="30" t="str">
        <f>IF($B122="","",IFERROR(INDEX('Fixture Library'!$E$2:$E$200,MATCH(Setup!$B$6*100+$D122,'Fixture Library'!$F$2:$F$200,0)),""))</f>
        <v/>
      </c>
      <c r="I122" s="30" t="str">
        <f>IF($H122="","",INDEX(Teams!$E$2:$E$65,($B122-1)*8+$H122))</f>
        <v/>
      </c>
      <c r="J122" s="34" t="str">
        <f>IF($G122="","",IFERROR(INDEX('Match Entry'!$F$5:$F$228,5+($B122-1)*Setup!$B$13+$D122-1-4),""))</f>
        <v/>
      </c>
      <c r="K122" s="35" t="str">
        <f>IF($G122="","",IFERROR(INDEX('Match Entry'!$G$5:$G$228,5+($B122-1)*Setup!$B$13+$D122-1-4),""))</f>
        <v/>
      </c>
      <c r="L122" s="34" t="str">
        <f>IF($G122="","",IFERROR(INDEX('Match Entry'!$H$5:$H$228,5+($B122-1)*Setup!$B$13+$D122-1-4),""))</f>
        <v/>
      </c>
      <c r="M122" s="35" t="str">
        <f>IF($G122="","",IFERROR(INDEX('Match Entry'!$I$5:$I$228,5+($B122-1)*Setup!$B$13+$D122-1-4),""))</f>
        <v/>
      </c>
      <c r="N122" s="34" t="str">
        <f>IF($G122="","",IFERROR(INDEX('Match Entry'!$J$5:$J$228,5+($B122-1)*Setup!$B$13+$D122-1-4),""))</f>
        <v/>
      </c>
      <c r="O122" s="35" t="str">
        <f>IF($G122="","",IFERROR(INDEX('Match Entry'!$K$5:$K$228,5+($B122-1)*Setup!$B$13+$D122-1-4),""))</f>
        <v/>
      </c>
      <c r="P122" s="34" t="str">
        <f>IF($G122="","",IFERROR(INDEX('Match Entry'!$L$5:$L$228,5+($B122-1)*Setup!$B$13+$D122-1-4),""))</f>
        <v/>
      </c>
      <c r="Q122" s="35" t="str">
        <f>IF($G122="","",IFERROR(INDEX('Match Entry'!$M$5:$M$228,5+($B122-1)*Setup!$B$13+$D122-1-4),""))</f>
        <v/>
      </c>
      <c r="R122" s="34" t="str">
        <f>IF($G122="","",IFERROR(INDEX('Match Entry'!$N$5:$N$228,5+($B122-1)*Setup!$B$13+$D122-1-4),""))</f>
        <v/>
      </c>
      <c r="S122" s="35" t="str">
        <f>IF($G122="","",IFERROR(INDEX('Match Entry'!$O$5:$O$228,5+($B122-1)*Setup!$B$13+$D122-1-4),""))</f>
        <v/>
      </c>
      <c r="T122" s="33" t="str">
        <f t="shared" si="12"/>
        <v/>
      </c>
      <c r="U122" s="33" t="str">
        <f t="shared" si="13"/>
        <v/>
      </c>
      <c r="V122" s="33" t="str">
        <f t="shared" si="14"/>
        <v/>
      </c>
      <c r="W122" s="33" t="str">
        <f t="shared" si="15"/>
        <v/>
      </c>
      <c r="X122" s="30" t="str">
        <f>IF(OR($G122="",$I122=""),"",IF(OR($T122&gt;=Setup!$B$8,$U122&gt;=Setup!$B$8),1,""))</f>
        <v/>
      </c>
      <c r="Y122" s="30" t="str">
        <f t="shared" si="16"/>
        <v/>
      </c>
      <c r="Z122" s="33" t="str">
        <f>IF($X122=1,IF($T122&gt;$U122,Setup!$B$9,Setup!$B$10),"")</f>
        <v/>
      </c>
      <c r="AA122" s="33" t="str">
        <f>IF($X122=1,IF($U122&gt;$T122,Setup!$B$9,Setup!$B$10),"")</f>
        <v/>
      </c>
      <c r="AB122" s="30" t="str">
        <f t="shared" si="17"/>
        <v/>
      </c>
      <c r="AC122" s="30" t="str">
        <f t="shared" si="18"/>
        <v/>
      </c>
      <c r="AD122" s="30" t="str">
        <f t="shared" si="19"/>
        <v/>
      </c>
    </row>
    <row r="123" spans="1:30">
      <c r="A123" s="29">
        <v>122</v>
      </c>
      <c r="B123" s="29" t="str">
        <f>IF(INT(($A123-1)/28)+1&lt;=Setup!$B$5,INT(($A123-1)/28)+1,"")</f>
        <v/>
      </c>
      <c r="C123" s="29" t="str">
        <f t="shared" si="10"/>
        <v/>
      </c>
      <c r="D123" s="29">
        <f t="shared" si="11"/>
        <v>10</v>
      </c>
      <c r="E123" s="29" t="str">
        <f>IF($B123="","",IFERROR(INDEX('Fixture Library'!$C$2:$C$200,MATCH(Setup!$B$6*100+$D123,'Fixture Library'!$F$2:$F$200,0)),""))</f>
        <v/>
      </c>
      <c r="F123" s="30" t="str">
        <f>IF($B123="","",IFERROR(INDEX('Fixture Library'!$D$2:$D$200,MATCH(Setup!$B$6*100+$D123,'Fixture Library'!$F$2:$F$200,0)),""))</f>
        <v/>
      </c>
      <c r="G123" s="30" t="str">
        <f>IF($F123="","",INDEX(Teams!$E$2:$E$65,($B123-1)*8+$F123))</f>
        <v/>
      </c>
      <c r="H123" s="30" t="str">
        <f>IF($B123="","",IFERROR(INDEX('Fixture Library'!$E$2:$E$200,MATCH(Setup!$B$6*100+$D123,'Fixture Library'!$F$2:$F$200,0)),""))</f>
        <v/>
      </c>
      <c r="I123" s="30" t="str">
        <f>IF($H123="","",INDEX(Teams!$E$2:$E$65,($B123-1)*8+$H123))</f>
        <v/>
      </c>
      <c r="J123" s="34" t="str">
        <f>IF($G123="","",IFERROR(INDEX('Match Entry'!$F$5:$F$228,5+($B123-1)*Setup!$B$13+$D123-1-4),""))</f>
        <v/>
      </c>
      <c r="K123" s="35" t="str">
        <f>IF($G123="","",IFERROR(INDEX('Match Entry'!$G$5:$G$228,5+($B123-1)*Setup!$B$13+$D123-1-4),""))</f>
        <v/>
      </c>
      <c r="L123" s="34" t="str">
        <f>IF($G123="","",IFERROR(INDEX('Match Entry'!$H$5:$H$228,5+($B123-1)*Setup!$B$13+$D123-1-4),""))</f>
        <v/>
      </c>
      <c r="M123" s="35" t="str">
        <f>IF($G123="","",IFERROR(INDEX('Match Entry'!$I$5:$I$228,5+($B123-1)*Setup!$B$13+$D123-1-4),""))</f>
        <v/>
      </c>
      <c r="N123" s="34" t="str">
        <f>IF($G123="","",IFERROR(INDEX('Match Entry'!$J$5:$J$228,5+($B123-1)*Setup!$B$13+$D123-1-4),""))</f>
        <v/>
      </c>
      <c r="O123" s="35" t="str">
        <f>IF($G123="","",IFERROR(INDEX('Match Entry'!$K$5:$K$228,5+($B123-1)*Setup!$B$13+$D123-1-4),""))</f>
        <v/>
      </c>
      <c r="P123" s="34" t="str">
        <f>IF($G123="","",IFERROR(INDEX('Match Entry'!$L$5:$L$228,5+($B123-1)*Setup!$B$13+$D123-1-4),""))</f>
        <v/>
      </c>
      <c r="Q123" s="35" t="str">
        <f>IF($G123="","",IFERROR(INDEX('Match Entry'!$M$5:$M$228,5+($B123-1)*Setup!$B$13+$D123-1-4),""))</f>
        <v/>
      </c>
      <c r="R123" s="34" t="str">
        <f>IF($G123="","",IFERROR(INDEX('Match Entry'!$N$5:$N$228,5+($B123-1)*Setup!$B$13+$D123-1-4),""))</f>
        <v/>
      </c>
      <c r="S123" s="35" t="str">
        <f>IF($G123="","",IFERROR(INDEX('Match Entry'!$O$5:$O$228,5+($B123-1)*Setup!$B$13+$D123-1-4),""))</f>
        <v/>
      </c>
      <c r="T123" s="33" t="str">
        <f t="shared" si="12"/>
        <v/>
      </c>
      <c r="U123" s="33" t="str">
        <f t="shared" si="13"/>
        <v/>
      </c>
      <c r="V123" s="33" t="str">
        <f t="shared" si="14"/>
        <v/>
      </c>
      <c r="W123" s="33" t="str">
        <f t="shared" si="15"/>
        <v/>
      </c>
      <c r="X123" s="30" t="str">
        <f>IF(OR($G123="",$I123=""),"",IF(OR($T123&gt;=Setup!$B$8,$U123&gt;=Setup!$B$8),1,""))</f>
        <v/>
      </c>
      <c r="Y123" s="30" t="str">
        <f t="shared" si="16"/>
        <v/>
      </c>
      <c r="Z123" s="33" t="str">
        <f>IF($X123=1,IF($T123&gt;$U123,Setup!$B$9,Setup!$B$10),"")</f>
        <v/>
      </c>
      <c r="AA123" s="33" t="str">
        <f>IF($X123=1,IF($U123&gt;$T123,Setup!$B$9,Setup!$B$10),"")</f>
        <v/>
      </c>
      <c r="AB123" s="30" t="str">
        <f t="shared" si="17"/>
        <v/>
      </c>
      <c r="AC123" s="30" t="str">
        <f t="shared" si="18"/>
        <v/>
      </c>
      <c r="AD123" s="30" t="str">
        <f t="shared" si="19"/>
        <v/>
      </c>
    </row>
    <row r="124" spans="1:30">
      <c r="A124" s="29">
        <v>123</v>
      </c>
      <c r="B124" s="29" t="str">
        <f>IF(INT(($A124-1)/28)+1&lt;=Setup!$B$5,INT(($A124-1)/28)+1,"")</f>
        <v/>
      </c>
      <c r="C124" s="29" t="str">
        <f t="shared" si="10"/>
        <v/>
      </c>
      <c r="D124" s="29">
        <f t="shared" si="11"/>
        <v>11</v>
      </c>
      <c r="E124" s="29" t="str">
        <f>IF($B124="","",IFERROR(INDEX('Fixture Library'!$C$2:$C$200,MATCH(Setup!$B$6*100+$D124,'Fixture Library'!$F$2:$F$200,0)),""))</f>
        <v/>
      </c>
      <c r="F124" s="30" t="str">
        <f>IF($B124="","",IFERROR(INDEX('Fixture Library'!$D$2:$D$200,MATCH(Setup!$B$6*100+$D124,'Fixture Library'!$F$2:$F$200,0)),""))</f>
        <v/>
      </c>
      <c r="G124" s="30" t="str">
        <f>IF($F124="","",INDEX(Teams!$E$2:$E$65,($B124-1)*8+$F124))</f>
        <v/>
      </c>
      <c r="H124" s="30" t="str">
        <f>IF($B124="","",IFERROR(INDEX('Fixture Library'!$E$2:$E$200,MATCH(Setup!$B$6*100+$D124,'Fixture Library'!$F$2:$F$200,0)),""))</f>
        <v/>
      </c>
      <c r="I124" s="30" t="str">
        <f>IF($H124="","",INDEX(Teams!$E$2:$E$65,($B124-1)*8+$H124))</f>
        <v/>
      </c>
      <c r="J124" s="34" t="str">
        <f>IF($G124="","",IFERROR(INDEX('Match Entry'!$F$5:$F$228,5+($B124-1)*Setup!$B$13+$D124-1-4),""))</f>
        <v/>
      </c>
      <c r="K124" s="35" t="str">
        <f>IF($G124="","",IFERROR(INDEX('Match Entry'!$G$5:$G$228,5+($B124-1)*Setup!$B$13+$D124-1-4),""))</f>
        <v/>
      </c>
      <c r="L124" s="34" t="str">
        <f>IF($G124="","",IFERROR(INDEX('Match Entry'!$H$5:$H$228,5+($B124-1)*Setup!$B$13+$D124-1-4),""))</f>
        <v/>
      </c>
      <c r="M124" s="35" t="str">
        <f>IF($G124="","",IFERROR(INDEX('Match Entry'!$I$5:$I$228,5+($B124-1)*Setup!$B$13+$D124-1-4),""))</f>
        <v/>
      </c>
      <c r="N124" s="34" t="str">
        <f>IF($G124="","",IFERROR(INDEX('Match Entry'!$J$5:$J$228,5+($B124-1)*Setup!$B$13+$D124-1-4),""))</f>
        <v/>
      </c>
      <c r="O124" s="35" t="str">
        <f>IF($G124="","",IFERROR(INDEX('Match Entry'!$K$5:$K$228,5+($B124-1)*Setup!$B$13+$D124-1-4),""))</f>
        <v/>
      </c>
      <c r="P124" s="34" t="str">
        <f>IF($G124="","",IFERROR(INDEX('Match Entry'!$L$5:$L$228,5+($B124-1)*Setup!$B$13+$D124-1-4),""))</f>
        <v/>
      </c>
      <c r="Q124" s="35" t="str">
        <f>IF($G124="","",IFERROR(INDEX('Match Entry'!$M$5:$M$228,5+($B124-1)*Setup!$B$13+$D124-1-4),""))</f>
        <v/>
      </c>
      <c r="R124" s="34" t="str">
        <f>IF($G124="","",IFERROR(INDEX('Match Entry'!$N$5:$N$228,5+($B124-1)*Setup!$B$13+$D124-1-4),""))</f>
        <v/>
      </c>
      <c r="S124" s="35" t="str">
        <f>IF($G124="","",IFERROR(INDEX('Match Entry'!$O$5:$O$228,5+($B124-1)*Setup!$B$13+$D124-1-4),""))</f>
        <v/>
      </c>
      <c r="T124" s="33" t="str">
        <f t="shared" si="12"/>
        <v/>
      </c>
      <c r="U124" s="33" t="str">
        <f t="shared" si="13"/>
        <v/>
      </c>
      <c r="V124" s="33" t="str">
        <f t="shared" si="14"/>
        <v/>
      </c>
      <c r="W124" s="33" t="str">
        <f t="shared" si="15"/>
        <v/>
      </c>
      <c r="X124" s="30" t="str">
        <f>IF(OR($G124="",$I124=""),"",IF(OR($T124&gt;=Setup!$B$8,$U124&gt;=Setup!$B$8),1,""))</f>
        <v/>
      </c>
      <c r="Y124" s="30" t="str">
        <f t="shared" si="16"/>
        <v/>
      </c>
      <c r="Z124" s="33" t="str">
        <f>IF($X124=1,IF($T124&gt;$U124,Setup!$B$9,Setup!$B$10),"")</f>
        <v/>
      </c>
      <c r="AA124" s="33" t="str">
        <f>IF($X124=1,IF($U124&gt;$T124,Setup!$B$9,Setup!$B$10),"")</f>
        <v/>
      </c>
      <c r="AB124" s="30" t="str">
        <f t="shared" si="17"/>
        <v/>
      </c>
      <c r="AC124" s="30" t="str">
        <f t="shared" si="18"/>
        <v/>
      </c>
      <c r="AD124" s="30" t="str">
        <f t="shared" si="19"/>
        <v/>
      </c>
    </row>
    <row r="125" spans="1:30">
      <c r="A125" s="29">
        <v>124</v>
      </c>
      <c r="B125" s="29" t="str">
        <f>IF(INT(($A125-1)/28)+1&lt;=Setup!$B$5,INT(($A125-1)/28)+1,"")</f>
        <v/>
      </c>
      <c r="C125" s="29" t="str">
        <f t="shared" si="10"/>
        <v/>
      </c>
      <c r="D125" s="29">
        <f t="shared" si="11"/>
        <v>12</v>
      </c>
      <c r="E125" s="29" t="str">
        <f>IF($B125="","",IFERROR(INDEX('Fixture Library'!$C$2:$C$200,MATCH(Setup!$B$6*100+$D125,'Fixture Library'!$F$2:$F$200,0)),""))</f>
        <v/>
      </c>
      <c r="F125" s="30" t="str">
        <f>IF($B125="","",IFERROR(INDEX('Fixture Library'!$D$2:$D$200,MATCH(Setup!$B$6*100+$D125,'Fixture Library'!$F$2:$F$200,0)),""))</f>
        <v/>
      </c>
      <c r="G125" s="30" t="str">
        <f>IF($F125="","",INDEX(Teams!$E$2:$E$65,($B125-1)*8+$F125))</f>
        <v/>
      </c>
      <c r="H125" s="30" t="str">
        <f>IF($B125="","",IFERROR(INDEX('Fixture Library'!$E$2:$E$200,MATCH(Setup!$B$6*100+$D125,'Fixture Library'!$F$2:$F$200,0)),""))</f>
        <v/>
      </c>
      <c r="I125" s="30" t="str">
        <f>IF($H125="","",INDEX(Teams!$E$2:$E$65,($B125-1)*8+$H125))</f>
        <v/>
      </c>
      <c r="J125" s="34" t="str">
        <f>IF($G125="","",IFERROR(INDEX('Match Entry'!$F$5:$F$228,5+($B125-1)*Setup!$B$13+$D125-1-4),""))</f>
        <v/>
      </c>
      <c r="K125" s="35" t="str">
        <f>IF($G125="","",IFERROR(INDEX('Match Entry'!$G$5:$G$228,5+($B125-1)*Setup!$B$13+$D125-1-4),""))</f>
        <v/>
      </c>
      <c r="L125" s="34" t="str">
        <f>IF($G125="","",IFERROR(INDEX('Match Entry'!$H$5:$H$228,5+($B125-1)*Setup!$B$13+$D125-1-4),""))</f>
        <v/>
      </c>
      <c r="M125" s="35" t="str">
        <f>IF($G125="","",IFERROR(INDEX('Match Entry'!$I$5:$I$228,5+($B125-1)*Setup!$B$13+$D125-1-4),""))</f>
        <v/>
      </c>
      <c r="N125" s="34" t="str">
        <f>IF($G125="","",IFERROR(INDEX('Match Entry'!$J$5:$J$228,5+($B125-1)*Setup!$B$13+$D125-1-4),""))</f>
        <v/>
      </c>
      <c r="O125" s="35" t="str">
        <f>IF($G125="","",IFERROR(INDEX('Match Entry'!$K$5:$K$228,5+($B125-1)*Setup!$B$13+$D125-1-4),""))</f>
        <v/>
      </c>
      <c r="P125" s="34" t="str">
        <f>IF($G125="","",IFERROR(INDEX('Match Entry'!$L$5:$L$228,5+($B125-1)*Setup!$B$13+$D125-1-4),""))</f>
        <v/>
      </c>
      <c r="Q125" s="35" t="str">
        <f>IF($G125="","",IFERROR(INDEX('Match Entry'!$M$5:$M$228,5+($B125-1)*Setup!$B$13+$D125-1-4),""))</f>
        <v/>
      </c>
      <c r="R125" s="34" t="str">
        <f>IF($G125="","",IFERROR(INDEX('Match Entry'!$N$5:$N$228,5+($B125-1)*Setup!$B$13+$D125-1-4),""))</f>
        <v/>
      </c>
      <c r="S125" s="35" t="str">
        <f>IF($G125="","",IFERROR(INDEX('Match Entry'!$O$5:$O$228,5+($B125-1)*Setup!$B$13+$D125-1-4),""))</f>
        <v/>
      </c>
      <c r="T125" s="33" t="str">
        <f t="shared" si="12"/>
        <v/>
      </c>
      <c r="U125" s="33" t="str">
        <f t="shared" si="13"/>
        <v/>
      </c>
      <c r="V125" s="33" t="str">
        <f t="shared" si="14"/>
        <v/>
      </c>
      <c r="W125" s="33" t="str">
        <f t="shared" si="15"/>
        <v/>
      </c>
      <c r="X125" s="30" t="str">
        <f>IF(OR($G125="",$I125=""),"",IF(OR($T125&gt;=Setup!$B$8,$U125&gt;=Setup!$B$8),1,""))</f>
        <v/>
      </c>
      <c r="Y125" s="30" t="str">
        <f t="shared" si="16"/>
        <v/>
      </c>
      <c r="Z125" s="33" t="str">
        <f>IF($X125=1,IF($T125&gt;$U125,Setup!$B$9,Setup!$B$10),"")</f>
        <v/>
      </c>
      <c r="AA125" s="33" t="str">
        <f>IF($X125=1,IF($U125&gt;$T125,Setup!$B$9,Setup!$B$10),"")</f>
        <v/>
      </c>
      <c r="AB125" s="30" t="str">
        <f t="shared" si="17"/>
        <v/>
      </c>
      <c r="AC125" s="30" t="str">
        <f t="shared" si="18"/>
        <v/>
      </c>
      <c r="AD125" s="30" t="str">
        <f t="shared" si="19"/>
        <v/>
      </c>
    </row>
    <row r="126" spans="1:30">
      <c r="A126" s="29">
        <v>125</v>
      </c>
      <c r="B126" s="29" t="str">
        <f>IF(INT(($A126-1)/28)+1&lt;=Setup!$B$5,INT(($A126-1)/28)+1,"")</f>
        <v/>
      </c>
      <c r="C126" s="29" t="str">
        <f t="shared" si="10"/>
        <v/>
      </c>
      <c r="D126" s="29">
        <f t="shared" si="11"/>
        <v>13</v>
      </c>
      <c r="E126" s="29" t="str">
        <f>IF($B126="","",IFERROR(INDEX('Fixture Library'!$C$2:$C$200,MATCH(Setup!$B$6*100+$D126,'Fixture Library'!$F$2:$F$200,0)),""))</f>
        <v/>
      </c>
      <c r="F126" s="30" t="str">
        <f>IF($B126="","",IFERROR(INDEX('Fixture Library'!$D$2:$D$200,MATCH(Setup!$B$6*100+$D126,'Fixture Library'!$F$2:$F$200,0)),""))</f>
        <v/>
      </c>
      <c r="G126" s="30" t="str">
        <f>IF($F126="","",INDEX(Teams!$E$2:$E$65,($B126-1)*8+$F126))</f>
        <v/>
      </c>
      <c r="H126" s="30" t="str">
        <f>IF($B126="","",IFERROR(INDEX('Fixture Library'!$E$2:$E$200,MATCH(Setup!$B$6*100+$D126,'Fixture Library'!$F$2:$F$200,0)),""))</f>
        <v/>
      </c>
      <c r="I126" s="30" t="str">
        <f>IF($H126="","",INDEX(Teams!$E$2:$E$65,($B126-1)*8+$H126))</f>
        <v/>
      </c>
      <c r="J126" s="34" t="str">
        <f>IF($G126="","",IFERROR(INDEX('Match Entry'!$F$5:$F$228,5+($B126-1)*Setup!$B$13+$D126-1-4),""))</f>
        <v/>
      </c>
      <c r="K126" s="35" t="str">
        <f>IF($G126="","",IFERROR(INDEX('Match Entry'!$G$5:$G$228,5+($B126-1)*Setup!$B$13+$D126-1-4),""))</f>
        <v/>
      </c>
      <c r="L126" s="34" t="str">
        <f>IF($G126="","",IFERROR(INDEX('Match Entry'!$H$5:$H$228,5+($B126-1)*Setup!$B$13+$D126-1-4),""))</f>
        <v/>
      </c>
      <c r="M126" s="35" t="str">
        <f>IF($G126="","",IFERROR(INDEX('Match Entry'!$I$5:$I$228,5+($B126-1)*Setup!$B$13+$D126-1-4),""))</f>
        <v/>
      </c>
      <c r="N126" s="34" t="str">
        <f>IF($G126="","",IFERROR(INDEX('Match Entry'!$J$5:$J$228,5+($B126-1)*Setup!$B$13+$D126-1-4),""))</f>
        <v/>
      </c>
      <c r="O126" s="35" t="str">
        <f>IF($G126="","",IFERROR(INDEX('Match Entry'!$K$5:$K$228,5+($B126-1)*Setup!$B$13+$D126-1-4),""))</f>
        <v/>
      </c>
      <c r="P126" s="34" t="str">
        <f>IF($G126="","",IFERROR(INDEX('Match Entry'!$L$5:$L$228,5+($B126-1)*Setup!$B$13+$D126-1-4),""))</f>
        <v/>
      </c>
      <c r="Q126" s="35" t="str">
        <f>IF($G126="","",IFERROR(INDEX('Match Entry'!$M$5:$M$228,5+($B126-1)*Setup!$B$13+$D126-1-4),""))</f>
        <v/>
      </c>
      <c r="R126" s="34" t="str">
        <f>IF($G126="","",IFERROR(INDEX('Match Entry'!$N$5:$N$228,5+($B126-1)*Setup!$B$13+$D126-1-4),""))</f>
        <v/>
      </c>
      <c r="S126" s="35" t="str">
        <f>IF($G126="","",IFERROR(INDEX('Match Entry'!$O$5:$O$228,5+($B126-1)*Setup!$B$13+$D126-1-4),""))</f>
        <v/>
      </c>
      <c r="T126" s="33" t="str">
        <f t="shared" si="12"/>
        <v/>
      </c>
      <c r="U126" s="33" t="str">
        <f t="shared" si="13"/>
        <v/>
      </c>
      <c r="V126" s="33" t="str">
        <f t="shared" si="14"/>
        <v/>
      </c>
      <c r="W126" s="33" t="str">
        <f t="shared" si="15"/>
        <v/>
      </c>
      <c r="X126" s="30" t="str">
        <f>IF(OR($G126="",$I126=""),"",IF(OR($T126&gt;=Setup!$B$8,$U126&gt;=Setup!$B$8),1,""))</f>
        <v/>
      </c>
      <c r="Y126" s="30" t="str">
        <f t="shared" si="16"/>
        <v/>
      </c>
      <c r="Z126" s="33" t="str">
        <f>IF($X126=1,IF($T126&gt;$U126,Setup!$B$9,Setup!$B$10),"")</f>
        <v/>
      </c>
      <c r="AA126" s="33" t="str">
        <f>IF($X126=1,IF($U126&gt;$T126,Setup!$B$9,Setup!$B$10),"")</f>
        <v/>
      </c>
      <c r="AB126" s="30" t="str">
        <f t="shared" si="17"/>
        <v/>
      </c>
      <c r="AC126" s="30" t="str">
        <f t="shared" si="18"/>
        <v/>
      </c>
      <c r="AD126" s="30" t="str">
        <f t="shared" si="19"/>
        <v/>
      </c>
    </row>
    <row r="127" spans="1:30">
      <c r="A127" s="29">
        <v>126</v>
      </c>
      <c r="B127" s="29" t="str">
        <f>IF(INT(($A127-1)/28)+1&lt;=Setup!$B$5,INT(($A127-1)/28)+1,"")</f>
        <v/>
      </c>
      <c r="C127" s="29" t="str">
        <f t="shared" si="10"/>
        <v/>
      </c>
      <c r="D127" s="29">
        <f t="shared" si="11"/>
        <v>14</v>
      </c>
      <c r="E127" s="29" t="str">
        <f>IF($B127="","",IFERROR(INDEX('Fixture Library'!$C$2:$C$200,MATCH(Setup!$B$6*100+$D127,'Fixture Library'!$F$2:$F$200,0)),""))</f>
        <v/>
      </c>
      <c r="F127" s="30" t="str">
        <f>IF($B127="","",IFERROR(INDEX('Fixture Library'!$D$2:$D$200,MATCH(Setup!$B$6*100+$D127,'Fixture Library'!$F$2:$F$200,0)),""))</f>
        <v/>
      </c>
      <c r="G127" s="30" t="str">
        <f>IF($F127="","",INDEX(Teams!$E$2:$E$65,($B127-1)*8+$F127))</f>
        <v/>
      </c>
      <c r="H127" s="30" t="str">
        <f>IF($B127="","",IFERROR(INDEX('Fixture Library'!$E$2:$E$200,MATCH(Setup!$B$6*100+$D127,'Fixture Library'!$F$2:$F$200,0)),""))</f>
        <v/>
      </c>
      <c r="I127" s="30" t="str">
        <f>IF($H127="","",INDEX(Teams!$E$2:$E$65,($B127-1)*8+$H127))</f>
        <v/>
      </c>
      <c r="J127" s="34" t="str">
        <f>IF($G127="","",IFERROR(INDEX('Match Entry'!$F$5:$F$228,5+($B127-1)*Setup!$B$13+$D127-1-4),""))</f>
        <v/>
      </c>
      <c r="K127" s="35" t="str">
        <f>IF($G127="","",IFERROR(INDEX('Match Entry'!$G$5:$G$228,5+($B127-1)*Setup!$B$13+$D127-1-4),""))</f>
        <v/>
      </c>
      <c r="L127" s="34" t="str">
        <f>IF($G127="","",IFERROR(INDEX('Match Entry'!$H$5:$H$228,5+($B127-1)*Setup!$B$13+$D127-1-4),""))</f>
        <v/>
      </c>
      <c r="M127" s="35" t="str">
        <f>IF($G127="","",IFERROR(INDEX('Match Entry'!$I$5:$I$228,5+($B127-1)*Setup!$B$13+$D127-1-4),""))</f>
        <v/>
      </c>
      <c r="N127" s="34" t="str">
        <f>IF($G127="","",IFERROR(INDEX('Match Entry'!$J$5:$J$228,5+($B127-1)*Setup!$B$13+$D127-1-4),""))</f>
        <v/>
      </c>
      <c r="O127" s="35" t="str">
        <f>IF($G127="","",IFERROR(INDEX('Match Entry'!$K$5:$K$228,5+($B127-1)*Setup!$B$13+$D127-1-4),""))</f>
        <v/>
      </c>
      <c r="P127" s="34" t="str">
        <f>IF($G127="","",IFERROR(INDEX('Match Entry'!$L$5:$L$228,5+($B127-1)*Setup!$B$13+$D127-1-4),""))</f>
        <v/>
      </c>
      <c r="Q127" s="35" t="str">
        <f>IF($G127="","",IFERROR(INDEX('Match Entry'!$M$5:$M$228,5+($B127-1)*Setup!$B$13+$D127-1-4),""))</f>
        <v/>
      </c>
      <c r="R127" s="34" t="str">
        <f>IF($G127="","",IFERROR(INDEX('Match Entry'!$N$5:$N$228,5+($B127-1)*Setup!$B$13+$D127-1-4),""))</f>
        <v/>
      </c>
      <c r="S127" s="35" t="str">
        <f>IF($G127="","",IFERROR(INDEX('Match Entry'!$O$5:$O$228,5+($B127-1)*Setup!$B$13+$D127-1-4),""))</f>
        <v/>
      </c>
      <c r="T127" s="33" t="str">
        <f t="shared" si="12"/>
        <v/>
      </c>
      <c r="U127" s="33" t="str">
        <f t="shared" si="13"/>
        <v/>
      </c>
      <c r="V127" s="33" t="str">
        <f t="shared" si="14"/>
        <v/>
      </c>
      <c r="W127" s="33" t="str">
        <f t="shared" si="15"/>
        <v/>
      </c>
      <c r="X127" s="30" t="str">
        <f>IF(OR($G127="",$I127=""),"",IF(OR($T127&gt;=Setup!$B$8,$U127&gt;=Setup!$B$8),1,""))</f>
        <v/>
      </c>
      <c r="Y127" s="30" t="str">
        <f t="shared" si="16"/>
        <v/>
      </c>
      <c r="Z127" s="33" t="str">
        <f>IF($X127=1,IF($T127&gt;$U127,Setup!$B$9,Setup!$B$10),"")</f>
        <v/>
      </c>
      <c r="AA127" s="33" t="str">
        <f>IF($X127=1,IF($U127&gt;$T127,Setup!$B$9,Setup!$B$10),"")</f>
        <v/>
      </c>
      <c r="AB127" s="30" t="str">
        <f t="shared" si="17"/>
        <v/>
      </c>
      <c r="AC127" s="30" t="str">
        <f t="shared" si="18"/>
        <v/>
      </c>
      <c r="AD127" s="30" t="str">
        <f t="shared" si="19"/>
        <v/>
      </c>
    </row>
    <row r="128" spans="1:30">
      <c r="A128" s="29">
        <v>127</v>
      </c>
      <c r="B128" s="29" t="str">
        <f>IF(INT(($A128-1)/28)+1&lt;=Setup!$B$5,INT(($A128-1)/28)+1,"")</f>
        <v/>
      </c>
      <c r="C128" s="29" t="str">
        <f t="shared" si="10"/>
        <v/>
      </c>
      <c r="D128" s="29">
        <f t="shared" si="11"/>
        <v>15</v>
      </c>
      <c r="E128" s="29" t="str">
        <f>IF($B128="","",IFERROR(INDEX('Fixture Library'!$C$2:$C$200,MATCH(Setup!$B$6*100+$D128,'Fixture Library'!$F$2:$F$200,0)),""))</f>
        <v/>
      </c>
      <c r="F128" s="30" t="str">
        <f>IF($B128="","",IFERROR(INDEX('Fixture Library'!$D$2:$D$200,MATCH(Setup!$B$6*100+$D128,'Fixture Library'!$F$2:$F$200,0)),""))</f>
        <v/>
      </c>
      <c r="G128" s="30" t="str">
        <f>IF($F128="","",INDEX(Teams!$E$2:$E$65,($B128-1)*8+$F128))</f>
        <v/>
      </c>
      <c r="H128" s="30" t="str">
        <f>IF($B128="","",IFERROR(INDEX('Fixture Library'!$E$2:$E$200,MATCH(Setup!$B$6*100+$D128,'Fixture Library'!$F$2:$F$200,0)),""))</f>
        <v/>
      </c>
      <c r="I128" s="30" t="str">
        <f>IF($H128="","",INDEX(Teams!$E$2:$E$65,($B128-1)*8+$H128))</f>
        <v/>
      </c>
      <c r="J128" s="34" t="str">
        <f>IF($G128="","",IFERROR(INDEX('Match Entry'!$F$5:$F$228,5+($B128-1)*Setup!$B$13+$D128-1-4),""))</f>
        <v/>
      </c>
      <c r="K128" s="35" t="str">
        <f>IF($G128="","",IFERROR(INDEX('Match Entry'!$G$5:$G$228,5+($B128-1)*Setup!$B$13+$D128-1-4),""))</f>
        <v/>
      </c>
      <c r="L128" s="34" t="str">
        <f>IF($G128="","",IFERROR(INDEX('Match Entry'!$H$5:$H$228,5+($B128-1)*Setup!$B$13+$D128-1-4),""))</f>
        <v/>
      </c>
      <c r="M128" s="35" t="str">
        <f>IF($G128="","",IFERROR(INDEX('Match Entry'!$I$5:$I$228,5+($B128-1)*Setup!$B$13+$D128-1-4),""))</f>
        <v/>
      </c>
      <c r="N128" s="34" t="str">
        <f>IF($G128="","",IFERROR(INDEX('Match Entry'!$J$5:$J$228,5+($B128-1)*Setup!$B$13+$D128-1-4),""))</f>
        <v/>
      </c>
      <c r="O128" s="35" t="str">
        <f>IF($G128="","",IFERROR(INDEX('Match Entry'!$K$5:$K$228,5+($B128-1)*Setup!$B$13+$D128-1-4),""))</f>
        <v/>
      </c>
      <c r="P128" s="34" t="str">
        <f>IF($G128="","",IFERROR(INDEX('Match Entry'!$L$5:$L$228,5+($B128-1)*Setup!$B$13+$D128-1-4),""))</f>
        <v/>
      </c>
      <c r="Q128" s="35" t="str">
        <f>IF($G128="","",IFERROR(INDEX('Match Entry'!$M$5:$M$228,5+($B128-1)*Setup!$B$13+$D128-1-4),""))</f>
        <v/>
      </c>
      <c r="R128" s="34" t="str">
        <f>IF($G128="","",IFERROR(INDEX('Match Entry'!$N$5:$N$228,5+($B128-1)*Setup!$B$13+$D128-1-4),""))</f>
        <v/>
      </c>
      <c r="S128" s="35" t="str">
        <f>IF($G128="","",IFERROR(INDEX('Match Entry'!$O$5:$O$228,5+($B128-1)*Setup!$B$13+$D128-1-4),""))</f>
        <v/>
      </c>
      <c r="T128" s="33" t="str">
        <f t="shared" si="12"/>
        <v/>
      </c>
      <c r="U128" s="33" t="str">
        <f t="shared" si="13"/>
        <v/>
      </c>
      <c r="V128" s="33" t="str">
        <f t="shared" si="14"/>
        <v/>
      </c>
      <c r="W128" s="33" t="str">
        <f t="shared" si="15"/>
        <v/>
      </c>
      <c r="X128" s="30" t="str">
        <f>IF(OR($G128="",$I128=""),"",IF(OR($T128&gt;=Setup!$B$8,$U128&gt;=Setup!$B$8),1,""))</f>
        <v/>
      </c>
      <c r="Y128" s="30" t="str">
        <f t="shared" si="16"/>
        <v/>
      </c>
      <c r="Z128" s="33" t="str">
        <f>IF($X128=1,IF($T128&gt;$U128,Setup!$B$9,Setup!$B$10),"")</f>
        <v/>
      </c>
      <c r="AA128" s="33" t="str">
        <f>IF($X128=1,IF($U128&gt;$T128,Setup!$B$9,Setup!$B$10),"")</f>
        <v/>
      </c>
      <c r="AB128" s="30" t="str">
        <f t="shared" si="17"/>
        <v/>
      </c>
      <c r="AC128" s="30" t="str">
        <f t="shared" si="18"/>
        <v/>
      </c>
      <c r="AD128" s="30" t="str">
        <f t="shared" si="19"/>
        <v/>
      </c>
    </row>
    <row r="129" spans="1:30">
      <c r="A129" s="29">
        <v>128</v>
      </c>
      <c r="B129" s="29" t="str">
        <f>IF(INT(($A129-1)/28)+1&lt;=Setup!$B$5,INT(($A129-1)/28)+1,"")</f>
        <v/>
      </c>
      <c r="C129" s="29" t="str">
        <f t="shared" si="10"/>
        <v/>
      </c>
      <c r="D129" s="29">
        <f t="shared" si="11"/>
        <v>16</v>
      </c>
      <c r="E129" s="29" t="str">
        <f>IF($B129="","",IFERROR(INDEX('Fixture Library'!$C$2:$C$200,MATCH(Setup!$B$6*100+$D129,'Fixture Library'!$F$2:$F$200,0)),""))</f>
        <v/>
      </c>
      <c r="F129" s="30" t="str">
        <f>IF($B129="","",IFERROR(INDEX('Fixture Library'!$D$2:$D$200,MATCH(Setup!$B$6*100+$D129,'Fixture Library'!$F$2:$F$200,0)),""))</f>
        <v/>
      </c>
      <c r="G129" s="30" t="str">
        <f>IF($F129="","",INDEX(Teams!$E$2:$E$65,($B129-1)*8+$F129))</f>
        <v/>
      </c>
      <c r="H129" s="30" t="str">
        <f>IF($B129="","",IFERROR(INDEX('Fixture Library'!$E$2:$E$200,MATCH(Setup!$B$6*100+$D129,'Fixture Library'!$F$2:$F$200,0)),""))</f>
        <v/>
      </c>
      <c r="I129" s="30" t="str">
        <f>IF($H129="","",INDEX(Teams!$E$2:$E$65,($B129-1)*8+$H129))</f>
        <v/>
      </c>
      <c r="J129" s="34" t="str">
        <f>IF($G129="","",IFERROR(INDEX('Match Entry'!$F$5:$F$228,5+($B129-1)*Setup!$B$13+$D129-1-4),""))</f>
        <v/>
      </c>
      <c r="K129" s="35" t="str">
        <f>IF($G129="","",IFERROR(INDEX('Match Entry'!$G$5:$G$228,5+($B129-1)*Setup!$B$13+$D129-1-4),""))</f>
        <v/>
      </c>
      <c r="L129" s="34" t="str">
        <f>IF($G129="","",IFERROR(INDEX('Match Entry'!$H$5:$H$228,5+($B129-1)*Setup!$B$13+$D129-1-4),""))</f>
        <v/>
      </c>
      <c r="M129" s="35" t="str">
        <f>IF($G129="","",IFERROR(INDEX('Match Entry'!$I$5:$I$228,5+($B129-1)*Setup!$B$13+$D129-1-4),""))</f>
        <v/>
      </c>
      <c r="N129" s="34" t="str">
        <f>IF($G129="","",IFERROR(INDEX('Match Entry'!$J$5:$J$228,5+($B129-1)*Setup!$B$13+$D129-1-4),""))</f>
        <v/>
      </c>
      <c r="O129" s="35" t="str">
        <f>IF($G129="","",IFERROR(INDEX('Match Entry'!$K$5:$K$228,5+($B129-1)*Setup!$B$13+$D129-1-4),""))</f>
        <v/>
      </c>
      <c r="P129" s="34" t="str">
        <f>IF($G129="","",IFERROR(INDEX('Match Entry'!$L$5:$L$228,5+($B129-1)*Setup!$B$13+$D129-1-4),""))</f>
        <v/>
      </c>
      <c r="Q129" s="35" t="str">
        <f>IF($G129="","",IFERROR(INDEX('Match Entry'!$M$5:$M$228,5+($B129-1)*Setup!$B$13+$D129-1-4),""))</f>
        <v/>
      </c>
      <c r="R129" s="34" t="str">
        <f>IF($G129="","",IFERROR(INDEX('Match Entry'!$N$5:$N$228,5+($B129-1)*Setup!$B$13+$D129-1-4),""))</f>
        <v/>
      </c>
      <c r="S129" s="35" t="str">
        <f>IF($G129="","",IFERROR(INDEX('Match Entry'!$O$5:$O$228,5+($B129-1)*Setup!$B$13+$D129-1-4),""))</f>
        <v/>
      </c>
      <c r="T129" s="33" t="str">
        <f t="shared" si="12"/>
        <v/>
      </c>
      <c r="U129" s="33" t="str">
        <f t="shared" si="13"/>
        <v/>
      </c>
      <c r="V129" s="33" t="str">
        <f t="shared" si="14"/>
        <v/>
      </c>
      <c r="W129" s="33" t="str">
        <f t="shared" si="15"/>
        <v/>
      </c>
      <c r="X129" s="30" t="str">
        <f>IF(OR($G129="",$I129=""),"",IF(OR($T129&gt;=Setup!$B$8,$U129&gt;=Setup!$B$8),1,""))</f>
        <v/>
      </c>
      <c r="Y129" s="30" t="str">
        <f t="shared" si="16"/>
        <v/>
      </c>
      <c r="Z129" s="33" t="str">
        <f>IF($X129=1,IF($T129&gt;$U129,Setup!$B$9,Setup!$B$10),"")</f>
        <v/>
      </c>
      <c r="AA129" s="33" t="str">
        <f>IF($X129=1,IF($U129&gt;$T129,Setup!$B$9,Setup!$B$10),"")</f>
        <v/>
      </c>
      <c r="AB129" s="30" t="str">
        <f t="shared" si="17"/>
        <v/>
      </c>
      <c r="AC129" s="30" t="str">
        <f t="shared" si="18"/>
        <v/>
      </c>
      <c r="AD129" s="30" t="str">
        <f t="shared" si="19"/>
        <v/>
      </c>
    </row>
    <row r="130" spans="1:30">
      <c r="A130" s="29">
        <v>129</v>
      </c>
      <c r="B130" s="29" t="str">
        <f>IF(INT(($A130-1)/28)+1&lt;=Setup!$B$5,INT(($A130-1)/28)+1,"")</f>
        <v/>
      </c>
      <c r="C130" s="29" t="str">
        <f t="shared" ref="C130:C193" si="20">IF($B130="","",CHAR(64+$B130))</f>
        <v/>
      </c>
      <c r="D130" s="29">
        <f t="shared" ref="D130:D193" si="21">MOD($A130-1,28)+1</f>
        <v>17</v>
      </c>
      <c r="E130" s="29" t="str">
        <f>IF($B130="","",IFERROR(INDEX('Fixture Library'!$C$2:$C$200,MATCH(Setup!$B$6*100+$D130,'Fixture Library'!$F$2:$F$200,0)),""))</f>
        <v/>
      </c>
      <c r="F130" s="30" t="str">
        <f>IF($B130="","",IFERROR(INDEX('Fixture Library'!$D$2:$D$200,MATCH(Setup!$B$6*100+$D130,'Fixture Library'!$F$2:$F$200,0)),""))</f>
        <v/>
      </c>
      <c r="G130" s="30" t="str">
        <f>IF($F130="","",INDEX(Teams!$E$2:$E$65,($B130-1)*8+$F130))</f>
        <v/>
      </c>
      <c r="H130" s="30" t="str">
        <f>IF($B130="","",IFERROR(INDEX('Fixture Library'!$E$2:$E$200,MATCH(Setup!$B$6*100+$D130,'Fixture Library'!$F$2:$F$200,0)),""))</f>
        <v/>
      </c>
      <c r="I130" s="30" t="str">
        <f>IF($H130="","",INDEX(Teams!$E$2:$E$65,($B130-1)*8+$H130))</f>
        <v/>
      </c>
      <c r="J130" s="34" t="str">
        <f>IF($G130="","",IFERROR(INDEX('Match Entry'!$F$5:$F$228,5+($B130-1)*Setup!$B$13+$D130-1-4),""))</f>
        <v/>
      </c>
      <c r="K130" s="35" t="str">
        <f>IF($G130="","",IFERROR(INDEX('Match Entry'!$G$5:$G$228,5+($B130-1)*Setup!$B$13+$D130-1-4),""))</f>
        <v/>
      </c>
      <c r="L130" s="34" t="str">
        <f>IF($G130="","",IFERROR(INDEX('Match Entry'!$H$5:$H$228,5+($B130-1)*Setup!$B$13+$D130-1-4),""))</f>
        <v/>
      </c>
      <c r="M130" s="35" t="str">
        <f>IF($G130="","",IFERROR(INDEX('Match Entry'!$I$5:$I$228,5+($B130-1)*Setup!$B$13+$D130-1-4),""))</f>
        <v/>
      </c>
      <c r="N130" s="34" t="str">
        <f>IF($G130="","",IFERROR(INDEX('Match Entry'!$J$5:$J$228,5+($B130-1)*Setup!$B$13+$D130-1-4),""))</f>
        <v/>
      </c>
      <c r="O130" s="35" t="str">
        <f>IF($G130="","",IFERROR(INDEX('Match Entry'!$K$5:$K$228,5+($B130-1)*Setup!$B$13+$D130-1-4),""))</f>
        <v/>
      </c>
      <c r="P130" s="34" t="str">
        <f>IF($G130="","",IFERROR(INDEX('Match Entry'!$L$5:$L$228,5+($B130-1)*Setup!$B$13+$D130-1-4),""))</f>
        <v/>
      </c>
      <c r="Q130" s="35" t="str">
        <f>IF($G130="","",IFERROR(INDEX('Match Entry'!$M$5:$M$228,5+($B130-1)*Setup!$B$13+$D130-1-4),""))</f>
        <v/>
      </c>
      <c r="R130" s="34" t="str">
        <f>IF($G130="","",IFERROR(INDEX('Match Entry'!$N$5:$N$228,5+($B130-1)*Setup!$B$13+$D130-1-4),""))</f>
        <v/>
      </c>
      <c r="S130" s="35" t="str">
        <f>IF($G130="","",IFERROR(INDEX('Match Entry'!$O$5:$O$228,5+($B130-1)*Setup!$B$13+$D130-1-4),""))</f>
        <v/>
      </c>
      <c r="T130" s="33" t="str">
        <f t="shared" ref="T130:T193" si="22">IF(OR($G130="",$I130=""),"",IF(AND(ISNUMBER($J130),ISNUMBER($K130),$J130&gt;$K130),1,0)+IF(AND(ISNUMBER($L130),ISNUMBER($M130),$L130&gt;$M130),1,0)+IF(AND(ISNUMBER($N130),ISNUMBER($O130),$N130&gt;$O130),1,0)+IF(AND(ISNUMBER($P130),ISNUMBER($Q130),$P130&gt;$Q130),1,0)+IF(AND(ISNUMBER($R130),ISNUMBER($S130),$R130&gt;$S130),1,0))</f>
        <v/>
      </c>
      <c r="U130" s="33" t="str">
        <f t="shared" ref="U130:U193" si="23">IF(OR($G130="",$I130=""),"",IF(AND(ISNUMBER($J130),ISNUMBER($K130),$K130&gt;$J130),1,0)+IF(AND(ISNUMBER($L130),ISNUMBER($M130),$M130&gt;$L130),1,0)+IF(AND(ISNUMBER($N130),ISNUMBER($O130),$O130&gt;$N130),1,0)+IF(AND(ISNUMBER($P130),ISNUMBER($Q130),$Q130&gt;$P130),1,0)+IF(AND(ISNUMBER($R130),ISNUMBER($S130),$S130&gt;$R130),1,0))</f>
        <v/>
      </c>
      <c r="V130" s="33" t="str">
        <f t="shared" ref="V130:V193" si="24">IF(OR($G130="",$I130=""),"",SUM($J130,$L130,$N130,$P130,$R130))</f>
        <v/>
      </c>
      <c r="W130" s="33" t="str">
        <f t="shared" ref="W130:W193" si="25">IF(OR($G130="",$I130=""),"",SUM($K130,$M130,$O130,$Q130,$S130))</f>
        <v/>
      </c>
      <c r="X130" s="30" t="str">
        <f>IF(OR($G130="",$I130=""),"",IF(OR($T130&gt;=Setup!$B$8,$U130&gt;=Setup!$B$8),1,""))</f>
        <v/>
      </c>
      <c r="Y130" s="30" t="str">
        <f t="shared" ref="Y130:Y193" si="26">IF($X130=1,IF($T130&gt;$U130,$G130,$I130),"")</f>
        <v/>
      </c>
      <c r="Z130" s="33" t="str">
        <f>IF($X130=1,IF($T130&gt;$U130,Setup!$B$9,Setup!$B$10),"")</f>
        <v/>
      </c>
      <c r="AA130" s="33" t="str">
        <f>IF($X130=1,IF($U130&gt;$T130,Setup!$B$9,Setup!$B$10),"")</f>
        <v/>
      </c>
      <c r="AB130" s="30" t="str">
        <f t="shared" ref="AB130:AB193" si="27">IF($G130="","",$B130*100+$F130)</f>
        <v/>
      </c>
      <c r="AC130" s="30" t="str">
        <f t="shared" ref="AC130:AC193" si="28">IF($I130="","",$B130*100+$H130)</f>
        <v/>
      </c>
      <c r="AD130" s="30" t="str">
        <f t="shared" ref="AD130:AD193" si="29">IF($X130=1,IF($T130&gt;$U130,$AB130,$AC130),"")</f>
        <v/>
      </c>
    </row>
    <row r="131" spans="1:30">
      <c r="A131" s="29">
        <v>130</v>
      </c>
      <c r="B131" s="29" t="str">
        <f>IF(INT(($A131-1)/28)+1&lt;=Setup!$B$5,INT(($A131-1)/28)+1,"")</f>
        <v/>
      </c>
      <c r="C131" s="29" t="str">
        <f t="shared" si="20"/>
        <v/>
      </c>
      <c r="D131" s="29">
        <f t="shared" si="21"/>
        <v>18</v>
      </c>
      <c r="E131" s="29" t="str">
        <f>IF($B131="","",IFERROR(INDEX('Fixture Library'!$C$2:$C$200,MATCH(Setup!$B$6*100+$D131,'Fixture Library'!$F$2:$F$200,0)),""))</f>
        <v/>
      </c>
      <c r="F131" s="30" t="str">
        <f>IF($B131="","",IFERROR(INDEX('Fixture Library'!$D$2:$D$200,MATCH(Setup!$B$6*100+$D131,'Fixture Library'!$F$2:$F$200,0)),""))</f>
        <v/>
      </c>
      <c r="G131" s="30" t="str">
        <f>IF($F131="","",INDEX(Teams!$E$2:$E$65,($B131-1)*8+$F131))</f>
        <v/>
      </c>
      <c r="H131" s="30" t="str">
        <f>IF($B131="","",IFERROR(INDEX('Fixture Library'!$E$2:$E$200,MATCH(Setup!$B$6*100+$D131,'Fixture Library'!$F$2:$F$200,0)),""))</f>
        <v/>
      </c>
      <c r="I131" s="30" t="str">
        <f>IF($H131="","",INDEX(Teams!$E$2:$E$65,($B131-1)*8+$H131))</f>
        <v/>
      </c>
      <c r="J131" s="34" t="str">
        <f>IF($G131="","",IFERROR(INDEX('Match Entry'!$F$5:$F$228,5+($B131-1)*Setup!$B$13+$D131-1-4),""))</f>
        <v/>
      </c>
      <c r="K131" s="35" t="str">
        <f>IF($G131="","",IFERROR(INDEX('Match Entry'!$G$5:$G$228,5+($B131-1)*Setup!$B$13+$D131-1-4),""))</f>
        <v/>
      </c>
      <c r="L131" s="34" t="str">
        <f>IF($G131="","",IFERROR(INDEX('Match Entry'!$H$5:$H$228,5+($B131-1)*Setup!$B$13+$D131-1-4),""))</f>
        <v/>
      </c>
      <c r="M131" s="35" t="str">
        <f>IF($G131="","",IFERROR(INDEX('Match Entry'!$I$5:$I$228,5+($B131-1)*Setup!$B$13+$D131-1-4),""))</f>
        <v/>
      </c>
      <c r="N131" s="34" t="str">
        <f>IF($G131="","",IFERROR(INDEX('Match Entry'!$J$5:$J$228,5+($B131-1)*Setup!$B$13+$D131-1-4),""))</f>
        <v/>
      </c>
      <c r="O131" s="35" t="str">
        <f>IF($G131="","",IFERROR(INDEX('Match Entry'!$K$5:$K$228,5+($B131-1)*Setup!$B$13+$D131-1-4),""))</f>
        <v/>
      </c>
      <c r="P131" s="34" t="str">
        <f>IF($G131="","",IFERROR(INDEX('Match Entry'!$L$5:$L$228,5+($B131-1)*Setup!$B$13+$D131-1-4),""))</f>
        <v/>
      </c>
      <c r="Q131" s="35" t="str">
        <f>IF($G131="","",IFERROR(INDEX('Match Entry'!$M$5:$M$228,5+($B131-1)*Setup!$B$13+$D131-1-4),""))</f>
        <v/>
      </c>
      <c r="R131" s="34" t="str">
        <f>IF($G131="","",IFERROR(INDEX('Match Entry'!$N$5:$N$228,5+($B131-1)*Setup!$B$13+$D131-1-4),""))</f>
        <v/>
      </c>
      <c r="S131" s="35" t="str">
        <f>IF($G131="","",IFERROR(INDEX('Match Entry'!$O$5:$O$228,5+($B131-1)*Setup!$B$13+$D131-1-4),""))</f>
        <v/>
      </c>
      <c r="T131" s="33" t="str">
        <f t="shared" si="22"/>
        <v/>
      </c>
      <c r="U131" s="33" t="str">
        <f t="shared" si="23"/>
        <v/>
      </c>
      <c r="V131" s="33" t="str">
        <f t="shared" si="24"/>
        <v/>
      </c>
      <c r="W131" s="33" t="str">
        <f t="shared" si="25"/>
        <v/>
      </c>
      <c r="X131" s="30" t="str">
        <f>IF(OR($G131="",$I131=""),"",IF(OR($T131&gt;=Setup!$B$8,$U131&gt;=Setup!$B$8),1,""))</f>
        <v/>
      </c>
      <c r="Y131" s="30" t="str">
        <f t="shared" si="26"/>
        <v/>
      </c>
      <c r="Z131" s="33" t="str">
        <f>IF($X131=1,IF($T131&gt;$U131,Setup!$B$9,Setup!$B$10),"")</f>
        <v/>
      </c>
      <c r="AA131" s="33" t="str">
        <f>IF($X131=1,IF($U131&gt;$T131,Setup!$B$9,Setup!$B$10),"")</f>
        <v/>
      </c>
      <c r="AB131" s="30" t="str">
        <f t="shared" si="27"/>
        <v/>
      </c>
      <c r="AC131" s="30" t="str">
        <f t="shared" si="28"/>
        <v/>
      </c>
      <c r="AD131" s="30" t="str">
        <f t="shared" si="29"/>
        <v/>
      </c>
    </row>
    <row r="132" spans="1:30">
      <c r="A132" s="29">
        <v>131</v>
      </c>
      <c r="B132" s="29" t="str">
        <f>IF(INT(($A132-1)/28)+1&lt;=Setup!$B$5,INT(($A132-1)/28)+1,"")</f>
        <v/>
      </c>
      <c r="C132" s="29" t="str">
        <f t="shared" si="20"/>
        <v/>
      </c>
      <c r="D132" s="29">
        <f t="shared" si="21"/>
        <v>19</v>
      </c>
      <c r="E132" s="29" t="str">
        <f>IF($B132="","",IFERROR(INDEX('Fixture Library'!$C$2:$C$200,MATCH(Setup!$B$6*100+$D132,'Fixture Library'!$F$2:$F$200,0)),""))</f>
        <v/>
      </c>
      <c r="F132" s="30" t="str">
        <f>IF($B132="","",IFERROR(INDEX('Fixture Library'!$D$2:$D$200,MATCH(Setup!$B$6*100+$D132,'Fixture Library'!$F$2:$F$200,0)),""))</f>
        <v/>
      </c>
      <c r="G132" s="30" t="str">
        <f>IF($F132="","",INDEX(Teams!$E$2:$E$65,($B132-1)*8+$F132))</f>
        <v/>
      </c>
      <c r="H132" s="30" t="str">
        <f>IF($B132="","",IFERROR(INDEX('Fixture Library'!$E$2:$E$200,MATCH(Setup!$B$6*100+$D132,'Fixture Library'!$F$2:$F$200,0)),""))</f>
        <v/>
      </c>
      <c r="I132" s="30" t="str">
        <f>IF($H132="","",INDEX(Teams!$E$2:$E$65,($B132-1)*8+$H132))</f>
        <v/>
      </c>
      <c r="J132" s="34" t="str">
        <f>IF($G132="","",IFERROR(INDEX('Match Entry'!$F$5:$F$228,5+($B132-1)*Setup!$B$13+$D132-1-4),""))</f>
        <v/>
      </c>
      <c r="K132" s="35" t="str">
        <f>IF($G132="","",IFERROR(INDEX('Match Entry'!$G$5:$G$228,5+($B132-1)*Setup!$B$13+$D132-1-4),""))</f>
        <v/>
      </c>
      <c r="L132" s="34" t="str">
        <f>IF($G132="","",IFERROR(INDEX('Match Entry'!$H$5:$H$228,5+($B132-1)*Setup!$B$13+$D132-1-4),""))</f>
        <v/>
      </c>
      <c r="M132" s="35" t="str">
        <f>IF($G132="","",IFERROR(INDEX('Match Entry'!$I$5:$I$228,5+($B132-1)*Setup!$B$13+$D132-1-4),""))</f>
        <v/>
      </c>
      <c r="N132" s="34" t="str">
        <f>IF($G132="","",IFERROR(INDEX('Match Entry'!$J$5:$J$228,5+($B132-1)*Setup!$B$13+$D132-1-4),""))</f>
        <v/>
      </c>
      <c r="O132" s="35" t="str">
        <f>IF($G132="","",IFERROR(INDEX('Match Entry'!$K$5:$K$228,5+($B132-1)*Setup!$B$13+$D132-1-4),""))</f>
        <v/>
      </c>
      <c r="P132" s="34" t="str">
        <f>IF($G132="","",IFERROR(INDEX('Match Entry'!$L$5:$L$228,5+($B132-1)*Setup!$B$13+$D132-1-4),""))</f>
        <v/>
      </c>
      <c r="Q132" s="35" t="str">
        <f>IF($G132="","",IFERROR(INDEX('Match Entry'!$M$5:$M$228,5+($B132-1)*Setup!$B$13+$D132-1-4),""))</f>
        <v/>
      </c>
      <c r="R132" s="34" t="str">
        <f>IF($G132="","",IFERROR(INDEX('Match Entry'!$N$5:$N$228,5+($B132-1)*Setup!$B$13+$D132-1-4),""))</f>
        <v/>
      </c>
      <c r="S132" s="35" t="str">
        <f>IF($G132="","",IFERROR(INDEX('Match Entry'!$O$5:$O$228,5+($B132-1)*Setup!$B$13+$D132-1-4),""))</f>
        <v/>
      </c>
      <c r="T132" s="33" t="str">
        <f t="shared" si="22"/>
        <v/>
      </c>
      <c r="U132" s="33" t="str">
        <f t="shared" si="23"/>
        <v/>
      </c>
      <c r="V132" s="33" t="str">
        <f t="shared" si="24"/>
        <v/>
      </c>
      <c r="W132" s="33" t="str">
        <f t="shared" si="25"/>
        <v/>
      </c>
      <c r="X132" s="30" t="str">
        <f>IF(OR($G132="",$I132=""),"",IF(OR($T132&gt;=Setup!$B$8,$U132&gt;=Setup!$B$8),1,""))</f>
        <v/>
      </c>
      <c r="Y132" s="30" t="str">
        <f t="shared" si="26"/>
        <v/>
      </c>
      <c r="Z132" s="33" t="str">
        <f>IF($X132=1,IF($T132&gt;$U132,Setup!$B$9,Setup!$B$10),"")</f>
        <v/>
      </c>
      <c r="AA132" s="33" t="str">
        <f>IF($X132=1,IF($U132&gt;$T132,Setup!$B$9,Setup!$B$10),"")</f>
        <v/>
      </c>
      <c r="AB132" s="30" t="str">
        <f t="shared" si="27"/>
        <v/>
      </c>
      <c r="AC132" s="30" t="str">
        <f t="shared" si="28"/>
        <v/>
      </c>
      <c r="AD132" s="30" t="str">
        <f t="shared" si="29"/>
        <v/>
      </c>
    </row>
    <row r="133" spans="1:30">
      <c r="A133" s="29">
        <v>132</v>
      </c>
      <c r="B133" s="29" t="str">
        <f>IF(INT(($A133-1)/28)+1&lt;=Setup!$B$5,INT(($A133-1)/28)+1,"")</f>
        <v/>
      </c>
      <c r="C133" s="29" t="str">
        <f t="shared" si="20"/>
        <v/>
      </c>
      <c r="D133" s="29">
        <f t="shared" si="21"/>
        <v>20</v>
      </c>
      <c r="E133" s="29" t="str">
        <f>IF($B133="","",IFERROR(INDEX('Fixture Library'!$C$2:$C$200,MATCH(Setup!$B$6*100+$D133,'Fixture Library'!$F$2:$F$200,0)),""))</f>
        <v/>
      </c>
      <c r="F133" s="30" t="str">
        <f>IF($B133="","",IFERROR(INDEX('Fixture Library'!$D$2:$D$200,MATCH(Setup!$B$6*100+$D133,'Fixture Library'!$F$2:$F$200,0)),""))</f>
        <v/>
      </c>
      <c r="G133" s="30" t="str">
        <f>IF($F133="","",INDEX(Teams!$E$2:$E$65,($B133-1)*8+$F133))</f>
        <v/>
      </c>
      <c r="H133" s="30" t="str">
        <f>IF($B133="","",IFERROR(INDEX('Fixture Library'!$E$2:$E$200,MATCH(Setup!$B$6*100+$D133,'Fixture Library'!$F$2:$F$200,0)),""))</f>
        <v/>
      </c>
      <c r="I133" s="30" t="str">
        <f>IF($H133="","",INDEX(Teams!$E$2:$E$65,($B133-1)*8+$H133))</f>
        <v/>
      </c>
      <c r="J133" s="34" t="str">
        <f>IF($G133="","",IFERROR(INDEX('Match Entry'!$F$5:$F$228,5+($B133-1)*Setup!$B$13+$D133-1-4),""))</f>
        <v/>
      </c>
      <c r="K133" s="35" t="str">
        <f>IF($G133="","",IFERROR(INDEX('Match Entry'!$G$5:$G$228,5+($B133-1)*Setup!$B$13+$D133-1-4),""))</f>
        <v/>
      </c>
      <c r="L133" s="34" t="str">
        <f>IF($G133="","",IFERROR(INDEX('Match Entry'!$H$5:$H$228,5+($B133-1)*Setup!$B$13+$D133-1-4),""))</f>
        <v/>
      </c>
      <c r="M133" s="35" t="str">
        <f>IF($G133="","",IFERROR(INDEX('Match Entry'!$I$5:$I$228,5+($B133-1)*Setup!$B$13+$D133-1-4),""))</f>
        <v/>
      </c>
      <c r="N133" s="34" t="str">
        <f>IF($G133="","",IFERROR(INDEX('Match Entry'!$J$5:$J$228,5+($B133-1)*Setup!$B$13+$D133-1-4),""))</f>
        <v/>
      </c>
      <c r="O133" s="35" t="str">
        <f>IF($G133="","",IFERROR(INDEX('Match Entry'!$K$5:$K$228,5+($B133-1)*Setup!$B$13+$D133-1-4),""))</f>
        <v/>
      </c>
      <c r="P133" s="34" t="str">
        <f>IF($G133="","",IFERROR(INDEX('Match Entry'!$L$5:$L$228,5+($B133-1)*Setup!$B$13+$D133-1-4),""))</f>
        <v/>
      </c>
      <c r="Q133" s="35" t="str">
        <f>IF($G133="","",IFERROR(INDEX('Match Entry'!$M$5:$M$228,5+($B133-1)*Setup!$B$13+$D133-1-4),""))</f>
        <v/>
      </c>
      <c r="R133" s="34" t="str">
        <f>IF($G133="","",IFERROR(INDEX('Match Entry'!$N$5:$N$228,5+($B133-1)*Setup!$B$13+$D133-1-4),""))</f>
        <v/>
      </c>
      <c r="S133" s="35" t="str">
        <f>IF($G133="","",IFERROR(INDEX('Match Entry'!$O$5:$O$228,5+($B133-1)*Setup!$B$13+$D133-1-4),""))</f>
        <v/>
      </c>
      <c r="T133" s="33" t="str">
        <f t="shared" si="22"/>
        <v/>
      </c>
      <c r="U133" s="33" t="str">
        <f t="shared" si="23"/>
        <v/>
      </c>
      <c r="V133" s="33" t="str">
        <f t="shared" si="24"/>
        <v/>
      </c>
      <c r="W133" s="33" t="str">
        <f t="shared" si="25"/>
        <v/>
      </c>
      <c r="X133" s="30" t="str">
        <f>IF(OR($G133="",$I133=""),"",IF(OR($T133&gt;=Setup!$B$8,$U133&gt;=Setup!$B$8),1,""))</f>
        <v/>
      </c>
      <c r="Y133" s="30" t="str">
        <f t="shared" si="26"/>
        <v/>
      </c>
      <c r="Z133" s="33" t="str">
        <f>IF($X133=1,IF($T133&gt;$U133,Setup!$B$9,Setup!$B$10),"")</f>
        <v/>
      </c>
      <c r="AA133" s="33" t="str">
        <f>IF($X133=1,IF($U133&gt;$T133,Setup!$B$9,Setup!$B$10),"")</f>
        <v/>
      </c>
      <c r="AB133" s="30" t="str">
        <f t="shared" si="27"/>
        <v/>
      </c>
      <c r="AC133" s="30" t="str">
        <f t="shared" si="28"/>
        <v/>
      </c>
      <c r="AD133" s="30" t="str">
        <f t="shared" si="29"/>
        <v/>
      </c>
    </row>
    <row r="134" spans="1:30">
      <c r="A134" s="29">
        <v>133</v>
      </c>
      <c r="B134" s="29" t="str">
        <f>IF(INT(($A134-1)/28)+1&lt;=Setup!$B$5,INT(($A134-1)/28)+1,"")</f>
        <v/>
      </c>
      <c r="C134" s="29" t="str">
        <f t="shared" si="20"/>
        <v/>
      </c>
      <c r="D134" s="29">
        <f t="shared" si="21"/>
        <v>21</v>
      </c>
      <c r="E134" s="29" t="str">
        <f>IF($B134="","",IFERROR(INDEX('Fixture Library'!$C$2:$C$200,MATCH(Setup!$B$6*100+$D134,'Fixture Library'!$F$2:$F$200,0)),""))</f>
        <v/>
      </c>
      <c r="F134" s="30" t="str">
        <f>IF($B134="","",IFERROR(INDEX('Fixture Library'!$D$2:$D$200,MATCH(Setup!$B$6*100+$D134,'Fixture Library'!$F$2:$F$200,0)),""))</f>
        <v/>
      </c>
      <c r="G134" s="30" t="str">
        <f>IF($F134="","",INDEX(Teams!$E$2:$E$65,($B134-1)*8+$F134))</f>
        <v/>
      </c>
      <c r="H134" s="30" t="str">
        <f>IF($B134="","",IFERROR(INDEX('Fixture Library'!$E$2:$E$200,MATCH(Setup!$B$6*100+$D134,'Fixture Library'!$F$2:$F$200,0)),""))</f>
        <v/>
      </c>
      <c r="I134" s="30" t="str">
        <f>IF($H134="","",INDEX(Teams!$E$2:$E$65,($B134-1)*8+$H134))</f>
        <v/>
      </c>
      <c r="J134" s="34" t="str">
        <f>IF($G134="","",IFERROR(INDEX('Match Entry'!$F$5:$F$228,5+($B134-1)*Setup!$B$13+$D134-1-4),""))</f>
        <v/>
      </c>
      <c r="K134" s="35" t="str">
        <f>IF($G134="","",IFERROR(INDEX('Match Entry'!$G$5:$G$228,5+($B134-1)*Setup!$B$13+$D134-1-4),""))</f>
        <v/>
      </c>
      <c r="L134" s="34" t="str">
        <f>IF($G134="","",IFERROR(INDEX('Match Entry'!$H$5:$H$228,5+($B134-1)*Setup!$B$13+$D134-1-4),""))</f>
        <v/>
      </c>
      <c r="M134" s="35" t="str">
        <f>IF($G134="","",IFERROR(INDEX('Match Entry'!$I$5:$I$228,5+($B134-1)*Setup!$B$13+$D134-1-4),""))</f>
        <v/>
      </c>
      <c r="N134" s="34" t="str">
        <f>IF($G134="","",IFERROR(INDEX('Match Entry'!$J$5:$J$228,5+($B134-1)*Setup!$B$13+$D134-1-4),""))</f>
        <v/>
      </c>
      <c r="O134" s="35" t="str">
        <f>IF($G134="","",IFERROR(INDEX('Match Entry'!$K$5:$K$228,5+($B134-1)*Setup!$B$13+$D134-1-4),""))</f>
        <v/>
      </c>
      <c r="P134" s="34" t="str">
        <f>IF($G134="","",IFERROR(INDEX('Match Entry'!$L$5:$L$228,5+($B134-1)*Setup!$B$13+$D134-1-4),""))</f>
        <v/>
      </c>
      <c r="Q134" s="35" t="str">
        <f>IF($G134="","",IFERROR(INDEX('Match Entry'!$M$5:$M$228,5+($B134-1)*Setup!$B$13+$D134-1-4),""))</f>
        <v/>
      </c>
      <c r="R134" s="34" t="str">
        <f>IF($G134="","",IFERROR(INDEX('Match Entry'!$N$5:$N$228,5+($B134-1)*Setup!$B$13+$D134-1-4),""))</f>
        <v/>
      </c>
      <c r="S134" s="35" t="str">
        <f>IF($G134="","",IFERROR(INDEX('Match Entry'!$O$5:$O$228,5+($B134-1)*Setup!$B$13+$D134-1-4),""))</f>
        <v/>
      </c>
      <c r="T134" s="33" t="str">
        <f t="shared" si="22"/>
        <v/>
      </c>
      <c r="U134" s="33" t="str">
        <f t="shared" si="23"/>
        <v/>
      </c>
      <c r="V134" s="33" t="str">
        <f t="shared" si="24"/>
        <v/>
      </c>
      <c r="W134" s="33" t="str">
        <f t="shared" si="25"/>
        <v/>
      </c>
      <c r="X134" s="30" t="str">
        <f>IF(OR($G134="",$I134=""),"",IF(OR($T134&gt;=Setup!$B$8,$U134&gt;=Setup!$B$8),1,""))</f>
        <v/>
      </c>
      <c r="Y134" s="30" t="str">
        <f t="shared" si="26"/>
        <v/>
      </c>
      <c r="Z134" s="33" t="str">
        <f>IF($X134=1,IF($T134&gt;$U134,Setup!$B$9,Setup!$B$10),"")</f>
        <v/>
      </c>
      <c r="AA134" s="33" t="str">
        <f>IF($X134=1,IF($U134&gt;$T134,Setup!$B$9,Setup!$B$10),"")</f>
        <v/>
      </c>
      <c r="AB134" s="30" t="str">
        <f t="shared" si="27"/>
        <v/>
      </c>
      <c r="AC134" s="30" t="str">
        <f t="shared" si="28"/>
        <v/>
      </c>
      <c r="AD134" s="30" t="str">
        <f t="shared" si="29"/>
        <v/>
      </c>
    </row>
    <row r="135" spans="1:30">
      <c r="A135" s="29">
        <v>134</v>
      </c>
      <c r="B135" s="29" t="str">
        <f>IF(INT(($A135-1)/28)+1&lt;=Setup!$B$5,INT(($A135-1)/28)+1,"")</f>
        <v/>
      </c>
      <c r="C135" s="29" t="str">
        <f t="shared" si="20"/>
        <v/>
      </c>
      <c r="D135" s="29">
        <f t="shared" si="21"/>
        <v>22</v>
      </c>
      <c r="E135" s="29" t="str">
        <f>IF($B135="","",IFERROR(INDEX('Fixture Library'!$C$2:$C$200,MATCH(Setup!$B$6*100+$D135,'Fixture Library'!$F$2:$F$200,0)),""))</f>
        <v/>
      </c>
      <c r="F135" s="30" t="str">
        <f>IF($B135="","",IFERROR(INDEX('Fixture Library'!$D$2:$D$200,MATCH(Setup!$B$6*100+$D135,'Fixture Library'!$F$2:$F$200,0)),""))</f>
        <v/>
      </c>
      <c r="G135" s="30" t="str">
        <f>IF($F135="","",INDEX(Teams!$E$2:$E$65,($B135-1)*8+$F135))</f>
        <v/>
      </c>
      <c r="H135" s="30" t="str">
        <f>IF($B135="","",IFERROR(INDEX('Fixture Library'!$E$2:$E$200,MATCH(Setup!$B$6*100+$D135,'Fixture Library'!$F$2:$F$200,0)),""))</f>
        <v/>
      </c>
      <c r="I135" s="30" t="str">
        <f>IF($H135="","",INDEX(Teams!$E$2:$E$65,($B135-1)*8+$H135))</f>
        <v/>
      </c>
      <c r="J135" s="34" t="str">
        <f>IF($G135="","",IFERROR(INDEX('Match Entry'!$F$5:$F$228,5+($B135-1)*Setup!$B$13+$D135-1-4),""))</f>
        <v/>
      </c>
      <c r="K135" s="35" t="str">
        <f>IF($G135="","",IFERROR(INDEX('Match Entry'!$G$5:$G$228,5+($B135-1)*Setup!$B$13+$D135-1-4),""))</f>
        <v/>
      </c>
      <c r="L135" s="34" t="str">
        <f>IF($G135="","",IFERROR(INDEX('Match Entry'!$H$5:$H$228,5+($B135-1)*Setup!$B$13+$D135-1-4),""))</f>
        <v/>
      </c>
      <c r="M135" s="35" t="str">
        <f>IF($G135="","",IFERROR(INDEX('Match Entry'!$I$5:$I$228,5+($B135-1)*Setup!$B$13+$D135-1-4),""))</f>
        <v/>
      </c>
      <c r="N135" s="34" t="str">
        <f>IF($G135="","",IFERROR(INDEX('Match Entry'!$J$5:$J$228,5+($B135-1)*Setup!$B$13+$D135-1-4),""))</f>
        <v/>
      </c>
      <c r="O135" s="35" t="str">
        <f>IF($G135="","",IFERROR(INDEX('Match Entry'!$K$5:$K$228,5+($B135-1)*Setup!$B$13+$D135-1-4),""))</f>
        <v/>
      </c>
      <c r="P135" s="34" t="str">
        <f>IF($G135="","",IFERROR(INDEX('Match Entry'!$L$5:$L$228,5+($B135-1)*Setup!$B$13+$D135-1-4),""))</f>
        <v/>
      </c>
      <c r="Q135" s="35" t="str">
        <f>IF($G135="","",IFERROR(INDEX('Match Entry'!$M$5:$M$228,5+($B135-1)*Setup!$B$13+$D135-1-4),""))</f>
        <v/>
      </c>
      <c r="R135" s="34" t="str">
        <f>IF($G135="","",IFERROR(INDEX('Match Entry'!$N$5:$N$228,5+($B135-1)*Setup!$B$13+$D135-1-4),""))</f>
        <v/>
      </c>
      <c r="S135" s="35" t="str">
        <f>IF($G135="","",IFERROR(INDEX('Match Entry'!$O$5:$O$228,5+($B135-1)*Setup!$B$13+$D135-1-4),""))</f>
        <v/>
      </c>
      <c r="T135" s="33" t="str">
        <f t="shared" si="22"/>
        <v/>
      </c>
      <c r="U135" s="33" t="str">
        <f t="shared" si="23"/>
        <v/>
      </c>
      <c r="V135" s="33" t="str">
        <f t="shared" si="24"/>
        <v/>
      </c>
      <c r="W135" s="33" t="str">
        <f t="shared" si="25"/>
        <v/>
      </c>
      <c r="X135" s="30" t="str">
        <f>IF(OR($G135="",$I135=""),"",IF(OR($T135&gt;=Setup!$B$8,$U135&gt;=Setup!$B$8),1,""))</f>
        <v/>
      </c>
      <c r="Y135" s="30" t="str">
        <f t="shared" si="26"/>
        <v/>
      </c>
      <c r="Z135" s="33" t="str">
        <f>IF($X135=1,IF($T135&gt;$U135,Setup!$B$9,Setup!$B$10),"")</f>
        <v/>
      </c>
      <c r="AA135" s="33" t="str">
        <f>IF($X135=1,IF($U135&gt;$T135,Setup!$B$9,Setup!$B$10),"")</f>
        <v/>
      </c>
      <c r="AB135" s="30" t="str">
        <f t="shared" si="27"/>
        <v/>
      </c>
      <c r="AC135" s="30" t="str">
        <f t="shared" si="28"/>
        <v/>
      </c>
      <c r="AD135" s="30" t="str">
        <f t="shared" si="29"/>
        <v/>
      </c>
    </row>
    <row r="136" spans="1:30">
      <c r="A136" s="29">
        <v>135</v>
      </c>
      <c r="B136" s="29" t="str">
        <f>IF(INT(($A136-1)/28)+1&lt;=Setup!$B$5,INT(($A136-1)/28)+1,"")</f>
        <v/>
      </c>
      <c r="C136" s="29" t="str">
        <f t="shared" si="20"/>
        <v/>
      </c>
      <c r="D136" s="29">
        <f t="shared" si="21"/>
        <v>23</v>
      </c>
      <c r="E136" s="29" t="str">
        <f>IF($B136="","",IFERROR(INDEX('Fixture Library'!$C$2:$C$200,MATCH(Setup!$B$6*100+$D136,'Fixture Library'!$F$2:$F$200,0)),""))</f>
        <v/>
      </c>
      <c r="F136" s="30" t="str">
        <f>IF($B136="","",IFERROR(INDEX('Fixture Library'!$D$2:$D$200,MATCH(Setup!$B$6*100+$D136,'Fixture Library'!$F$2:$F$200,0)),""))</f>
        <v/>
      </c>
      <c r="G136" s="30" t="str">
        <f>IF($F136="","",INDEX(Teams!$E$2:$E$65,($B136-1)*8+$F136))</f>
        <v/>
      </c>
      <c r="H136" s="30" t="str">
        <f>IF($B136="","",IFERROR(INDEX('Fixture Library'!$E$2:$E$200,MATCH(Setup!$B$6*100+$D136,'Fixture Library'!$F$2:$F$200,0)),""))</f>
        <v/>
      </c>
      <c r="I136" s="30" t="str">
        <f>IF($H136="","",INDEX(Teams!$E$2:$E$65,($B136-1)*8+$H136))</f>
        <v/>
      </c>
      <c r="J136" s="34" t="str">
        <f>IF($G136="","",IFERROR(INDEX('Match Entry'!$F$5:$F$228,5+($B136-1)*Setup!$B$13+$D136-1-4),""))</f>
        <v/>
      </c>
      <c r="K136" s="35" t="str">
        <f>IF($G136="","",IFERROR(INDEX('Match Entry'!$G$5:$G$228,5+($B136-1)*Setup!$B$13+$D136-1-4),""))</f>
        <v/>
      </c>
      <c r="L136" s="34" t="str">
        <f>IF($G136="","",IFERROR(INDEX('Match Entry'!$H$5:$H$228,5+($B136-1)*Setup!$B$13+$D136-1-4),""))</f>
        <v/>
      </c>
      <c r="M136" s="35" t="str">
        <f>IF($G136="","",IFERROR(INDEX('Match Entry'!$I$5:$I$228,5+($B136-1)*Setup!$B$13+$D136-1-4),""))</f>
        <v/>
      </c>
      <c r="N136" s="34" t="str">
        <f>IF($G136="","",IFERROR(INDEX('Match Entry'!$J$5:$J$228,5+($B136-1)*Setup!$B$13+$D136-1-4),""))</f>
        <v/>
      </c>
      <c r="O136" s="35" t="str">
        <f>IF($G136="","",IFERROR(INDEX('Match Entry'!$K$5:$K$228,5+($B136-1)*Setup!$B$13+$D136-1-4),""))</f>
        <v/>
      </c>
      <c r="P136" s="34" t="str">
        <f>IF($G136="","",IFERROR(INDEX('Match Entry'!$L$5:$L$228,5+($B136-1)*Setup!$B$13+$D136-1-4),""))</f>
        <v/>
      </c>
      <c r="Q136" s="35" t="str">
        <f>IF($G136="","",IFERROR(INDEX('Match Entry'!$M$5:$M$228,5+($B136-1)*Setup!$B$13+$D136-1-4),""))</f>
        <v/>
      </c>
      <c r="R136" s="34" t="str">
        <f>IF($G136="","",IFERROR(INDEX('Match Entry'!$N$5:$N$228,5+($B136-1)*Setup!$B$13+$D136-1-4),""))</f>
        <v/>
      </c>
      <c r="S136" s="35" t="str">
        <f>IF($G136="","",IFERROR(INDEX('Match Entry'!$O$5:$O$228,5+($B136-1)*Setup!$B$13+$D136-1-4),""))</f>
        <v/>
      </c>
      <c r="T136" s="33" t="str">
        <f t="shared" si="22"/>
        <v/>
      </c>
      <c r="U136" s="33" t="str">
        <f t="shared" si="23"/>
        <v/>
      </c>
      <c r="V136" s="33" t="str">
        <f t="shared" si="24"/>
        <v/>
      </c>
      <c r="W136" s="33" t="str">
        <f t="shared" si="25"/>
        <v/>
      </c>
      <c r="X136" s="30" t="str">
        <f>IF(OR($G136="",$I136=""),"",IF(OR($T136&gt;=Setup!$B$8,$U136&gt;=Setup!$B$8),1,""))</f>
        <v/>
      </c>
      <c r="Y136" s="30" t="str">
        <f t="shared" si="26"/>
        <v/>
      </c>
      <c r="Z136" s="33" t="str">
        <f>IF($X136=1,IF($T136&gt;$U136,Setup!$B$9,Setup!$B$10),"")</f>
        <v/>
      </c>
      <c r="AA136" s="33" t="str">
        <f>IF($X136=1,IF($U136&gt;$T136,Setup!$B$9,Setup!$B$10),"")</f>
        <v/>
      </c>
      <c r="AB136" s="30" t="str">
        <f t="shared" si="27"/>
        <v/>
      </c>
      <c r="AC136" s="30" t="str">
        <f t="shared" si="28"/>
        <v/>
      </c>
      <c r="AD136" s="30" t="str">
        <f t="shared" si="29"/>
        <v/>
      </c>
    </row>
    <row r="137" spans="1:30">
      <c r="A137" s="29">
        <v>136</v>
      </c>
      <c r="B137" s="29" t="str">
        <f>IF(INT(($A137-1)/28)+1&lt;=Setup!$B$5,INT(($A137-1)/28)+1,"")</f>
        <v/>
      </c>
      <c r="C137" s="29" t="str">
        <f t="shared" si="20"/>
        <v/>
      </c>
      <c r="D137" s="29">
        <f t="shared" si="21"/>
        <v>24</v>
      </c>
      <c r="E137" s="29" t="str">
        <f>IF($B137="","",IFERROR(INDEX('Fixture Library'!$C$2:$C$200,MATCH(Setup!$B$6*100+$D137,'Fixture Library'!$F$2:$F$200,0)),""))</f>
        <v/>
      </c>
      <c r="F137" s="30" t="str">
        <f>IF($B137="","",IFERROR(INDEX('Fixture Library'!$D$2:$D$200,MATCH(Setup!$B$6*100+$D137,'Fixture Library'!$F$2:$F$200,0)),""))</f>
        <v/>
      </c>
      <c r="G137" s="30" t="str">
        <f>IF($F137="","",INDEX(Teams!$E$2:$E$65,($B137-1)*8+$F137))</f>
        <v/>
      </c>
      <c r="H137" s="30" t="str">
        <f>IF($B137="","",IFERROR(INDEX('Fixture Library'!$E$2:$E$200,MATCH(Setup!$B$6*100+$D137,'Fixture Library'!$F$2:$F$200,0)),""))</f>
        <v/>
      </c>
      <c r="I137" s="30" t="str">
        <f>IF($H137="","",INDEX(Teams!$E$2:$E$65,($B137-1)*8+$H137))</f>
        <v/>
      </c>
      <c r="J137" s="34" t="str">
        <f>IF($G137="","",IFERROR(INDEX('Match Entry'!$F$5:$F$228,5+($B137-1)*Setup!$B$13+$D137-1-4),""))</f>
        <v/>
      </c>
      <c r="K137" s="35" t="str">
        <f>IF($G137="","",IFERROR(INDEX('Match Entry'!$G$5:$G$228,5+($B137-1)*Setup!$B$13+$D137-1-4),""))</f>
        <v/>
      </c>
      <c r="L137" s="34" t="str">
        <f>IF($G137="","",IFERROR(INDEX('Match Entry'!$H$5:$H$228,5+($B137-1)*Setup!$B$13+$D137-1-4),""))</f>
        <v/>
      </c>
      <c r="M137" s="35" t="str">
        <f>IF($G137="","",IFERROR(INDEX('Match Entry'!$I$5:$I$228,5+($B137-1)*Setup!$B$13+$D137-1-4),""))</f>
        <v/>
      </c>
      <c r="N137" s="34" t="str">
        <f>IF($G137="","",IFERROR(INDEX('Match Entry'!$J$5:$J$228,5+($B137-1)*Setup!$B$13+$D137-1-4),""))</f>
        <v/>
      </c>
      <c r="O137" s="35" t="str">
        <f>IF($G137="","",IFERROR(INDEX('Match Entry'!$K$5:$K$228,5+($B137-1)*Setup!$B$13+$D137-1-4),""))</f>
        <v/>
      </c>
      <c r="P137" s="34" t="str">
        <f>IF($G137="","",IFERROR(INDEX('Match Entry'!$L$5:$L$228,5+($B137-1)*Setup!$B$13+$D137-1-4),""))</f>
        <v/>
      </c>
      <c r="Q137" s="35" t="str">
        <f>IF($G137="","",IFERROR(INDEX('Match Entry'!$M$5:$M$228,5+($B137-1)*Setup!$B$13+$D137-1-4),""))</f>
        <v/>
      </c>
      <c r="R137" s="34" t="str">
        <f>IF($G137="","",IFERROR(INDEX('Match Entry'!$N$5:$N$228,5+($B137-1)*Setup!$B$13+$D137-1-4),""))</f>
        <v/>
      </c>
      <c r="S137" s="35" t="str">
        <f>IF($G137="","",IFERROR(INDEX('Match Entry'!$O$5:$O$228,5+($B137-1)*Setup!$B$13+$D137-1-4),""))</f>
        <v/>
      </c>
      <c r="T137" s="33" t="str">
        <f t="shared" si="22"/>
        <v/>
      </c>
      <c r="U137" s="33" t="str">
        <f t="shared" si="23"/>
        <v/>
      </c>
      <c r="V137" s="33" t="str">
        <f t="shared" si="24"/>
        <v/>
      </c>
      <c r="W137" s="33" t="str">
        <f t="shared" si="25"/>
        <v/>
      </c>
      <c r="X137" s="30" t="str">
        <f>IF(OR($G137="",$I137=""),"",IF(OR($T137&gt;=Setup!$B$8,$U137&gt;=Setup!$B$8),1,""))</f>
        <v/>
      </c>
      <c r="Y137" s="30" t="str">
        <f t="shared" si="26"/>
        <v/>
      </c>
      <c r="Z137" s="33" t="str">
        <f>IF($X137=1,IF($T137&gt;$U137,Setup!$B$9,Setup!$B$10),"")</f>
        <v/>
      </c>
      <c r="AA137" s="33" t="str">
        <f>IF($X137=1,IF($U137&gt;$T137,Setup!$B$9,Setup!$B$10),"")</f>
        <v/>
      </c>
      <c r="AB137" s="30" t="str">
        <f t="shared" si="27"/>
        <v/>
      </c>
      <c r="AC137" s="30" t="str">
        <f t="shared" si="28"/>
        <v/>
      </c>
      <c r="AD137" s="30" t="str">
        <f t="shared" si="29"/>
        <v/>
      </c>
    </row>
    <row r="138" spans="1:30">
      <c r="A138" s="29">
        <v>137</v>
      </c>
      <c r="B138" s="29" t="str">
        <f>IF(INT(($A138-1)/28)+1&lt;=Setup!$B$5,INT(($A138-1)/28)+1,"")</f>
        <v/>
      </c>
      <c r="C138" s="29" t="str">
        <f t="shared" si="20"/>
        <v/>
      </c>
      <c r="D138" s="29">
        <f t="shared" si="21"/>
        <v>25</v>
      </c>
      <c r="E138" s="29" t="str">
        <f>IF($B138="","",IFERROR(INDEX('Fixture Library'!$C$2:$C$200,MATCH(Setup!$B$6*100+$D138,'Fixture Library'!$F$2:$F$200,0)),""))</f>
        <v/>
      </c>
      <c r="F138" s="30" t="str">
        <f>IF($B138="","",IFERROR(INDEX('Fixture Library'!$D$2:$D$200,MATCH(Setup!$B$6*100+$D138,'Fixture Library'!$F$2:$F$200,0)),""))</f>
        <v/>
      </c>
      <c r="G138" s="30" t="str">
        <f>IF($F138="","",INDEX(Teams!$E$2:$E$65,($B138-1)*8+$F138))</f>
        <v/>
      </c>
      <c r="H138" s="30" t="str">
        <f>IF($B138="","",IFERROR(INDEX('Fixture Library'!$E$2:$E$200,MATCH(Setup!$B$6*100+$D138,'Fixture Library'!$F$2:$F$200,0)),""))</f>
        <v/>
      </c>
      <c r="I138" s="30" t="str">
        <f>IF($H138="","",INDEX(Teams!$E$2:$E$65,($B138-1)*8+$H138))</f>
        <v/>
      </c>
      <c r="J138" s="34" t="str">
        <f>IF($G138="","",IFERROR(INDEX('Match Entry'!$F$5:$F$228,5+($B138-1)*Setup!$B$13+$D138-1-4),""))</f>
        <v/>
      </c>
      <c r="K138" s="35" t="str">
        <f>IF($G138="","",IFERROR(INDEX('Match Entry'!$G$5:$G$228,5+($B138-1)*Setup!$B$13+$D138-1-4),""))</f>
        <v/>
      </c>
      <c r="L138" s="34" t="str">
        <f>IF($G138="","",IFERROR(INDEX('Match Entry'!$H$5:$H$228,5+($B138-1)*Setup!$B$13+$D138-1-4),""))</f>
        <v/>
      </c>
      <c r="M138" s="35" t="str">
        <f>IF($G138="","",IFERROR(INDEX('Match Entry'!$I$5:$I$228,5+($B138-1)*Setup!$B$13+$D138-1-4),""))</f>
        <v/>
      </c>
      <c r="N138" s="34" t="str">
        <f>IF($G138="","",IFERROR(INDEX('Match Entry'!$J$5:$J$228,5+($B138-1)*Setup!$B$13+$D138-1-4),""))</f>
        <v/>
      </c>
      <c r="O138" s="35" t="str">
        <f>IF($G138="","",IFERROR(INDEX('Match Entry'!$K$5:$K$228,5+($B138-1)*Setup!$B$13+$D138-1-4),""))</f>
        <v/>
      </c>
      <c r="P138" s="34" t="str">
        <f>IF($G138="","",IFERROR(INDEX('Match Entry'!$L$5:$L$228,5+($B138-1)*Setup!$B$13+$D138-1-4),""))</f>
        <v/>
      </c>
      <c r="Q138" s="35" t="str">
        <f>IF($G138="","",IFERROR(INDEX('Match Entry'!$M$5:$M$228,5+($B138-1)*Setup!$B$13+$D138-1-4),""))</f>
        <v/>
      </c>
      <c r="R138" s="34" t="str">
        <f>IF($G138="","",IFERROR(INDEX('Match Entry'!$N$5:$N$228,5+($B138-1)*Setup!$B$13+$D138-1-4),""))</f>
        <v/>
      </c>
      <c r="S138" s="35" t="str">
        <f>IF($G138="","",IFERROR(INDEX('Match Entry'!$O$5:$O$228,5+($B138-1)*Setup!$B$13+$D138-1-4),""))</f>
        <v/>
      </c>
      <c r="T138" s="33" t="str">
        <f t="shared" si="22"/>
        <v/>
      </c>
      <c r="U138" s="33" t="str">
        <f t="shared" si="23"/>
        <v/>
      </c>
      <c r="V138" s="33" t="str">
        <f t="shared" si="24"/>
        <v/>
      </c>
      <c r="W138" s="33" t="str">
        <f t="shared" si="25"/>
        <v/>
      </c>
      <c r="X138" s="30" t="str">
        <f>IF(OR($G138="",$I138=""),"",IF(OR($T138&gt;=Setup!$B$8,$U138&gt;=Setup!$B$8),1,""))</f>
        <v/>
      </c>
      <c r="Y138" s="30" t="str">
        <f t="shared" si="26"/>
        <v/>
      </c>
      <c r="Z138" s="33" t="str">
        <f>IF($X138=1,IF($T138&gt;$U138,Setup!$B$9,Setup!$B$10),"")</f>
        <v/>
      </c>
      <c r="AA138" s="33" t="str">
        <f>IF($X138=1,IF($U138&gt;$T138,Setup!$B$9,Setup!$B$10),"")</f>
        <v/>
      </c>
      <c r="AB138" s="30" t="str">
        <f t="shared" si="27"/>
        <v/>
      </c>
      <c r="AC138" s="30" t="str">
        <f t="shared" si="28"/>
        <v/>
      </c>
      <c r="AD138" s="30" t="str">
        <f t="shared" si="29"/>
        <v/>
      </c>
    </row>
    <row r="139" spans="1:30">
      <c r="A139" s="29">
        <v>138</v>
      </c>
      <c r="B139" s="29" t="str">
        <f>IF(INT(($A139-1)/28)+1&lt;=Setup!$B$5,INT(($A139-1)/28)+1,"")</f>
        <v/>
      </c>
      <c r="C139" s="29" t="str">
        <f t="shared" si="20"/>
        <v/>
      </c>
      <c r="D139" s="29">
        <f t="shared" si="21"/>
        <v>26</v>
      </c>
      <c r="E139" s="29" t="str">
        <f>IF($B139="","",IFERROR(INDEX('Fixture Library'!$C$2:$C$200,MATCH(Setup!$B$6*100+$D139,'Fixture Library'!$F$2:$F$200,0)),""))</f>
        <v/>
      </c>
      <c r="F139" s="30" t="str">
        <f>IF($B139="","",IFERROR(INDEX('Fixture Library'!$D$2:$D$200,MATCH(Setup!$B$6*100+$D139,'Fixture Library'!$F$2:$F$200,0)),""))</f>
        <v/>
      </c>
      <c r="G139" s="30" t="str">
        <f>IF($F139="","",INDEX(Teams!$E$2:$E$65,($B139-1)*8+$F139))</f>
        <v/>
      </c>
      <c r="H139" s="30" t="str">
        <f>IF($B139="","",IFERROR(INDEX('Fixture Library'!$E$2:$E$200,MATCH(Setup!$B$6*100+$D139,'Fixture Library'!$F$2:$F$200,0)),""))</f>
        <v/>
      </c>
      <c r="I139" s="30" t="str">
        <f>IF($H139="","",INDEX(Teams!$E$2:$E$65,($B139-1)*8+$H139))</f>
        <v/>
      </c>
      <c r="J139" s="34" t="str">
        <f>IF($G139="","",IFERROR(INDEX('Match Entry'!$F$5:$F$228,5+($B139-1)*Setup!$B$13+$D139-1-4),""))</f>
        <v/>
      </c>
      <c r="K139" s="35" t="str">
        <f>IF($G139="","",IFERROR(INDEX('Match Entry'!$G$5:$G$228,5+($B139-1)*Setup!$B$13+$D139-1-4),""))</f>
        <v/>
      </c>
      <c r="L139" s="34" t="str">
        <f>IF($G139="","",IFERROR(INDEX('Match Entry'!$H$5:$H$228,5+($B139-1)*Setup!$B$13+$D139-1-4),""))</f>
        <v/>
      </c>
      <c r="M139" s="35" t="str">
        <f>IF($G139="","",IFERROR(INDEX('Match Entry'!$I$5:$I$228,5+($B139-1)*Setup!$B$13+$D139-1-4),""))</f>
        <v/>
      </c>
      <c r="N139" s="34" t="str">
        <f>IF($G139="","",IFERROR(INDEX('Match Entry'!$J$5:$J$228,5+($B139-1)*Setup!$B$13+$D139-1-4),""))</f>
        <v/>
      </c>
      <c r="O139" s="35" t="str">
        <f>IF($G139="","",IFERROR(INDEX('Match Entry'!$K$5:$K$228,5+($B139-1)*Setup!$B$13+$D139-1-4),""))</f>
        <v/>
      </c>
      <c r="P139" s="34" t="str">
        <f>IF($G139="","",IFERROR(INDEX('Match Entry'!$L$5:$L$228,5+($B139-1)*Setup!$B$13+$D139-1-4),""))</f>
        <v/>
      </c>
      <c r="Q139" s="35" t="str">
        <f>IF($G139="","",IFERROR(INDEX('Match Entry'!$M$5:$M$228,5+($B139-1)*Setup!$B$13+$D139-1-4),""))</f>
        <v/>
      </c>
      <c r="R139" s="34" t="str">
        <f>IF($G139="","",IFERROR(INDEX('Match Entry'!$N$5:$N$228,5+($B139-1)*Setup!$B$13+$D139-1-4),""))</f>
        <v/>
      </c>
      <c r="S139" s="35" t="str">
        <f>IF($G139="","",IFERROR(INDEX('Match Entry'!$O$5:$O$228,5+($B139-1)*Setup!$B$13+$D139-1-4),""))</f>
        <v/>
      </c>
      <c r="T139" s="33" t="str">
        <f t="shared" si="22"/>
        <v/>
      </c>
      <c r="U139" s="33" t="str">
        <f t="shared" si="23"/>
        <v/>
      </c>
      <c r="V139" s="33" t="str">
        <f t="shared" si="24"/>
        <v/>
      </c>
      <c r="W139" s="33" t="str">
        <f t="shared" si="25"/>
        <v/>
      </c>
      <c r="X139" s="30" t="str">
        <f>IF(OR($G139="",$I139=""),"",IF(OR($T139&gt;=Setup!$B$8,$U139&gt;=Setup!$B$8),1,""))</f>
        <v/>
      </c>
      <c r="Y139" s="30" t="str">
        <f t="shared" si="26"/>
        <v/>
      </c>
      <c r="Z139" s="33" t="str">
        <f>IF($X139=1,IF($T139&gt;$U139,Setup!$B$9,Setup!$B$10),"")</f>
        <v/>
      </c>
      <c r="AA139" s="33" t="str">
        <f>IF($X139=1,IF($U139&gt;$T139,Setup!$B$9,Setup!$B$10),"")</f>
        <v/>
      </c>
      <c r="AB139" s="30" t="str">
        <f t="shared" si="27"/>
        <v/>
      </c>
      <c r="AC139" s="30" t="str">
        <f t="shared" si="28"/>
        <v/>
      </c>
      <c r="AD139" s="30" t="str">
        <f t="shared" si="29"/>
        <v/>
      </c>
    </row>
    <row r="140" spans="1:30">
      <c r="A140" s="29">
        <v>139</v>
      </c>
      <c r="B140" s="29" t="str">
        <f>IF(INT(($A140-1)/28)+1&lt;=Setup!$B$5,INT(($A140-1)/28)+1,"")</f>
        <v/>
      </c>
      <c r="C140" s="29" t="str">
        <f t="shared" si="20"/>
        <v/>
      </c>
      <c r="D140" s="29">
        <f t="shared" si="21"/>
        <v>27</v>
      </c>
      <c r="E140" s="29" t="str">
        <f>IF($B140="","",IFERROR(INDEX('Fixture Library'!$C$2:$C$200,MATCH(Setup!$B$6*100+$D140,'Fixture Library'!$F$2:$F$200,0)),""))</f>
        <v/>
      </c>
      <c r="F140" s="30" t="str">
        <f>IF($B140="","",IFERROR(INDEX('Fixture Library'!$D$2:$D$200,MATCH(Setup!$B$6*100+$D140,'Fixture Library'!$F$2:$F$200,0)),""))</f>
        <v/>
      </c>
      <c r="G140" s="30" t="str">
        <f>IF($F140="","",INDEX(Teams!$E$2:$E$65,($B140-1)*8+$F140))</f>
        <v/>
      </c>
      <c r="H140" s="30" t="str">
        <f>IF($B140="","",IFERROR(INDEX('Fixture Library'!$E$2:$E$200,MATCH(Setup!$B$6*100+$D140,'Fixture Library'!$F$2:$F$200,0)),""))</f>
        <v/>
      </c>
      <c r="I140" s="30" t="str">
        <f>IF($H140="","",INDEX(Teams!$E$2:$E$65,($B140-1)*8+$H140))</f>
        <v/>
      </c>
      <c r="J140" s="34" t="str">
        <f>IF($G140="","",IFERROR(INDEX('Match Entry'!$F$5:$F$228,5+($B140-1)*Setup!$B$13+$D140-1-4),""))</f>
        <v/>
      </c>
      <c r="K140" s="35" t="str">
        <f>IF($G140="","",IFERROR(INDEX('Match Entry'!$G$5:$G$228,5+($B140-1)*Setup!$B$13+$D140-1-4),""))</f>
        <v/>
      </c>
      <c r="L140" s="34" t="str">
        <f>IF($G140="","",IFERROR(INDEX('Match Entry'!$H$5:$H$228,5+($B140-1)*Setup!$B$13+$D140-1-4),""))</f>
        <v/>
      </c>
      <c r="M140" s="35" t="str">
        <f>IF($G140="","",IFERROR(INDEX('Match Entry'!$I$5:$I$228,5+($B140-1)*Setup!$B$13+$D140-1-4),""))</f>
        <v/>
      </c>
      <c r="N140" s="34" t="str">
        <f>IF($G140="","",IFERROR(INDEX('Match Entry'!$J$5:$J$228,5+($B140-1)*Setup!$B$13+$D140-1-4),""))</f>
        <v/>
      </c>
      <c r="O140" s="35" t="str">
        <f>IF($G140="","",IFERROR(INDEX('Match Entry'!$K$5:$K$228,5+($B140-1)*Setup!$B$13+$D140-1-4),""))</f>
        <v/>
      </c>
      <c r="P140" s="34" t="str">
        <f>IF($G140="","",IFERROR(INDEX('Match Entry'!$L$5:$L$228,5+($B140-1)*Setup!$B$13+$D140-1-4),""))</f>
        <v/>
      </c>
      <c r="Q140" s="35" t="str">
        <f>IF($G140="","",IFERROR(INDEX('Match Entry'!$M$5:$M$228,5+($B140-1)*Setup!$B$13+$D140-1-4),""))</f>
        <v/>
      </c>
      <c r="R140" s="34" t="str">
        <f>IF($G140="","",IFERROR(INDEX('Match Entry'!$N$5:$N$228,5+($B140-1)*Setup!$B$13+$D140-1-4),""))</f>
        <v/>
      </c>
      <c r="S140" s="35" t="str">
        <f>IF($G140="","",IFERROR(INDEX('Match Entry'!$O$5:$O$228,5+($B140-1)*Setup!$B$13+$D140-1-4),""))</f>
        <v/>
      </c>
      <c r="T140" s="33" t="str">
        <f t="shared" si="22"/>
        <v/>
      </c>
      <c r="U140" s="33" t="str">
        <f t="shared" si="23"/>
        <v/>
      </c>
      <c r="V140" s="33" t="str">
        <f t="shared" si="24"/>
        <v/>
      </c>
      <c r="W140" s="33" t="str">
        <f t="shared" si="25"/>
        <v/>
      </c>
      <c r="X140" s="30" t="str">
        <f>IF(OR($G140="",$I140=""),"",IF(OR($T140&gt;=Setup!$B$8,$U140&gt;=Setup!$B$8),1,""))</f>
        <v/>
      </c>
      <c r="Y140" s="30" t="str">
        <f t="shared" si="26"/>
        <v/>
      </c>
      <c r="Z140" s="33" t="str">
        <f>IF($X140=1,IF($T140&gt;$U140,Setup!$B$9,Setup!$B$10),"")</f>
        <v/>
      </c>
      <c r="AA140" s="33" t="str">
        <f>IF($X140=1,IF($U140&gt;$T140,Setup!$B$9,Setup!$B$10),"")</f>
        <v/>
      </c>
      <c r="AB140" s="30" t="str">
        <f t="shared" si="27"/>
        <v/>
      </c>
      <c r="AC140" s="30" t="str">
        <f t="shared" si="28"/>
        <v/>
      </c>
      <c r="AD140" s="30" t="str">
        <f t="shared" si="29"/>
        <v/>
      </c>
    </row>
    <row r="141" spans="1:30">
      <c r="A141" s="29">
        <v>140</v>
      </c>
      <c r="B141" s="29" t="str">
        <f>IF(INT(($A141-1)/28)+1&lt;=Setup!$B$5,INT(($A141-1)/28)+1,"")</f>
        <v/>
      </c>
      <c r="C141" s="29" t="str">
        <f t="shared" si="20"/>
        <v/>
      </c>
      <c r="D141" s="29">
        <f t="shared" si="21"/>
        <v>28</v>
      </c>
      <c r="E141" s="29" t="str">
        <f>IF($B141="","",IFERROR(INDEX('Fixture Library'!$C$2:$C$200,MATCH(Setup!$B$6*100+$D141,'Fixture Library'!$F$2:$F$200,0)),""))</f>
        <v/>
      </c>
      <c r="F141" s="30" t="str">
        <f>IF($B141="","",IFERROR(INDEX('Fixture Library'!$D$2:$D$200,MATCH(Setup!$B$6*100+$D141,'Fixture Library'!$F$2:$F$200,0)),""))</f>
        <v/>
      </c>
      <c r="G141" s="30" t="str">
        <f>IF($F141="","",INDEX(Teams!$E$2:$E$65,($B141-1)*8+$F141))</f>
        <v/>
      </c>
      <c r="H141" s="30" t="str">
        <f>IF($B141="","",IFERROR(INDEX('Fixture Library'!$E$2:$E$200,MATCH(Setup!$B$6*100+$D141,'Fixture Library'!$F$2:$F$200,0)),""))</f>
        <v/>
      </c>
      <c r="I141" s="30" t="str">
        <f>IF($H141="","",INDEX(Teams!$E$2:$E$65,($B141-1)*8+$H141))</f>
        <v/>
      </c>
      <c r="J141" s="34" t="str">
        <f>IF($G141="","",IFERROR(INDEX('Match Entry'!$F$5:$F$228,5+($B141-1)*Setup!$B$13+$D141-1-4),""))</f>
        <v/>
      </c>
      <c r="K141" s="35" t="str">
        <f>IF($G141="","",IFERROR(INDEX('Match Entry'!$G$5:$G$228,5+($B141-1)*Setup!$B$13+$D141-1-4),""))</f>
        <v/>
      </c>
      <c r="L141" s="34" t="str">
        <f>IF($G141="","",IFERROR(INDEX('Match Entry'!$H$5:$H$228,5+($B141-1)*Setup!$B$13+$D141-1-4),""))</f>
        <v/>
      </c>
      <c r="M141" s="35" t="str">
        <f>IF($G141="","",IFERROR(INDEX('Match Entry'!$I$5:$I$228,5+($B141-1)*Setup!$B$13+$D141-1-4),""))</f>
        <v/>
      </c>
      <c r="N141" s="34" t="str">
        <f>IF($G141="","",IFERROR(INDEX('Match Entry'!$J$5:$J$228,5+($B141-1)*Setup!$B$13+$D141-1-4),""))</f>
        <v/>
      </c>
      <c r="O141" s="35" t="str">
        <f>IF($G141="","",IFERROR(INDEX('Match Entry'!$K$5:$K$228,5+($B141-1)*Setup!$B$13+$D141-1-4),""))</f>
        <v/>
      </c>
      <c r="P141" s="34" t="str">
        <f>IF($G141="","",IFERROR(INDEX('Match Entry'!$L$5:$L$228,5+($B141-1)*Setup!$B$13+$D141-1-4),""))</f>
        <v/>
      </c>
      <c r="Q141" s="35" t="str">
        <f>IF($G141="","",IFERROR(INDEX('Match Entry'!$M$5:$M$228,5+($B141-1)*Setup!$B$13+$D141-1-4),""))</f>
        <v/>
      </c>
      <c r="R141" s="34" t="str">
        <f>IF($G141="","",IFERROR(INDEX('Match Entry'!$N$5:$N$228,5+($B141-1)*Setup!$B$13+$D141-1-4),""))</f>
        <v/>
      </c>
      <c r="S141" s="35" t="str">
        <f>IF($G141="","",IFERROR(INDEX('Match Entry'!$O$5:$O$228,5+($B141-1)*Setup!$B$13+$D141-1-4),""))</f>
        <v/>
      </c>
      <c r="T141" s="33" t="str">
        <f t="shared" si="22"/>
        <v/>
      </c>
      <c r="U141" s="33" t="str">
        <f t="shared" si="23"/>
        <v/>
      </c>
      <c r="V141" s="33" t="str">
        <f t="shared" si="24"/>
        <v/>
      </c>
      <c r="W141" s="33" t="str">
        <f t="shared" si="25"/>
        <v/>
      </c>
      <c r="X141" s="30" t="str">
        <f>IF(OR($G141="",$I141=""),"",IF(OR($T141&gt;=Setup!$B$8,$U141&gt;=Setup!$B$8),1,""))</f>
        <v/>
      </c>
      <c r="Y141" s="30" t="str">
        <f t="shared" si="26"/>
        <v/>
      </c>
      <c r="Z141" s="33" t="str">
        <f>IF($X141=1,IF($T141&gt;$U141,Setup!$B$9,Setup!$B$10),"")</f>
        <v/>
      </c>
      <c r="AA141" s="33" t="str">
        <f>IF($X141=1,IF($U141&gt;$T141,Setup!$B$9,Setup!$B$10),"")</f>
        <v/>
      </c>
      <c r="AB141" s="30" t="str">
        <f t="shared" si="27"/>
        <v/>
      </c>
      <c r="AC141" s="30" t="str">
        <f t="shared" si="28"/>
        <v/>
      </c>
      <c r="AD141" s="30" t="str">
        <f t="shared" si="29"/>
        <v/>
      </c>
    </row>
    <row r="142" spans="1:30">
      <c r="A142" s="29">
        <v>141</v>
      </c>
      <c r="B142" s="29" t="str">
        <f>IF(INT(($A142-1)/28)+1&lt;=Setup!$B$5,INT(($A142-1)/28)+1,"")</f>
        <v/>
      </c>
      <c r="C142" s="29" t="str">
        <f t="shared" si="20"/>
        <v/>
      </c>
      <c r="D142" s="29">
        <f t="shared" si="21"/>
        <v>1</v>
      </c>
      <c r="E142" s="29" t="str">
        <f>IF($B142="","",IFERROR(INDEX('Fixture Library'!$C$2:$C$200,MATCH(Setup!$B$6*100+$D142,'Fixture Library'!$F$2:$F$200,0)),""))</f>
        <v/>
      </c>
      <c r="F142" s="30" t="str">
        <f>IF($B142="","",IFERROR(INDEX('Fixture Library'!$D$2:$D$200,MATCH(Setup!$B$6*100+$D142,'Fixture Library'!$F$2:$F$200,0)),""))</f>
        <v/>
      </c>
      <c r="G142" s="30" t="str">
        <f>IF($F142="","",INDEX(Teams!$E$2:$E$65,($B142-1)*8+$F142))</f>
        <v/>
      </c>
      <c r="H142" s="30" t="str">
        <f>IF($B142="","",IFERROR(INDEX('Fixture Library'!$E$2:$E$200,MATCH(Setup!$B$6*100+$D142,'Fixture Library'!$F$2:$F$200,0)),""))</f>
        <v/>
      </c>
      <c r="I142" s="30" t="str">
        <f>IF($H142="","",INDEX(Teams!$E$2:$E$65,($B142-1)*8+$H142))</f>
        <v/>
      </c>
      <c r="J142" s="34" t="str">
        <f>IF($G142="","",IFERROR(INDEX('Match Entry'!$F$5:$F$228,5+($B142-1)*Setup!$B$13+$D142-1-4),""))</f>
        <v/>
      </c>
      <c r="K142" s="35" t="str">
        <f>IF($G142="","",IFERROR(INDEX('Match Entry'!$G$5:$G$228,5+($B142-1)*Setup!$B$13+$D142-1-4),""))</f>
        <v/>
      </c>
      <c r="L142" s="34" t="str">
        <f>IF($G142="","",IFERROR(INDEX('Match Entry'!$H$5:$H$228,5+($B142-1)*Setup!$B$13+$D142-1-4),""))</f>
        <v/>
      </c>
      <c r="M142" s="35" t="str">
        <f>IF($G142="","",IFERROR(INDEX('Match Entry'!$I$5:$I$228,5+($B142-1)*Setup!$B$13+$D142-1-4),""))</f>
        <v/>
      </c>
      <c r="N142" s="34" t="str">
        <f>IF($G142="","",IFERROR(INDEX('Match Entry'!$J$5:$J$228,5+($B142-1)*Setup!$B$13+$D142-1-4),""))</f>
        <v/>
      </c>
      <c r="O142" s="35" t="str">
        <f>IF($G142="","",IFERROR(INDEX('Match Entry'!$K$5:$K$228,5+($B142-1)*Setup!$B$13+$D142-1-4),""))</f>
        <v/>
      </c>
      <c r="P142" s="34" t="str">
        <f>IF($G142="","",IFERROR(INDEX('Match Entry'!$L$5:$L$228,5+($B142-1)*Setup!$B$13+$D142-1-4),""))</f>
        <v/>
      </c>
      <c r="Q142" s="35" t="str">
        <f>IF($G142="","",IFERROR(INDEX('Match Entry'!$M$5:$M$228,5+($B142-1)*Setup!$B$13+$D142-1-4),""))</f>
        <v/>
      </c>
      <c r="R142" s="34" t="str">
        <f>IF($G142="","",IFERROR(INDEX('Match Entry'!$N$5:$N$228,5+($B142-1)*Setup!$B$13+$D142-1-4),""))</f>
        <v/>
      </c>
      <c r="S142" s="35" t="str">
        <f>IF($G142="","",IFERROR(INDEX('Match Entry'!$O$5:$O$228,5+($B142-1)*Setup!$B$13+$D142-1-4),""))</f>
        <v/>
      </c>
      <c r="T142" s="33" t="str">
        <f t="shared" si="22"/>
        <v/>
      </c>
      <c r="U142" s="33" t="str">
        <f t="shared" si="23"/>
        <v/>
      </c>
      <c r="V142" s="33" t="str">
        <f t="shared" si="24"/>
        <v/>
      </c>
      <c r="W142" s="33" t="str">
        <f t="shared" si="25"/>
        <v/>
      </c>
      <c r="X142" s="30" t="str">
        <f>IF(OR($G142="",$I142=""),"",IF(OR($T142&gt;=Setup!$B$8,$U142&gt;=Setup!$B$8),1,""))</f>
        <v/>
      </c>
      <c r="Y142" s="30" t="str">
        <f t="shared" si="26"/>
        <v/>
      </c>
      <c r="Z142" s="33" t="str">
        <f>IF($X142=1,IF($T142&gt;$U142,Setup!$B$9,Setup!$B$10),"")</f>
        <v/>
      </c>
      <c r="AA142" s="33" t="str">
        <f>IF($X142=1,IF($U142&gt;$T142,Setup!$B$9,Setup!$B$10),"")</f>
        <v/>
      </c>
      <c r="AB142" s="30" t="str">
        <f t="shared" si="27"/>
        <v/>
      </c>
      <c r="AC142" s="30" t="str">
        <f t="shared" si="28"/>
        <v/>
      </c>
      <c r="AD142" s="30" t="str">
        <f t="shared" si="29"/>
        <v/>
      </c>
    </row>
    <row r="143" spans="1:30">
      <c r="A143" s="29">
        <v>142</v>
      </c>
      <c r="B143" s="29" t="str">
        <f>IF(INT(($A143-1)/28)+1&lt;=Setup!$B$5,INT(($A143-1)/28)+1,"")</f>
        <v/>
      </c>
      <c r="C143" s="29" t="str">
        <f t="shared" si="20"/>
        <v/>
      </c>
      <c r="D143" s="29">
        <f t="shared" si="21"/>
        <v>2</v>
      </c>
      <c r="E143" s="29" t="str">
        <f>IF($B143="","",IFERROR(INDEX('Fixture Library'!$C$2:$C$200,MATCH(Setup!$B$6*100+$D143,'Fixture Library'!$F$2:$F$200,0)),""))</f>
        <v/>
      </c>
      <c r="F143" s="30" t="str">
        <f>IF($B143="","",IFERROR(INDEX('Fixture Library'!$D$2:$D$200,MATCH(Setup!$B$6*100+$D143,'Fixture Library'!$F$2:$F$200,0)),""))</f>
        <v/>
      </c>
      <c r="G143" s="30" t="str">
        <f>IF($F143="","",INDEX(Teams!$E$2:$E$65,($B143-1)*8+$F143))</f>
        <v/>
      </c>
      <c r="H143" s="30" t="str">
        <f>IF($B143="","",IFERROR(INDEX('Fixture Library'!$E$2:$E$200,MATCH(Setup!$B$6*100+$D143,'Fixture Library'!$F$2:$F$200,0)),""))</f>
        <v/>
      </c>
      <c r="I143" s="30" t="str">
        <f>IF($H143="","",INDEX(Teams!$E$2:$E$65,($B143-1)*8+$H143))</f>
        <v/>
      </c>
      <c r="J143" s="34" t="str">
        <f>IF($G143="","",IFERROR(INDEX('Match Entry'!$F$5:$F$228,5+($B143-1)*Setup!$B$13+$D143-1-4),""))</f>
        <v/>
      </c>
      <c r="K143" s="35" t="str">
        <f>IF($G143="","",IFERROR(INDEX('Match Entry'!$G$5:$G$228,5+($B143-1)*Setup!$B$13+$D143-1-4),""))</f>
        <v/>
      </c>
      <c r="L143" s="34" t="str">
        <f>IF($G143="","",IFERROR(INDEX('Match Entry'!$H$5:$H$228,5+($B143-1)*Setup!$B$13+$D143-1-4),""))</f>
        <v/>
      </c>
      <c r="M143" s="35" t="str">
        <f>IF($G143="","",IFERROR(INDEX('Match Entry'!$I$5:$I$228,5+($B143-1)*Setup!$B$13+$D143-1-4),""))</f>
        <v/>
      </c>
      <c r="N143" s="34" t="str">
        <f>IF($G143="","",IFERROR(INDEX('Match Entry'!$J$5:$J$228,5+($B143-1)*Setup!$B$13+$D143-1-4),""))</f>
        <v/>
      </c>
      <c r="O143" s="35" t="str">
        <f>IF($G143="","",IFERROR(INDEX('Match Entry'!$K$5:$K$228,5+($B143-1)*Setup!$B$13+$D143-1-4),""))</f>
        <v/>
      </c>
      <c r="P143" s="34" t="str">
        <f>IF($G143="","",IFERROR(INDEX('Match Entry'!$L$5:$L$228,5+($B143-1)*Setup!$B$13+$D143-1-4),""))</f>
        <v/>
      </c>
      <c r="Q143" s="35" t="str">
        <f>IF($G143="","",IFERROR(INDEX('Match Entry'!$M$5:$M$228,5+($B143-1)*Setup!$B$13+$D143-1-4),""))</f>
        <v/>
      </c>
      <c r="R143" s="34" t="str">
        <f>IF($G143="","",IFERROR(INDEX('Match Entry'!$N$5:$N$228,5+($B143-1)*Setup!$B$13+$D143-1-4),""))</f>
        <v/>
      </c>
      <c r="S143" s="35" t="str">
        <f>IF($G143="","",IFERROR(INDEX('Match Entry'!$O$5:$O$228,5+($B143-1)*Setup!$B$13+$D143-1-4),""))</f>
        <v/>
      </c>
      <c r="T143" s="33" t="str">
        <f t="shared" si="22"/>
        <v/>
      </c>
      <c r="U143" s="33" t="str">
        <f t="shared" si="23"/>
        <v/>
      </c>
      <c r="V143" s="33" t="str">
        <f t="shared" si="24"/>
        <v/>
      </c>
      <c r="W143" s="33" t="str">
        <f t="shared" si="25"/>
        <v/>
      </c>
      <c r="X143" s="30" t="str">
        <f>IF(OR($G143="",$I143=""),"",IF(OR($T143&gt;=Setup!$B$8,$U143&gt;=Setup!$B$8),1,""))</f>
        <v/>
      </c>
      <c r="Y143" s="30" t="str">
        <f t="shared" si="26"/>
        <v/>
      </c>
      <c r="Z143" s="33" t="str">
        <f>IF($X143=1,IF($T143&gt;$U143,Setup!$B$9,Setup!$B$10),"")</f>
        <v/>
      </c>
      <c r="AA143" s="33" t="str">
        <f>IF($X143=1,IF($U143&gt;$T143,Setup!$B$9,Setup!$B$10),"")</f>
        <v/>
      </c>
      <c r="AB143" s="30" t="str">
        <f t="shared" si="27"/>
        <v/>
      </c>
      <c r="AC143" s="30" t="str">
        <f t="shared" si="28"/>
        <v/>
      </c>
      <c r="AD143" s="30" t="str">
        <f t="shared" si="29"/>
        <v/>
      </c>
    </row>
    <row r="144" spans="1:30">
      <c r="A144" s="29">
        <v>143</v>
      </c>
      <c r="B144" s="29" t="str">
        <f>IF(INT(($A144-1)/28)+1&lt;=Setup!$B$5,INT(($A144-1)/28)+1,"")</f>
        <v/>
      </c>
      <c r="C144" s="29" t="str">
        <f t="shared" si="20"/>
        <v/>
      </c>
      <c r="D144" s="29">
        <f t="shared" si="21"/>
        <v>3</v>
      </c>
      <c r="E144" s="29" t="str">
        <f>IF($B144="","",IFERROR(INDEX('Fixture Library'!$C$2:$C$200,MATCH(Setup!$B$6*100+$D144,'Fixture Library'!$F$2:$F$200,0)),""))</f>
        <v/>
      </c>
      <c r="F144" s="30" t="str">
        <f>IF($B144="","",IFERROR(INDEX('Fixture Library'!$D$2:$D$200,MATCH(Setup!$B$6*100+$D144,'Fixture Library'!$F$2:$F$200,0)),""))</f>
        <v/>
      </c>
      <c r="G144" s="30" t="str">
        <f>IF($F144="","",INDEX(Teams!$E$2:$E$65,($B144-1)*8+$F144))</f>
        <v/>
      </c>
      <c r="H144" s="30" t="str">
        <f>IF($B144="","",IFERROR(INDEX('Fixture Library'!$E$2:$E$200,MATCH(Setup!$B$6*100+$D144,'Fixture Library'!$F$2:$F$200,0)),""))</f>
        <v/>
      </c>
      <c r="I144" s="30" t="str">
        <f>IF($H144="","",INDEX(Teams!$E$2:$E$65,($B144-1)*8+$H144))</f>
        <v/>
      </c>
      <c r="J144" s="34" t="str">
        <f>IF($G144="","",IFERROR(INDEX('Match Entry'!$F$5:$F$228,5+($B144-1)*Setup!$B$13+$D144-1-4),""))</f>
        <v/>
      </c>
      <c r="K144" s="35" t="str">
        <f>IF($G144="","",IFERROR(INDEX('Match Entry'!$G$5:$G$228,5+($B144-1)*Setup!$B$13+$D144-1-4),""))</f>
        <v/>
      </c>
      <c r="L144" s="34" t="str">
        <f>IF($G144="","",IFERROR(INDEX('Match Entry'!$H$5:$H$228,5+($B144-1)*Setup!$B$13+$D144-1-4),""))</f>
        <v/>
      </c>
      <c r="M144" s="35" t="str">
        <f>IF($G144="","",IFERROR(INDEX('Match Entry'!$I$5:$I$228,5+($B144-1)*Setup!$B$13+$D144-1-4),""))</f>
        <v/>
      </c>
      <c r="N144" s="34" t="str">
        <f>IF($G144="","",IFERROR(INDEX('Match Entry'!$J$5:$J$228,5+($B144-1)*Setup!$B$13+$D144-1-4),""))</f>
        <v/>
      </c>
      <c r="O144" s="35" t="str">
        <f>IF($G144="","",IFERROR(INDEX('Match Entry'!$K$5:$K$228,5+($B144-1)*Setup!$B$13+$D144-1-4),""))</f>
        <v/>
      </c>
      <c r="P144" s="34" t="str">
        <f>IF($G144="","",IFERROR(INDEX('Match Entry'!$L$5:$L$228,5+($B144-1)*Setup!$B$13+$D144-1-4),""))</f>
        <v/>
      </c>
      <c r="Q144" s="35" t="str">
        <f>IF($G144="","",IFERROR(INDEX('Match Entry'!$M$5:$M$228,5+($B144-1)*Setup!$B$13+$D144-1-4),""))</f>
        <v/>
      </c>
      <c r="R144" s="34" t="str">
        <f>IF($G144="","",IFERROR(INDEX('Match Entry'!$N$5:$N$228,5+($B144-1)*Setup!$B$13+$D144-1-4),""))</f>
        <v/>
      </c>
      <c r="S144" s="35" t="str">
        <f>IF($G144="","",IFERROR(INDEX('Match Entry'!$O$5:$O$228,5+($B144-1)*Setup!$B$13+$D144-1-4),""))</f>
        <v/>
      </c>
      <c r="T144" s="33" t="str">
        <f t="shared" si="22"/>
        <v/>
      </c>
      <c r="U144" s="33" t="str">
        <f t="shared" si="23"/>
        <v/>
      </c>
      <c r="V144" s="33" t="str">
        <f t="shared" si="24"/>
        <v/>
      </c>
      <c r="W144" s="33" t="str">
        <f t="shared" si="25"/>
        <v/>
      </c>
      <c r="X144" s="30" t="str">
        <f>IF(OR($G144="",$I144=""),"",IF(OR($T144&gt;=Setup!$B$8,$U144&gt;=Setup!$B$8),1,""))</f>
        <v/>
      </c>
      <c r="Y144" s="30" t="str">
        <f t="shared" si="26"/>
        <v/>
      </c>
      <c r="Z144" s="33" t="str">
        <f>IF($X144=1,IF($T144&gt;$U144,Setup!$B$9,Setup!$B$10),"")</f>
        <v/>
      </c>
      <c r="AA144" s="33" t="str">
        <f>IF($X144=1,IF($U144&gt;$T144,Setup!$B$9,Setup!$B$10),"")</f>
        <v/>
      </c>
      <c r="AB144" s="30" t="str">
        <f t="shared" si="27"/>
        <v/>
      </c>
      <c r="AC144" s="30" t="str">
        <f t="shared" si="28"/>
        <v/>
      </c>
      <c r="AD144" s="30" t="str">
        <f t="shared" si="29"/>
        <v/>
      </c>
    </row>
    <row r="145" spans="1:30">
      <c r="A145" s="29">
        <v>144</v>
      </c>
      <c r="B145" s="29" t="str">
        <f>IF(INT(($A145-1)/28)+1&lt;=Setup!$B$5,INT(($A145-1)/28)+1,"")</f>
        <v/>
      </c>
      <c r="C145" s="29" t="str">
        <f t="shared" si="20"/>
        <v/>
      </c>
      <c r="D145" s="29">
        <f t="shared" si="21"/>
        <v>4</v>
      </c>
      <c r="E145" s="29" t="str">
        <f>IF($B145="","",IFERROR(INDEX('Fixture Library'!$C$2:$C$200,MATCH(Setup!$B$6*100+$D145,'Fixture Library'!$F$2:$F$200,0)),""))</f>
        <v/>
      </c>
      <c r="F145" s="30" t="str">
        <f>IF($B145="","",IFERROR(INDEX('Fixture Library'!$D$2:$D$200,MATCH(Setup!$B$6*100+$D145,'Fixture Library'!$F$2:$F$200,0)),""))</f>
        <v/>
      </c>
      <c r="G145" s="30" t="str">
        <f>IF($F145="","",INDEX(Teams!$E$2:$E$65,($B145-1)*8+$F145))</f>
        <v/>
      </c>
      <c r="H145" s="30" t="str">
        <f>IF($B145="","",IFERROR(INDEX('Fixture Library'!$E$2:$E$200,MATCH(Setup!$B$6*100+$D145,'Fixture Library'!$F$2:$F$200,0)),""))</f>
        <v/>
      </c>
      <c r="I145" s="30" t="str">
        <f>IF($H145="","",INDEX(Teams!$E$2:$E$65,($B145-1)*8+$H145))</f>
        <v/>
      </c>
      <c r="J145" s="34" t="str">
        <f>IF($G145="","",IFERROR(INDEX('Match Entry'!$F$5:$F$228,5+($B145-1)*Setup!$B$13+$D145-1-4),""))</f>
        <v/>
      </c>
      <c r="K145" s="35" t="str">
        <f>IF($G145="","",IFERROR(INDEX('Match Entry'!$G$5:$G$228,5+($B145-1)*Setup!$B$13+$D145-1-4),""))</f>
        <v/>
      </c>
      <c r="L145" s="34" t="str">
        <f>IF($G145="","",IFERROR(INDEX('Match Entry'!$H$5:$H$228,5+($B145-1)*Setup!$B$13+$D145-1-4),""))</f>
        <v/>
      </c>
      <c r="M145" s="35" t="str">
        <f>IF($G145="","",IFERROR(INDEX('Match Entry'!$I$5:$I$228,5+($B145-1)*Setup!$B$13+$D145-1-4),""))</f>
        <v/>
      </c>
      <c r="N145" s="34" t="str">
        <f>IF($G145="","",IFERROR(INDEX('Match Entry'!$J$5:$J$228,5+($B145-1)*Setup!$B$13+$D145-1-4),""))</f>
        <v/>
      </c>
      <c r="O145" s="35" t="str">
        <f>IF($G145="","",IFERROR(INDEX('Match Entry'!$K$5:$K$228,5+($B145-1)*Setup!$B$13+$D145-1-4),""))</f>
        <v/>
      </c>
      <c r="P145" s="34" t="str">
        <f>IF($G145="","",IFERROR(INDEX('Match Entry'!$L$5:$L$228,5+($B145-1)*Setup!$B$13+$D145-1-4),""))</f>
        <v/>
      </c>
      <c r="Q145" s="35" t="str">
        <f>IF($G145="","",IFERROR(INDEX('Match Entry'!$M$5:$M$228,5+($B145-1)*Setup!$B$13+$D145-1-4),""))</f>
        <v/>
      </c>
      <c r="R145" s="34" t="str">
        <f>IF($G145="","",IFERROR(INDEX('Match Entry'!$N$5:$N$228,5+($B145-1)*Setup!$B$13+$D145-1-4),""))</f>
        <v/>
      </c>
      <c r="S145" s="35" t="str">
        <f>IF($G145="","",IFERROR(INDEX('Match Entry'!$O$5:$O$228,5+($B145-1)*Setup!$B$13+$D145-1-4),""))</f>
        <v/>
      </c>
      <c r="T145" s="33" t="str">
        <f t="shared" si="22"/>
        <v/>
      </c>
      <c r="U145" s="33" t="str">
        <f t="shared" si="23"/>
        <v/>
      </c>
      <c r="V145" s="33" t="str">
        <f t="shared" si="24"/>
        <v/>
      </c>
      <c r="W145" s="33" t="str">
        <f t="shared" si="25"/>
        <v/>
      </c>
      <c r="X145" s="30" t="str">
        <f>IF(OR($G145="",$I145=""),"",IF(OR($T145&gt;=Setup!$B$8,$U145&gt;=Setup!$B$8),1,""))</f>
        <v/>
      </c>
      <c r="Y145" s="30" t="str">
        <f t="shared" si="26"/>
        <v/>
      </c>
      <c r="Z145" s="33" t="str">
        <f>IF($X145=1,IF($T145&gt;$U145,Setup!$B$9,Setup!$B$10),"")</f>
        <v/>
      </c>
      <c r="AA145" s="33" t="str">
        <f>IF($X145=1,IF($U145&gt;$T145,Setup!$B$9,Setup!$B$10),"")</f>
        <v/>
      </c>
      <c r="AB145" s="30" t="str">
        <f t="shared" si="27"/>
        <v/>
      </c>
      <c r="AC145" s="30" t="str">
        <f t="shared" si="28"/>
        <v/>
      </c>
      <c r="AD145" s="30" t="str">
        <f t="shared" si="29"/>
        <v/>
      </c>
    </row>
    <row r="146" spans="1:30">
      <c r="A146" s="29">
        <v>145</v>
      </c>
      <c r="B146" s="29" t="str">
        <f>IF(INT(($A146-1)/28)+1&lt;=Setup!$B$5,INT(($A146-1)/28)+1,"")</f>
        <v/>
      </c>
      <c r="C146" s="29" t="str">
        <f t="shared" si="20"/>
        <v/>
      </c>
      <c r="D146" s="29">
        <f t="shared" si="21"/>
        <v>5</v>
      </c>
      <c r="E146" s="29" t="str">
        <f>IF($B146="","",IFERROR(INDEX('Fixture Library'!$C$2:$C$200,MATCH(Setup!$B$6*100+$D146,'Fixture Library'!$F$2:$F$200,0)),""))</f>
        <v/>
      </c>
      <c r="F146" s="30" t="str">
        <f>IF($B146="","",IFERROR(INDEX('Fixture Library'!$D$2:$D$200,MATCH(Setup!$B$6*100+$D146,'Fixture Library'!$F$2:$F$200,0)),""))</f>
        <v/>
      </c>
      <c r="G146" s="30" t="str">
        <f>IF($F146="","",INDEX(Teams!$E$2:$E$65,($B146-1)*8+$F146))</f>
        <v/>
      </c>
      <c r="H146" s="30" t="str">
        <f>IF($B146="","",IFERROR(INDEX('Fixture Library'!$E$2:$E$200,MATCH(Setup!$B$6*100+$D146,'Fixture Library'!$F$2:$F$200,0)),""))</f>
        <v/>
      </c>
      <c r="I146" s="30" t="str">
        <f>IF($H146="","",INDEX(Teams!$E$2:$E$65,($B146-1)*8+$H146))</f>
        <v/>
      </c>
      <c r="J146" s="34" t="str">
        <f>IF($G146="","",IFERROR(INDEX('Match Entry'!$F$5:$F$228,5+($B146-1)*Setup!$B$13+$D146-1-4),""))</f>
        <v/>
      </c>
      <c r="K146" s="35" t="str">
        <f>IF($G146="","",IFERROR(INDEX('Match Entry'!$G$5:$G$228,5+($B146-1)*Setup!$B$13+$D146-1-4),""))</f>
        <v/>
      </c>
      <c r="L146" s="34" t="str">
        <f>IF($G146="","",IFERROR(INDEX('Match Entry'!$H$5:$H$228,5+($B146-1)*Setup!$B$13+$D146-1-4),""))</f>
        <v/>
      </c>
      <c r="M146" s="35" t="str">
        <f>IF($G146="","",IFERROR(INDEX('Match Entry'!$I$5:$I$228,5+($B146-1)*Setup!$B$13+$D146-1-4),""))</f>
        <v/>
      </c>
      <c r="N146" s="34" t="str">
        <f>IF($G146="","",IFERROR(INDEX('Match Entry'!$J$5:$J$228,5+($B146-1)*Setup!$B$13+$D146-1-4),""))</f>
        <v/>
      </c>
      <c r="O146" s="35" t="str">
        <f>IF($G146="","",IFERROR(INDEX('Match Entry'!$K$5:$K$228,5+($B146-1)*Setup!$B$13+$D146-1-4),""))</f>
        <v/>
      </c>
      <c r="P146" s="34" t="str">
        <f>IF($G146="","",IFERROR(INDEX('Match Entry'!$L$5:$L$228,5+($B146-1)*Setup!$B$13+$D146-1-4),""))</f>
        <v/>
      </c>
      <c r="Q146" s="35" t="str">
        <f>IF($G146="","",IFERROR(INDEX('Match Entry'!$M$5:$M$228,5+($B146-1)*Setup!$B$13+$D146-1-4),""))</f>
        <v/>
      </c>
      <c r="R146" s="34" t="str">
        <f>IF($G146="","",IFERROR(INDEX('Match Entry'!$N$5:$N$228,5+($B146-1)*Setup!$B$13+$D146-1-4),""))</f>
        <v/>
      </c>
      <c r="S146" s="35" t="str">
        <f>IF($G146="","",IFERROR(INDEX('Match Entry'!$O$5:$O$228,5+($B146-1)*Setup!$B$13+$D146-1-4),""))</f>
        <v/>
      </c>
      <c r="T146" s="33" t="str">
        <f t="shared" si="22"/>
        <v/>
      </c>
      <c r="U146" s="33" t="str">
        <f t="shared" si="23"/>
        <v/>
      </c>
      <c r="V146" s="33" t="str">
        <f t="shared" si="24"/>
        <v/>
      </c>
      <c r="W146" s="33" t="str">
        <f t="shared" si="25"/>
        <v/>
      </c>
      <c r="X146" s="30" t="str">
        <f>IF(OR($G146="",$I146=""),"",IF(OR($T146&gt;=Setup!$B$8,$U146&gt;=Setup!$B$8),1,""))</f>
        <v/>
      </c>
      <c r="Y146" s="30" t="str">
        <f t="shared" si="26"/>
        <v/>
      </c>
      <c r="Z146" s="33" t="str">
        <f>IF($X146=1,IF($T146&gt;$U146,Setup!$B$9,Setup!$B$10),"")</f>
        <v/>
      </c>
      <c r="AA146" s="33" t="str">
        <f>IF($X146=1,IF($U146&gt;$T146,Setup!$B$9,Setup!$B$10),"")</f>
        <v/>
      </c>
      <c r="AB146" s="30" t="str">
        <f t="shared" si="27"/>
        <v/>
      </c>
      <c r="AC146" s="30" t="str">
        <f t="shared" si="28"/>
        <v/>
      </c>
      <c r="AD146" s="30" t="str">
        <f t="shared" si="29"/>
        <v/>
      </c>
    </row>
    <row r="147" spans="1:30">
      <c r="A147" s="29">
        <v>146</v>
      </c>
      <c r="B147" s="29" t="str">
        <f>IF(INT(($A147-1)/28)+1&lt;=Setup!$B$5,INT(($A147-1)/28)+1,"")</f>
        <v/>
      </c>
      <c r="C147" s="29" t="str">
        <f t="shared" si="20"/>
        <v/>
      </c>
      <c r="D147" s="29">
        <f t="shared" si="21"/>
        <v>6</v>
      </c>
      <c r="E147" s="29" t="str">
        <f>IF($B147="","",IFERROR(INDEX('Fixture Library'!$C$2:$C$200,MATCH(Setup!$B$6*100+$D147,'Fixture Library'!$F$2:$F$200,0)),""))</f>
        <v/>
      </c>
      <c r="F147" s="30" t="str">
        <f>IF($B147="","",IFERROR(INDEX('Fixture Library'!$D$2:$D$200,MATCH(Setup!$B$6*100+$D147,'Fixture Library'!$F$2:$F$200,0)),""))</f>
        <v/>
      </c>
      <c r="G147" s="30" t="str">
        <f>IF($F147="","",INDEX(Teams!$E$2:$E$65,($B147-1)*8+$F147))</f>
        <v/>
      </c>
      <c r="H147" s="30" t="str">
        <f>IF($B147="","",IFERROR(INDEX('Fixture Library'!$E$2:$E$200,MATCH(Setup!$B$6*100+$D147,'Fixture Library'!$F$2:$F$200,0)),""))</f>
        <v/>
      </c>
      <c r="I147" s="30" t="str">
        <f>IF($H147="","",INDEX(Teams!$E$2:$E$65,($B147-1)*8+$H147))</f>
        <v/>
      </c>
      <c r="J147" s="34" t="str">
        <f>IF($G147="","",IFERROR(INDEX('Match Entry'!$F$5:$F$228,5+($B147-1)*Setup!$B$13+$D147-1-4),""))</f>
        <v/>
      </c>
      <c r="K147" s="35" t="str">
        <f>IF($G147="","",IFERROR(INDEX('Match Entry'!$G$5:$G$228,5+($B147-1)*Setup!$B$13+$D147-1-4),""))</f>
        <v/>
      </c>
      <c r="L147" s="34" t="str">
        <f>IF($G147="","",IFERROR(INDEX('Match Entry'!$H$5:$H$228,5+($B147-1)*Setup!$B$13+$D147-1-4),""))</f>
        <v/>
      </c>
      <c r="M147" s="35" t="str">
        <f>IF($G147="","",IFERROR(INDEX('Match Entry'!$I$5:$I$228,5+($B147-1)*Setup!$B$13+$D147-1-4),""))</f>
        <v/>
      </c>
      <c r="N147" s="34" t="str">
        <f>IF($G147="","",IFERROR(INDEX('Match Entry'!$J$5:$J$228,5+($B147-1)*Setup!$B$13+$D147-1-4),""))</f>
        <v/>
      </c>
      <c r="O147" s="35" t="str">
        <f>IF($G147="","",IFERROR(INDEX('Match Entry'!$K$5:$K$228,5+($B147-1)*Setup!$B$13+$D147-1-4),""))</f>
        <v/>
      </c>
      <c r="P147" s="34" t="str">
        <f>IF($G147="","",IFERROR(INDEX('Match Entry'!$L$5:$L$228,5+($B147-1)*Setup!$B$13+$D147-1-4),""))</f>
        <v/>
      </c>
      <c r="Q147" s="35" t="str">
        <f>IF($G147="","",IFERROR(INDEX('Match Entry'!$M$5:$M$228,5+($B147-1)*Setup!$B$13+$D147-1-4),""))</f>
        <v/>
      </c>
      <c r="R147" s="34" t="str">
        <f>IF($G147="","",IFERROR(INDEX('Match Entry'!$N$5:$N$228,5+($B147-1)*Setup!$B$13+$D147-1-4),""))</f>
        <v/>
      </c>
      <c r="S147" s="35" t="str">
        <f>IF($G147="","",IFERROR(INDEX('Match Entry'!$O$5:$O$228,5+($B147-1)*Setup!$B$13+$D147-1-4),""))</f>
        <v/>
      </c>
      <c r="T147" s="33" t="str">
        <f t="shared" si="22"/>
        <v/>
      </c>
      <c r="U147" s="33" t="str">
        <f t="shared" si="23"/>
        <v/>
      </c>
      <c r="V147" s="33" t="str">
        <f t="shared" si="24"/>
        <v/>
      </c>
      <c r="W147" s="33" t="str">
        <f t="shared" si="25"/>
        <v/>
      </c>
      <c r="X147" s="30" t="str">
        <f>IF(OR($G147="",$I147=""),"",IF(OR($T147&gt;=Setup!$B$8,$U147&gt;=Setup!$B$8),1,""))</f>
        <v/>
      </c>
      <c r="Y147" s="30" t="str">
        <f t="shared" si="26"/>
        <v/>
      </c>
      <c r="Z147" s="33" t="str">
        <f>IF($X147=1,IF($T147&gt;$U147,Setup!$B$9,Setup!$B$10),"")</f>
        <v/>
      </c>
      <c r="AA147" s="33" t="str">
        <f>IF($X147=1,IF($U147&gt;$T147,Setup!$B$9,Setup!$B$10),"")</f>
        <v/>
      </c>
      <c r="AB147" s="30" t="str">
        <f t="shared" si="27"/>
        <v/>
      </c>
      <c r="AC147" s="30" t="str">
        <f t="shared" si="28"/>
        <v/>
      </c>
      <c r="AD147" s="30" t="str">
        <f t="shared" si="29"/>
        <v/>
      </c>
    </row>
    <row r="148" spans="1:30">
      <c r="A148" s="29">
        <v>147</v>
      </c>
      <c r="B148" s="29" t="str">
        <f>IF(INT(($A148-1)/28)+1&lt;=Setup!$B$5,INT(($A148-1)/28)+1,"")</f>
        <v/>
      </c>
      <c r="C148" s="29" t="str">
        <f t="shared" si="20"/>
        <v/>
      </c>
      <c r="D148" s="29">
        <f t="shared" si="21"/>
        <v>7</v>
      </c>
      <c r="E148" s="29" t="str">
        <f>IF($B148="","",IFERROR(INDEX('Fixture Library'!$C$2:$C$200,MATCH(Setup!$B$6*100+$D148,'Fixture Library'!$F$2:$F$200,0)),""))</f>
        <v/>
      </c>
      <c r="F148" s="30" t="str">
        <f>IF($B148="","",IFERROR(INDEX('Fixture Library'!$D$2:$D$200,MATCH(Setup!$B$6*100+$D148,'Fixture Library'!$F$2:$F$200,0)),""))</f>
        <v/>
      </c>
      <c r="G148" s="30" t="str">
        <f>IF($F148="","",INDEX(Teams!$E$2:$E$65,($B148-1)*8+$F148))</f>
        <v/>
      </c>
      <c r="H148" s="30" t="str">
        <f>IF($B148="","",IFERROR(INDEX('Fixture Library'!$E$2:$E$200,MATCH(Setup!$B$6*100+$D148,'Fixture Library'!$F$2:$F$200,0)),""))</f>
        <v/>
      </c>
      <c r="I148" s="30" t="str">
        <f>IF($H148="","",INDEX(Teams!$E$2:$E$65,($B148-1)*8+$H148))</f>
        <v/>
      </c>
      <c r="J148" s="34" t="str">
        <f>IF($G148="","",IFERROR(INDEX('Match Entry'!$F$5:$F$228,5+($B148-1)*Setup!$B$13+$D148-1-4),""))</f>
        <v/>
      </c>
      <c r="K148" s="35" t="str">
        <f>IF($G148="","",IFERROR(INDEX('Match Entry'!$G$5:$G$228,5+($B148-1)*Setup!$B$13+$D148-1-4),""))</f>
        <v/>
      </c>
      <c r="L148" s="34" t="str">
        <f>IF($G148="","",IFERROR(INDEX('Match Entry'!$H$5:$H$228,5+($B148-1)*Setup!$B$13+$D148-1-4),""))</f>
        <v/>
      </c>
      <c r="M148" s="35" t="str">
        <f>IF($G148="","",IFERROR(INDEX('Match Entry'!$I$5:$I$228,5+($B148-1)*Setup!$B$13+$D148-1-4),""))</f>
        <v/>
      </c>
      <c r="N148" s="34" t="str">
        <f>IF($G148="","",IFERROR(INDEX('Match Entry'!$J$5:$J$228,5+($B148-1)*Setup!$B$13+$D148-1-4),""))</f>
        <v/>
      </c>
      <c r="O148" s="35" t="str">
        <f>IF($G148="","",IFERROR(INDEX('Match Entry'!$K$5:$K$228,5+($B148-1)*Setup!$B$13+$D148-1-4),""))</f>
        <v/>
      </c>
      <c r="P148" s="34" t="str">
        <f>IF($G148="","",IFERROR(INDEX('Match Entry'!$L$5:$L$228,5+($B148-1)*Setup!$B$13+$D148-1-4),""))</f>
        <v/>
      </c>
      <c r="Q148" s="35" t="str">
        <f>IF($G148="","",IFERROR(INDEX('Match Entry'!$M$5:$M$228,5+($B148-1)*Setup!$B$13+$D148-1-4),""))</f>
        <v/>
      </c>
      <c r="R148" s="34" t="str">
        <f>IF($G148="","",IFERROR(INDEX('Match Entry'!$N$5:$N$228,5+($B148-1)*Setup!$B$13+$D148-1-4),""))</f>
        <v/>
      </c>
      <c r="S148" s="35" t="str">
        <f>IF($G148="","",IFERROR(INDEX('Match Entry'!$O$5:$O$228,5+($B148-1)*Setup!$B$13+$D148-1-4),""))</f>
        <v/>
      </c>
      <c r="T148" s="33" t="str">
        <f t="shared" si="22"/>
        <v/>
      </c>
      <c r="U148" s="33" t="str">
        <f t="shared" si="23"/>
        <v/>
      </c>
      <c r="V148" s="33" t="str">
        <f t="shared" si="24"/>
        <v/>
      </c>
      <c r="W148" s="33" t="str">
        <f t="shared" si="25"/>
        <v/>
      </c>
      <c r="X148" s="30" t="str">
        <f>IF(OR($G148="",$I148=""),"",IF(OR($T148&gt;=Setup!$B$8,$U148&gt;=Setup!$B$8),1,""))</f>
        <v/>
      </c>
      <c r="Y148" s="30" t="str">
        <f t="shared" si="26"/>
        <v/>
      </c>
      <c r="Z148" s="33" t="str">
        <f>IF($X148=1,IF($T148&gt;$U148,Setup!$B$9,Setup!$B$10),"")</f>
        <v/>
      </c>
      <c r="AA148" s="33" t="str">
        <f>IF($X148=1,IF($U148&gt;$T148,Setup!$B$9,Setup!$B$10),"")</f>
        <v/>
      </c>
      <c r="AB148" s="30" t="str">
        <f t="shared" si="27"/>
        <v/>
      </c>
      <c r="AC148" s="30" t="str">
        <f t="shared" si="28"/>
        <v/>
      </c>
      <c r="AD148" s="30" t="str">
        <f t="shared" si="29"/>
        <v/>
      </c>
    </row>
    <row r="149" spans="1:30">
      <c r="A149" s="29">
        <v>148</v>
      </c>
      <c r="B149" s="29" t="str">
        <f>IF(INT(($A149-1)/28)+1&lt;=Setup!$B$5,INT(($A149-1)/28)+1,"")</f>
        <v/>
      </c>
      <c r="C149" s="29" t="str">
        <f t="shared" si="20"/>
        <v/>
      </c>
      <c r="D149" s="29">
        <f t="shared" si="21"/>
        <v>8</v>
      </c>
      <c r="E149" s="29" t="str">
        <f>IF($B149="","",IFERROR(INDEX('Fixture Library'!$C$2:$C$200,MATCH(Setup!$B$6*100+$D149,'Fixture Library'!$F$2:$F$200,0)),""))</f>
        <v/>
      </c>
      <c r="F149" s="30" t="str">
        <f>IF($B149="","",IFERROR(INDEX('Fixture Library'!$D$2:$D$200,MATCH(Setup!$B$6*100+$D149,'Fixture Library'!$F$2:$F$200,0)),""))</f>
        <v/>
      </c>
      <c r="G149" s="30" t="str">
        <f>IF($F149="","",INDEX(Teams!$E$2:$E$65,($B149-1)*8+$F149))</f>
        <v/>
      </c>
      <c r="H149" s="30" t="str">
        <f>IF($B149="","",IFERROR(INDEX('Fixture Library'!$E$2:$E$200,MATCH(Setup!$B$6*100+$D149,'Fixture Library'!$F$2:$F$200,0)),""))</f>
        <v/>
      </c>
      <c r="I149" s="30" t="str">
        <f>IF($H149="","",INDEX(Teams!$E$2:$E$65,($B149-1)*8+$H149))</f>
        <v/>
      </c>
      <c r="J149" s="34" t="str">
        <f>IF($G149="","",IFERROR(INDEX('Match Entry'!$F$5:$F$228,5+($B149-1)*Setup!$B$13+$D149-1-4),""))</f>
        <v/>
      </c>
      <c r="K149" s="35" t="str">
        <f>IF($G149="","",IFERROR(INDEX('Match Entry'!$G$5:$G$228,5+($B149-1)*Setup!$B$13+$D149-1-4),""))</f>
        <v/>
      </c>
      <c r="L149" s="34" t="str">
        <f>IF($G149="","",IFERROR(INDEX('Match Entry'!$H$5:$H$228,5+($B149-1)*Setup!$B$13+$D149-1-4),""))</f>
        <v/>
      </c>
      <c r="M149" s="35" t="str">
        <f>IF($G149="","",IFERROR(INDEX('Match Entry'!$I$5:$I$228,5+($B149-1)*Setup!$B$13+$D149-1-4),""))</f>
        <v/>
      </c>
      <c r="N149" s="34" t="str">
        <f>IF($G149="","",IFERROR(INDEX('Match Entry'!$J$5:$J$228,5+($B149-1)*Setup!$B$13+$D149-1-4),""))</f>
        <v/>
      </c>
      <c r="O149" s="35" t="str">
        <f>IF($G149="","",IFERROR(INDEX('Match Entry'!$K$5:$K$228,5+($B149-1)*Setup!$B$13+$D149-1-4),""))</f>
        <v/>
      </c>
      <c r="P149" s="34" t="str">
        <f>IF($G149="","",IFERROR(INDEX('Match Entry'!$L$5:$L$228,5+($B149-1)*Setup!$B$13+$D149-1-4),""))</f>
        <v/>
      </c>
      <c r="Q149" s="35" t="str">
        <f>IF($G149="","",IFERROR(INDEX('Match Entry'!$M$5:$M$228,5+($B149-1)*Setup!$B$13+$D149-1-4),""))</f>
        <v/>
      </c>
      <c r="R149" s="34" t="str">
        <f>IF($G149="","",IFERROR(INDEX('Match Entry'!$N$5:$N$228,5+($B149-1)*Setup!$B$13+$D149-1-4),""))</f>
        <v/>
      </c>
      <c r="S149" s="35" t="str">
        <f>IF($G149="","",IFERROR(INDEX('Match Entry'!$O$5:$O$228,5+($B149-1)*Setup!$B$13+$D149-1-4),""))</f>
        <v/>
      </c>
      <c r="T149" s="33" t="str">
        <f t="shared" si="22"/>
        <v/>
      </c>
      <c r="U149" s="33" t="str">
        <f t="shared" si="23"/>
        <v/>
      </c>
      <c r="V149" s="33" t="str">
        <f t="shared" si="24"/>
        <v/>
      </c>
      <c r="W149" s="33" t="str">
        <f t="shared" si="25"/>
        <v/>
      </c>
      <c r="X149" s="30" t="str">
        <f>IF(OR($G149="",$I149=""),"",IF(OR($T149&gt;=Setup!$B$8,$U149&gt;=Setup!$B$8),1,""))</f>
        <v/>
      </c>
      <c r="Y149" s="30" t="str">
        <f t="shared" si="26"/>
        <v/>
      </c>
      <c r="Z149" s="33" t="str">
        <f>IF($X149=1,IF($T149&gt;$U149,Setup!$B$9,Setup!$B$10),"")</f>
        <v/>
      </c>
      <c r="AA149" s="33" t="str">
        <f>IF($X149=1,IF($U149&gt;$T149,Setup!$B$9,Setup!$B$10),"")</f>
        <v/>
      </c>
      <c r="AB149" s="30" t="str">
        <f t="shared" si="27"/>
        <v/>
      </c>
      <c r="AC149" s="30" t="str">
        <f t="shared" si="28"/>
        <v/>
      </c>
      <c r="AD149" s="30" t="str">
        <f t="shared" si="29"/>
        <v/>
      </c>
    </row>
    <row r="150" spans="1:30">
      <c r="A150" s="29">
        <v>149</v>
      </c>
      <c r="B150" s="29" t="str">
        <f>IF(INT(($A150-1)/28)+1&lt;=Setup!$B$5,INT(($A150-1)/28)+1,"")</f>
        <v/>
      </c>
      <c r="C150" s="29" t="str">
        <f t="shared" si="20"/>
        <v/>
      </c>
      <c r="D150" s="29">
        <f t="shared" si="21"/>
        <v>9</v>
      </c>
      <c r="E150" s="29" t="str">
        <f>IF($B150="","",IFERROR(INDEX('Fixture Library'!$C$2:$C$200,MATCH(Setup!$B$6*100+$D150,'Fixture Library'!$F$2:$F$200,0)),""))</f>
        <v/>
      </c>
      <c r="F150" s="30" t="str">
        <f>IF($B150="","",IFERROR(INDEX('Fixture Library'!$D$2:$D$200,MATCH(Setup!$B$6*100+$D150,'Fixture Library'!$F$2:$F$200,0)),""))</f>
        <v/>
      </c>
      <c r="G150" s="30" t="str">
        <f>IF($F150="","",INDEX(Teams!$E$2:$E$65,($B150-1)*8+$F150))</f>
        <v/>
      </c>
      <c r="H150" s="30" t="str">
        <f>IF($B150="","",IFERROR(INDEX('Fixture Library'!$E$2:$E$200,MATCH(Setup!$B$6*100+$D150,'Fixture Library'!$F$2:$F$200,0)),""))</f>
        <v/>
      </c>
      <c r="I150" s="30" t="str">
        <f>IF($H150="","",INDEX(Teams!$E$2:$E$65,($B150-1)*8+$H150))</f>
        <v/>
      </c>
      <c r="J150" s="34" t="str">
        <f>IF($G150="","",IFERROR(INDEX('Match Entry'!$F$5:$F$228,5+($B150-1)*Setup!$B$13+$D150-1-4),""))</f>
        <v/>
      </c>
      <c r="K150" s="35" t="str">
        <f>IF($G150="","",IFERROR(INDEX('Match Entry'!$G$5:$G$228,5+($B150-1)*Setup!$B$13+$D150-1-4),""))</f>
        <v/>
      </c>
      <c r="L150" s="34" t="str">
        <f>IF($G150="","",IFERROR(INDEX('Match Entry'!$H$5:$H$228,5+($B150-1)*Setup!$B$13+$D150-1-4),""))</f>
        <v/>
      </c>
      <c r="M150" s="35" t="str">
        <f>IF($G150="","",IFERROR(INDEX('Match Entry'!$I$5:$I$228,5+($B150-1)*Setup!$B$13+$D150-1-4),""))</f>
        <v/>
      </c>
      <c r="N150" s="34" t="str">
        <f>IF($G150="","",IFERROR(INDEX('Match Entry'!$J$5:$J$228,5+($B150-1)*Setup!$B$13+$D150-1-4),""))</f>
        <v/>
      </c>
      <c r="O150" s="35" t="str">
        <f>IF($G150="","",IFERROR(INDEX('Match Entry'!$K$5:$K$228,5+($B150-1)*Setup!$B$13+$D150-1-4),""))</f>
        <v/>
      </c>
      <c r="P150" s="34" t="str">
        <f>IF($G150="","",IFERROR(INDEX('Match Entry'!$L$5:$L$228,5+($B150-1)*Setup!$B$13+$D150-1-4),""))</f>
        <v/>
      </c>
      <c r="Q150" s="35" t="str">
        <f>IF($G150="","",IFERROR(INDEX('Match Entry'!$M$5:$M$228,5+($B150-1)*Setup!$B$13+$D150-1-4),""))</f>
        <v/>
      </c>
      <c r="R150" s="34" t="str">
        <f>IF($G150="","",IFERROR(INDEX('Match Entry'!$N$5:$N$228,5+($B150-1)*Setup!$B$13+$D150-1-4),""))</f>
        <v/>
      </c>
      <c r="S150" s="35" t="str">
        <f>IF($G150="","",IFERROR(INDEX('Match Entry'!$O$5:$O$228,5+($B150-1)*Setup!$B$13+$D150-1-4),""))</f>
        <v/>
      </c>
      <c r="T150" s="33" t="str">
        <f t="shared" si="22"/>
        <v/>
      </c>
      <c r="U150" s="33" t="str">
        <f t="shared" si="23"/>
        <v/>
      </c>
      <c r="V150" s="33" t="str">
        <f t="shared" si="24"/>
        <v/>
      </c>
      <c r="W150" s="33" t="str">
        <f t="shared" si="25"/>
        <v/>
      </c>
      <c r="X150" s="30" t="str">
        <f>IF(OR($G150="",$I150=""),"",IF(OR($T150&gt;=Setup!$B$8,$U150&gt;=Setup!$B$8),1,""))</f>
        <v/>
      </c>
      <c r="Y150" s="30" t="str">
        <f t="shared" si="26"/>
        <v/>
      </c>
      <c r="Z150" s="33" t="str">
        <f>IF($X150=1,IF($T150&gt;$U150,Setup!$B$9,Setup!$B$10),"")</f>
        <v/>
      </c>
      <c r="AA150" s="33" t="str">
        <f>IF($X150=1,IF($U150&gt;$T150,Setup!$B$9,Setup!$B$10),"")</f>
        <v/>
      </c>
      <c r="AB150" s="30" t="str">
        <f t="shared" si="27"/>
        <v/>
      </c>
      <c r="AC150" s="30" t="str">
        <f t="shared" si="28"/>
        <v/>
      </c>
      <c r="AD150" s="30" t="str">
        <f t="shared" si="29"/>
        <v/>
      </c>
    </row>
    <row r="151" spans="1:30">
      <c r="A151" s="29">
        <v>150</v>
      </c>
      <c r="B151" s="29" t="str">
        <f>IF(INT(($A151-1)/28)+1&lt;=Setup!$B$5,INT(($A151-1)/28)+1,"")</f>
        <v/>
      </c>
      <c r="C151" s="29" t="str">
        <f t="shared" si="20"/>
        <v/>
      </c>
      <c r="D151" s="29">
        <f t="shared" si="21"/>
        <v>10</v>
      </c>
      <c r="E151" s="29" t="str">
        <f>IF($B151="","",IFERROR(INDEX('Fixture Library'!$C$2:$C$200,MATCH(Setup!$B$6*100+$D151,'Fixture Library'!$F$2:$F$200,0)),""))</f>
        <v/>
      </c>
      <c r="F151" s="30" t="str">
        <f>IF($B151="","",IFERROR(INDEX('Fixture Library'!$D$2:$D$200,MATCH(Setup!$B$6*100+$D151,'Fixture Library'!$F$2:$F$200,0)),""))</f>
        <v/>
      </c>
      <c r="G151" s="30" t="str">
        <f>IF($F151="","",INDEX(Teams!$E$2:$E$65,($B151-1)*8+$F151))</f>
        <v/>
      </c>
      <c r="H151" s="30" t="str">
        <f>IF($B151="","",IFERROR(INDEX('Fixture Library'!$E$2:$E$200,MATCH(Setup!$B$6*100+$D151,'Fixture Library'!$F$2:$F$200,0)),""))</f>
        <v/>
      </c>
      <c r="I151" s="30" t="str">
        <f>IF($H151="","",INDEX(Teams!$E$2:$E$65,($B151-1)*8+$H151))</f>
        <v/>
      </c>
      <c r="J151" s="34" t="str">
        <f>IF($G151="","",IFERROR(INDEX('Match Entry'!$F$5:$F$228,5+($B151-1)*Setup!$B$13+$D151-1-4),""))</f>
        <v/>
      </c>
      <c r="K151" s="35" t="str">
        <f>IF($G151="","",IFERROR(INDEX('Match Entry'!$G$5:$G$228,5+($B151-1)*Setup!$B$13+$D151-1-4),""))</f>
        <v/>
      </c>
      <c r="L151" s="34" t="str">
        <f>IF($G151="","",IFERROR(INDEX('Match Entry'!$H$5:$H$228,5+($B151-1)*Setup!$B$13+$D151-1-4),""))</f>
        <v/>
      </c>
      <c r="M151" s="35" t="str">
        <f>IF($G151="","",IFERROR(INDEX('Match Entry'!$I$5:$I$228,5+($B151-1)*Setup!$B$13+$D151-1-4),""))</f>
        <v/>
      </c>
      <c r="N151" s="34" t="str">
        <f>IF($G151="","",IFERROR(INDEX('Match Entry'!$J$5:$J$228,5+($B151-1)*Setup!$B$13+$D151-1-4),""))</f>
        <v/>
      </c>
      <c r="O151" s="35" t="str">
        <f>IF($G151="","",IFERROR(INDEX('Match Entry'!$K$5:$K$228,5+($B151-1)*Setup!$B$13+$D151-1-4),""))</f>
        <v/>
      </c>
      <c r="P151" s="34" t="str">
        <f>IF($G151="","",IFERROR(INDEX('Match Entry'!$L$5:$L$228,5+($B151-1)*Setup!$B$13+$D151-1-4),""))</f>
        <v/>
      </c>
      <c r="Q151" s="35" t="str">
        <f>IF($G151="","",IFERROR(INDEX('Match Entry'!$M$5:$M$228,5+($B151-1)*Setup!$B$13+$D151-1-4),""))</f>
        <v/>
      </c>
      <c r="R151" s="34" t="str">
        <f>IF($G151="","",IFERROR(INDEX('Match Entry'!$N$5:$N$228,5+($B151-1)*Setup!$B$13+$D151-1-4),""))</f>
        <v/>
      </c>
      <c r="S151" s="35" t="str">
        <f>IF($G151="","",IFERROR(INDEX('Match Entry'!$O$5:$O$228,5+($B151-1)*Setup!$B$13+$D151-1-4),""))</f>
        <v/>
      </c>
      <c r="T151" s="33" t="str">
        <f t="shared" si="22"/>
        <v/>
      </c>
      <c r="U151" s="33" t="str">
        <f t="shared" si="23"/>
        <v/>
      </c>
      <c r="V151" s="33" t="str">
        <f t="shared" si="24"/>
        <v/>
      </c>
      <c r="W151" s="33" t="str">
        <f t="shared" si="25"/>
        <v/>
      </c>
      <c r="X151" s="30" t="str">
        <f>IF(OR($G151="",$I151=""),"",IF(OR($T151&gt;=Setup!$B$8,$U151&gt;=Setup!$B$8),1,""))</f>
        <v/>
      </c>
      <c r="Y151" s="30" t="str">
        <f t="shared" si="26"/>
        <v/>
      </c>
      <c r="Z151" s="33" t="str">
        <f>IF($X151=1,IF($T151&gt;$U151,Setup!$B$9,Setup!$B$10),"")</f>
        <v/>
      </c>
      <c r="AA151" s="33" t="str">
        <f>IF($X151=1,IF($U151&gt;$T151,Setup!$B$9,Setup!$B$10),"")</f>
        <v/>
      </c>
      <c r="AB151" s="30" t="str">
        <f t="shared" si="27"/>
        <v/>
      </c>
      <c r="AC151" s="30" t="str">
        <f t="shared" si="28"/>
        <v/>
      </c>
      <c r="AD151" s="30" t="str">
        <f t="shared" si="29"/>
        <v/>
      </c>
    </row>
    <row r="152" spans="1:30">
      <c r="A152" s="29">
        <v>151</v>
      </c>
      <c r="B152" s="29" t="str">
        <f>IF(INT(($A152-1)/28)+1&lt;=Setup!$B$5,INT(($A152-1)/28)+1,"")</f>
        <v/>
      </c>
      <c r="C152" s="29" t="str">
        <f t="shared" si="20"/>
        <v/>
      </c>
      <c r="D152" s="29">
        <f t="shared" si="21"/>
        <v>11</v>
      </c>
      <c r="E152" s="29" t="str">
        <f>IF($B152="","",IFERROR(INDEX('Fixture Library'!$C$2:$C$200,MATCH(Setup!$B$6*100+$D152,'Fixture Library'!$F$2:$F$200,0)),""))</f>
        <v/>
      </c>
      <c r="F152" s="30" t="str">
        <f>IF($B152="","",IFERROR(INDEX('Fixture Library'!$D$2:$D$200,MATCH(Setup!$B$6*100+$D152,'Fixture Library'!$F$2:$F$200,0)),""))</f>
        <v/>
      </c>
      <c r="G152" s="30" t="str">
        <f>IF($F152="","",INDEX(Teams!$E$2:$E$65,($B152-1)*8+$F152))</f>
        <v/>
      </c>
      <c r="H152" s="30" t="str">
        <f>IF($B152="","",IFERROR(INDEX('Fixture Library'!$E$2:$E$200,MATCH(Setup!$B$6*100+$D152,'Fixture Library'!$F$2:$F$200,0)),""))</f>
        <v/>
      </c>
      <c r="I152" s="30" t="str">
        <f>IF($H152="","",INDEX(Teams!$E$2:$E$65,($B152-1)*8+$H152))</f>
        <v/>
      </c>
      <c r="J152" s="34" t="str">
        <f>IF($G152="","",IFERROR(INDEX('Match Entry'!$F$5:$F$228,5+($B152-1)*Setup!$B$13+$D152-1-4),""))</f>
        <v/>
      </c>
      <c r="K152" s="35" t="str">
        <f>IF($G152="","",IFERROR(INDEX('Match Entry'!$G$5:$G$228,5+($B152-1)*Setup!$B$13+$D152-1-4),""))</f>
        <v/>
      </c>
      <c r="L152" s="34" t="str">
        <f>IF($G152="","",IFERROR(INDEX('Match Entry'!$H$5:$H$228,5+($B152-1)*Setup!$B$13+$D152-1-4),""))</f>
        <v/>
      </c>
      <c r="M152" s="35" t="str">
        <f>IF($G152="","",IFERROR(INDEX('Match Entry'!$I$5:$I$228,5+($B152-1)*Setup!$B$13+$D152-1-4),""))</f>
        <v/>
      </c>
      <c r="N152" s="34" t="str">
        <f>IF($G152="","",IFERROR(INDEX('Match Entry'!$J$5:$J$228,5+($B152-1)*Setup!$B$13+$D152-1-4),""))</f>
        <v/>
      </c>
      <c r="O152" s="35" t="str">
        <f>IF($G152="","",IFERROR(INDEX('Match Entry'!$K$5:$K$228,5+($B152-1)*Setup!$B$13+$D152-1-4),""))</f>
        <v/>
      </c>
      <c r="P152" s="34" t="str">
        <f>IF($G152="","",IFERROR(INDEX('Match Entry'!$L$5:$L$228,5+($B152-1)*Setup!$B$13+$D152-1-4),""))</f>
        <v/>
      </c>
      <c r="Q152" s="35" t="str">
        <f>IF($G152="","",IFERROR(INDEX('Match Entry'!$M$5:$M$228,5+($B152-1)*Setup!$B$13+$D152-1-4),""))</f>
        <v/>
      </c>
      <c r="R152" s="34" t="str">
        <f>IF($G152="","",IFERROR(INDEX('Match Entry'!$N$5:$N$228,5+($B152-1)*Setup!$B$13+$D152-1-4),""))</f>
        <v/>
      </c>
      <c r="S152" s="35" t="str">
        <f>IF($G152="","",IFERROR(INDEX('Match Entry'!$O$5:$O$228,5+($B152-1)*Setup!$B$13+$D152-1-4),""))</f>
        <v/>
      </c>
      <c r="T152" s="33" t="str">
        <f t="shared" si="22"/>
        <v/>
      </c>
      <c r="U152" s="33" t="str">
        <f t="shared" si="23"/>
        <v/>
      </c>
      <c r="V152" s="33" t="str">
        <f t="shared" si="24"/>
        <v/>
      </c>
      <c r="W152" s="33" t="str">
        <f t="shared" si="25"/>
        <v/>
      </c>
      <c r="X152" s="30" t="str">
        <f>IF(OR($G152="",$I152=""),"",IF(OR($T152&gt;=Setup!$B$8,$U152&gt;=Setup!$B$8),1,""))</f>
        <v/>
      </c>
      <c r="Y152" s="30" t="str">
        <f t="shared" si="26"/>
        <v/>
      </c>
      <c r="Z152" s="33" t="str">
        <f>IF($X152=1,IF($T152&gt;$U152,Setup!$B$9,Setup!$B$10),"")</f>
        <v/>
      </c>
      <c r="AA152" s="33" t="str">
        <f>IF($X152=1,IF($U152&gt;$T152,Setup!$B$9,Setup!$B$10),"")</f>
        <v/>
      </c>
      <c r="AB152" s="30" t="str">
        <f t="shared" si="27"/>
        <v/>
      </c>
      <c r="AC152" s="30" t="str">
        <f t="shared" si="28"/>
        <v/>
      </c>
      <c r="AD152" s="30" t="str">
        <f t="shared" si="29"/>
        <v/>
      </c>
    </row>
    <row r="153" spans="1:30">
      <c r="A153" s="29">
        <v>152</v>
      </c>
      <c r="B153" s="29" t="str">
        <f>IF(INT(($A153-1)/28)+1&lt;=Setup!$B$5,INT(($A153-1)/28)+1,"")</f>
        <v/>
      </c>
      <c r="C153" s="29" t="str">
        <f t="shared" si="20"/>
        <v/>
      </c>
      <c r="D153" s="29">
        <f t="shared" si="21"/>
        <v>12</v>
      </c>
      <c r="E153" s="29" t="str">
        <f>IF($B153="","",IFERROR(INDEX('Fixture Library'!$C$2:$C$200,MATCH(Setup!$B$6*100+$D153,'Fixture Library'!$F$2:$F$200,0)),""))</f>
        <v/>
      </c>
      <c r="F153" s="30" t="str">
        <f>IF($B153="","",IFERROR(INDEX('Fixture Library'!$D$2:$D$200,MATCH(Setup!$B$6*100+$D153,'Fixture Library'!$F$2:$F$200,0)),""))</f>
        <v/>
      </c>
      <c r="G153" s="30" t="str">
        <f>IF($F153="","",INDEX(Teams!$E$2:$E$65,($B153-1)*8+$F153))</f>
        <v/>
      </c>
      <c r="H153" s="30" t="str">
        <f>IF($B153="","",IFERROR(INDEX('Fixture Library'!$E$2:$E$200,MATCH(Setup!$B$6*100+$D153,'Fixture Library'!$F$2:$F$200,0)),""))</f>
        <v/>
      </c>
      <c r="I153" s="30" t="str">
        <f>IF($H153="","",INDEX(Teams!$E$2:$E$65,($B153-1)*8+$H153))</f>
        <v/>
      </c>
      <c r="J153" s="34" t="str">
        <f>IF($G153="","",IFERROR(INDEX('Match Entry'!$F$5:$F$228,5+($B153-1)*Setup!$B$13+$D153-1-4),""))</f>
        <v/>
      </c>
      <c r="K153" s="35" t="str">
        <f>IF($G153="","",IFERROR(INDEX('Match Entry'!$G$5:$G$228,5+($B153-1)*Setup!$B$13+$D153-1-4),""))</f>
        <v/>
      </c>
      <c r="L153" s="34" t="str">
        <f>IF($G153="","",IFERROR(INDEX('Match Entry'!$H$5:$H$228,5+($B153-1)*Setup!$B$13+$D153-1-4),""))</f>
        <v/>
      </c>
      <c r="M153" s="35" t="str">
        <f>IF($G153="","",IFERROR(INDEX('Match Entry'!$I$5:$I$228,5+($B153-1)*Setup!$B$13+$D153-1-4),""))</f>
        <v/>
      </c>
      <c r="N153" s="34" t="str">
        <f>IF($G153="","",IFERROR(INDEX('Match Entry'!$J$5:$J$228,5+($B153-1)*Setup!$B$13+$D153-1-4),""))</f>
        <v/>
      </c>
      <c r="O153" s="35" t="str">
        <f>IF($G153="","",IFERROR(INDEX('Match Entry'!$K$5:$K$228,5+($B153-1)*Setup!$B$13+$D153-1-4),""))</f>
        <v/>
      </c>
      <c r="P153" s="34" t="str">
        <f>IF($G153="","",IFERROR(INDEX('Match Entry'!$L$5:$L$228,5+($B153-1)*Setup!$B$13+$D153-1-4),""))</f>
        <v/>
      </c>
      <c r="Q153" s="35" t="str">
        <f>IF($G153="","",IFERROR(INDEX('Match Entry'!$M$5:$M$228,5+($B153-1)*Setup!$B$13+$D153-1-4),""))</f>
        <v/>
      </c>
      <c r="R153" s="34" t="str">
        <f>IF($G153="","",IFERROR(INDEX('Match Entry'!$N$5:$N$228,5+($B153-1)*Setup!$B$13+$D153-1-4),""))</f>
        <v/>
      </c>
      <c r="S153" s="35" t="str">
        <f>IF($G153="","",IFERROR(INDEX('Match Entry'!$O$5:$O$228,5+($B153-1)*Setup!$B$13+$D153-1-4),""))</f>
        <v/>
      </c>
      <c r="T153" s="33" t="str">
        <f t="shared" si="22"/>
        <v/>
      </c>
      <c r="U153" s="33" t="str">
        <f t="shared" si="23"/>
        <v/>
      </c>
      <c r="V153" s="33" t="str">
        <f t="shared" si="24"/>
        <v/>
      </c>
      <c r="W153" s="33" t="str">
        <f t="shared" si="25"/>
        <v/>
      </c>
      <c r="X153" s="30" t="str">
        <f>IF(OR($G153="",$I153=""),"",IF(OR($T153&gt;=Setup!$B$8,$U153&gt;=Setup!$B$8),1,""))</f>
        <v/>
      </c>
      <c r="Y153" s="30" t="str">
        <f t="shared" si="26"/>
        <v/>
      </c>
      <c r="Z153" s="33" t="str">
        <f>IF($X153=1,IF($T153&gt;$U153,Setup!$B$9,Setup!$B$10),"")</f>
        <v/>
      </c>
      <c r="AA153" s="33" t="str">
        <f>IF($X153=1,IF($U153&gt;$T153,Setup!$B$9,Setup!$B$10),"")</f>
        <v/>
      </c>
      <c r="AB153" s="30" t="str">
        <f t="shared" si="27"/>
        <v/>
      </c>
      <c r="AC153" s="30" t="str">
        <f t="shared" si="28"/>
        <v/>
      </c>
      <c r="AD153" s="30" t="str">
        <f t="shared" si="29"/>
        <v/>
      </c>
    </row>
    <row r="154" spans="1:30">
      <c r="A154" s="29">
        <v>153</v>
      </c>
      <c r="B154" s="29" t="str">
        <f>IF(INT(($A154-1)/28)+1&lt;=Setup!$B$5,INT(($A154-1)/28)+1,"")</f>
        <v/>
      </c>
      <c r="C154" s="29" t="str">
        <f t="shared" si="20"/>
        <v/>
      </c>
      <c r="D154" s="29">
        <f t="shared" si="21"/>
        <v>13</v>
      </c>
      <c r="E154" s="29" t="str">
        <f>IF($B154="","",IFERROR(INDEX('Fixture Library'!$C$2:$C$200,MATCH(Setup!$B$6*100+$D154,'Fixture Library'!$F$2:$F$200,0)),""))</f>
        <v/>
      </c>
      <c r="F154" s="30" t="str">
        <f>IF($B154="","",IFERROR(INDEX('Fixture Library'!$D$2:$D$200,MATCH(Setup!$B$6*100+$D154,'Fixture Library'!$F$2:$F$200,0)),""))</f>
        <v/>
      </c>
      <c r="G154" s="30" t="str">
        <f>IF($F154="","",INDEX(Teams!$E$2:$E$65,($B154-1)*8+$F154))</f>
        <v/>
      </c>
      <c r="H154" s="30" t="str">
        <f>IF($B154="","",IFERROR(INDEX('Fixture Library'!$E$2:$E$200,MATCH(Setup!$B$6*100+$D154,'Fixture Library'!$F$2:$F$200,0)),""))</f>
        <v/>
      </c>
      <c r="I154" s="30" t="str">
        <f>IF($H154="","",INDEX(Teams!$E$2:$E$65,($B154-1)*8+$H154))</f>
        <v/>
      </c>
      <c r="J154" s="34" t="str">
        <f>IF($G154="","",IFERROR(INDEX('Match Entry'!$F$5:$F$228,5+($B154-1)*Setup!$B$13+$D154-1-4),""))</f>
        <v/>
      </c>
      <c r="K154" s="35" t="str">
        <f>IF($G154="","",IFERROR(INDEX('Match Entry'!$G$5:$G$228,5+($B154-1)*Setup!$B$13+$D154-1-4),""))</f>
        <v/>
      </c>
      <c r="L154" s="34" t="str">
        <f>IF($G154="","",IFERROR(INDEX('Match Entry'!$H$5:$H$228,5+($B154-1)*Setup!$B$13+$D154-1-4),""))</f>
        <v/>
      </c>
      <c r="M154" s="35" t="str">
        <f>IF($G154="","",IFERROR(INDEX('Match Entry'!$I$5:$I$228,5+($B154-1)*Setup!$B$13+$D154-1-4),""))</f>
        <v/>
      </c>
      <c r="N154" s="34" t="str">
        <f>IF($G154="","",IFERROR(INDEX('Match Entry'!$J$5:$J$228,5+($B154-1)*Setup!$B$13+$D154-1-4),""))</f>
        <v/>
      </c>
      <c r="O154" s="35" t="str">
        <f>IF($G154="","",IFERROR(INDEX('Match Entry'!$K$5:$K$228,5+($B154-1)*Setup!$B$13+$D154-1-4),""))</f>
        <v/>
      </c>
      <c r="P154" s="34" t="str">
        <f>IF($G154="","",IFERROR(INDEX('Match Entry'!$L$5:$L$228,5+($B154-1)*Setup!$B$13+$D154-1-4),""))</f>
        <v/>
      </c>
      <c r="Q154" s="35" t="str">
        <f>IF($G154="","",IFERROR(INDEX('Match Entry'!$M$5:$M$228,5+($B154-1)*Setup!$B$13+$D154-1-4),""))</f>
        <v/>
      </c>
      <c r="R154" s="34" t="str">
        <f>IF($G154="","",IFERROR(INDEX('Match Entry'!$N$5:$N$228,5+($B154-1)*Setup!$B$13+$D154-1-4),""))</f>
        <v/>
      </c>
      <c r="S154" s="35" t="str">
        <f>IF($G154="","",IFERROR(INDEX('Match Entry'!$O$5:$O$228,5+($B154-1)*Setup!$B$13+$D154-1-4),""))</f>
        <v/>
      </c>
      <c r="T154" s="33" t="str">
        <f t="shared" si="22"/>
        <v/>
      </c>
      <c r="U154" s="33" t="str">
        <f t="shared" si="23"/>
        <v/>
      </c>
      <c r="V154" s="33" t="str">
        <f t="shared" si="24"/>
        <v/>
      </c>
      <c r="W154" s="33" t="str">
        <f t="shared" si="25"/>
        <v/>
      </c>
      <c r="X154" s="30" t="str">
        <f>IF(OR($G154="",$I154=""),"",IF(OR($T154&gt;=Setup!$B$8,$U154&gt;=Setup!$B$8),1,""))</f>
        <v/>
      </c>
      <c r="Y154" s="30" t="str">
        <f t="shared" si="26"/>
        <v/>
      </c>
      <c r="Z154" s="33" t="str">
        <f>IF($X154=1,IF($T154&gt;$U154,Setup!$B$9,Setup!$B$10),"")</f>
        <v/>
      </c>
      <c r="AA154" s="33" t="str">
        <f>IF($X154=1,IF($U154&gt;$T154,Setup!$B$9,Setup!$B$10),"")</f>
        <v/>
      </c>
      <c r="AB154" s="30" t="str">
        <f t="shared" si="27"/>
        <v/>
      </c>
      <c r="AC154" s="30" t="str">
        <f t="shared" si="28"/>
        <v/>
      </c>
      <c r="AD154" s="30" t="str">
        <f t="shared" si="29"/>
        <v/>
      </c>
    </row>
    <row r="155" spans="1:30">
      <c r="A155" s="29">
        <v>154</v>
      </c>
      <c r="B155" s="29" t="str">
        <f>IF(INT(($A155-1)/28)+1&lt;=Setup!$B$5,INT(($A155-1)/28)+1,"")</f>
        <v/>
      </c>
      <c r="C155" s="29" t="str">
        <f t="shared" si="20"/>
        <v/>
      </c>
      <c r="D155" s="29">
        <f t="shared" si="21"/>
        <v>14</v>
      </c>
      <c r="E155" s="29" t="str">
        <f>IF($B155="","",IFERROR(INDEX('Fixture Library'!$C$2:$C$200,MATCH(Setup!$B$6*100+$D155,'Fixture Library'!$F$2:$F$200,0)),""))</f>
        <v/>
      </c>
      <c r="F155" s="30" t="str">
        <f>IF($B155="","",IFERROR(INDEX('Fixture Library'!$D$2:$D$200,MATCH(Setup!$B$6*100+$D155,'Fixture Library'!$F$2:$F$200,0)),""))</f>
        <v/>
      </c>
      <c r="G155" s="30" t="str">
        <f>IF($F155="","",INDEX(Teams!$E$2:$E$65,($B155-1)*8+$F155))</f>
        <v/>
      </c>
      <c r="H155" s="30" t="str">
        <f>IF($B155="","",IFERROR(INDEX('Fixture Library'!$E$2:$E$200,MATCH(Setup!$B$6*100+$D155,'Fixture Library'!$F$2:$F$200,0)),""))</f>
        <v/>
      </c>
      <c r="I155" s="30" t="str">
        <f>IF($H155="","",INDEX(Teams!$E$2:$E$65,($B155-1)*8+$H155))</f>
        <v/>
      </c>
      <c r="J155" s="34" t="str">
        <f>IF($G155="","",IFERROR(INDEX('Match Entry'!$F$5:$F$228,5+($B155-1)*Setup!$B$13+$D155-1-4),""))</f>
        <v/>
      </c>
      <c r="K155" s="35" t="str">
        <f>IF($G155="","",IFERROR(INDEX('Match Entry'!$G$5:$G$228,5+($B155-1)*Setup!$B$13+$D155-1-4),""))</f>
        <v/>
      </c>
      <c r="L155" s="34" t="str">
        <f>IF($G155="","",IFERROR(INDEX('Match Entry'!$H$5:$H$228,5+($B155-1)*Setup!$B$13+$D155-1-4),""))</f>
        <v/>
      </c>
      <c r="M155" s="35" t="str">
        <f>IF($G155="","",IFERROR(INDEX('Match Entry'!$I$5:$I$228,5+($B155-1)*Setup!$B$13+$D155-1-4),""))</f>
        <v/>
      </c>
      <c r="N155" s="34" t="str">
        <f>IF($G155="","",IFERROR(INDEX('Match Entry'!$J$5:$J$228,5+($B155-1)*Setup!$B$13+$D155-1-4),""))</f>
        <v/>
      </c>
      <c r="O155" s="35" t="str">
        <f>IF($G155="","",IFERROR(INDEX('Match Entry'!$K$5:$K$228,5+($B155-1)*Setup!$B$13+$D155-1-4),""))</f>
        <v/>
      </c>
      <c r="P155" s="34" t="str">
        <f>IF($G155="","",IFERROR(INDEX('Match Entry'!$L$5:$L$228,5+($B155-1)*Setup!$B$13+$D155-1-4),""))</f>
        <v/>
      </c>
      <c r="Q155" s="35" t="str">
        <f>IF($G155="","",IFERROR(INDEX('Match Entry'!$M$5:$M$228,5+($B155-1)*Setup!$B$13+$D155-1-4),""))</f>
        <v/>
      </c>
      <c r="R155" s="34" t="str">
        <f>IF($G155="","",IFERROR(INDEX('Match Entry'!$N$5:$N$228,5+($B155-1)*Setup!$B$13+$D155-1-4),""))</f>
        <v/>
      </c>
      <c r="S155" s="35" t="str">
        <f>IF($G155="","",IFERROR(INDEX('Match Entry'!$O$5:$O$228,5+($B155-1)*Setup!$B$13+$D155-1-4),""))</f>
        <v/>
      </c>
      <c r="T155" s="33" t="str">
        <f t="shared" si="22"/>
        <v/>
      </c>
      <c r="U155" s="33" t="str">
        <f t="shared" si="23"/>
        <v/>
      </c>
      <c r="V155" s="33" t="str">
        <f t="shared" si="24"/>
        <v/>
      </c>
      <c r="W155" s="33" t="str">
        <f t="shared" si="25"/>
        <v/>
      </c>
      <c r="X155" s="30" t="str">
        <f>IF(OR($G155="",$I155=""),"",IF(OR($T155&gt;=Setup!$B$8,$U155&gt;=Setup!$B$8),1,""))</f>
        <v/>
      </c>
      <c r="Y155" s="30" t="str">
        <f t="shared" si="26"/>
        <v/>
      </c>
      <c r="Z155" s="33" t="str">
        <f>IF($X155=1,IF($T155&gt;$U155,Setup!$B$9,Setup!$B$10),"")</f>
        <v/>
      </c>
      <c r="AA155" s="33" t="str">
        <f>IF($X155=1,IF($U155&gt;$T155,Setup!$B$9,Setup!$B$10),"")</f>
        <v/>
      </c>
      <c r="AB155" s="30" t="str">
        <f t="shared" si="27"/>
        <v/>
      </c>
      <c r="AC155" s="30" t="str">
        <f t="shared" si="28"/>
        <v/>
      </c>
      <c r="AD155" s="30" t="str">
        <f t="shared" si="29"/>
        <v/>
      </c>
    </row>
    <row r="156" spans="1:30">
      <c r="A156" s="29">
        <v>155</v>
      </c>
      <c r="B156" s="29" t="str">
        <f>IF(INT(($A156-1)/28)+1&lt;=Setup!$B$5,INT(($A156-1)/28)+1,"")</f>
        <v/>
      </c>
      <c r="C156" s="29" t="str">
        <f t="shared" si="20"/>
        <v/>
      </c>
      <c r="D156" s="29">
        <f t="shared" si="21"/>
        <v>15</v>
      </c>
      <c r="E156" s="29" t="str">
        <f>IF($B156="","",IFERROR(INDEX('Fixture Library'!$C$2:$C$200,MATCH(Setup!$B$6*100+$D156,'Fixture Library'!$F$2:$F$200,0)),""))</f>
        <v/>
      </c>
      <c r="F156" s="30" t="str">
        <f>IF($B156="","",IFERROR(INDEX('Fixture Library'!$D$2:$D$200,MATCH(Setup!$B$6*100+$D156,'Fixture Library'!$F$2:$F$200,0)),""))</f>
        <v/>
      </c>
      <c r="G156" s="30" t="str">
        <f>IF($F156="","",INDEX(Teams!$E$2:$E$65,($B156-1)*8+$F156))</f>
        <v/>
      </c>
      <c r="H156" s="30" t="str">
        <f>IF($B156="","",IFERROR(INDEX('Fixture Library'!$E$2:$E$200,MATCH(Setup!$B$6*100+$D156,'Fixture Library'!$F$2:$F$200,0)),""))</f>
        <v/>
      </c>
      <c r="I156" s="30" t="str">
        <f>IF($H156="","",INDEX(Teams!$E$2:$E$65,($B156-1)*8+$H156))</f>
        <v/>
      </c>
      <c r="J156" s="34" t="str">
        <f>IF($G156="","",IFERROR(INDEX('Match Entry'!$F$5:$F$228,5+($B156-1)*Setup!$B$13+$D156-1-4),""))</f>
        <v/>
      </c>
      <c r="K156" s="35" t="str">
        <f>IF($G156="","",IFERROR(INDEX('Match Entry'!$G$5:$G$228,5+($B156-1)*Setup!$B$13+$D156-1-4),""))</f>
        <v/>
      </c>
      <c r="L156" s="34" t="str">
        <f>IF($G156="","",IFERROR(INDEX('Match Entry'!$H$5:$H$228,5+($B156-1)*Setup!$B$13+$D156-1-4),""))</f>
        <v/>
      </c>
      <c r="M156" s="35" t="str">
        <f>IF($G156="","",IFERROR(INDEX('Match Entry'!$I$5:$I$228,5+($B156-1)*Setup!$B$13+$D156-1-4),""))</f>
        <v/>
      </c>
      <c r="N156" s="34" t="str">
        <f>IF($G156="","",IFERROR(INDEX('Match Entry'!$J$5:$J$228,5+($B156-1)*Setup!$B$13+$D156-1-4),""))</f>
        <v/>
      </c>
      <c r="O156" s="35" t="str">
        <f>IF($G156="","",IFERROR(INDEX('Match Entry'!$K$5:$K$228,5+($B156-1)*Setup!$B$13+$D156-1-4),""))</f>
        <v/>
      </c>
      <c r="P156" s="34" t="str">
        <f>IF($G156="","",IFERROR(INDEX('Match Entry'!$L$5:$L$228,5+($B156-1)*Setup!$B$13+$D156-1-4),""))</f>
        <v/>
      </c>
      <c r="Q156" s="35" t="str">
        <f>IF($G156="","",IFERROR(INDEX('Match Entry'!$M$5:$M$228,5+($B156-1)*Setup!$B$13+$D156-1-4),""))</f>
        <v/>
      </c>
      <c r="R156" s="34" t="str">
        <f>IF($G156="","",IFERROR(INDEX('Match Entry'!$N$5:$N$228,5+($B156-1)*Setup!$B$13+$D156-1-4),""))</f>
        <v/>
      </c>
      <c r="S156" s="35" t="str">
        <f>IF($G156="","",IFERROR(INDEX('Match Entry'!$O$5:$O$228,5+($B156-1)*Setup!$B$13+$D156-1-4),""))</f>
        <v/>
      </c>
      <c r="T156" s="33" t="str">
        <f t="shared" si="22"/>
        <v/>
      </c>
      <c r="U156" s="33" t="str">
        <f t="shared" si="23"/>
        <v/>
      </c>
      <c r="V156" s="33" t="str">
        <f t="shared" si="24"/>
        <v/>
      </c>
      <c r="W156" s="33" t="str">
        <f t="shared" si="25"/>
        <v/>
      </c>
      <c r="X156" s="30" t="str">
        <f>IF(OR($G156="",$I156=""),"",IF(OR($T156&gt;=Setup!$B$8,$U156&gt;=Setup!$B$8),1,""))</f>
        <v/>
      </c>
      <c r="Y156" s="30" t="str">
        <f t="shared" si="26"/>
        <v/>
      </c>
      <c r="Z156" s="33" t="str">
        <f>IF($X156=1,IF($T156&gt;$U156,Setup!$B$9,Setup!$B$10),"")</f>
        <v/>
      </c>
      <c r="AA156" s="33" t="str">
        <f>IF($X156=1,IF($U156&gt;$T156,Setup!$B$9,Setup!$B$10),"")</f>
        <v/>
      </c>
      <c r="AB156" s="30" t="str">
        <f t="shared" si="27"/>
        <v/>
      </c>
      <c r="AC156" s="30" t="str">
        <f t="shared" si="28"/>
        <v/>
      </c>
      <c r="AD156" s="30" t="str">
        <f t="shared" si="29"/>
        <v/>
      </c>
    </row>
    <row r="157" spans="1:30">
      <c r="A157" s="29">
        <v>156</v>
      </c>
      <c r="B157" s="29" t="str">
        <f>IF(INT(($A157-1)/28)+1&lt;=Setup!$B$5,INT(($A157-1)/28)+1,"")</f>
        <v/>
      </c>
      <c r="C157" s="29" t="str">
        <f t="shared" si="20"/>
        <v/>
      </c>
      <c r="D157" s="29">
        <f t="shared" si="21"/>
        <v>16</v>
      </c>
      <c r="E157" s="29" t="str">
        <f>IF($B157="","",IFERROR(INDEX('Fixture Library'!$C$2:$C$200,MATCH(Setup!$B$6*100+$D157,'Fixture Library'!$F$2:$F$200,0)),""))</f>
        <v/>
      </c>
      <c r="F157" s="30" t="str">
        <f>IF($B157="","",IFERROR(INDEX('Fixture Library'!$D$2:$D$200,MATCH(Setup!$B$6*100+$D157,'Fixture Library'!$F$2:$F$200,0)),""))</f>
        <v/>
      </c>
      <c r="G157" s="30" t="str">
        <f>IF($F157="","",INDEX(Teams!$E$2:$E$65,($B157-1)*8+$F157))</f>
        <v/>
      </c>
      <c r="H157" s="30" t="str">
        <f>IF($B157="","",IFERROR(INDEX('Fixture Library'!$E$2:$E$200,MATCH(Setup!$B$6*100+$D157,'Fixture Library'!$F$2:$F$200,0)),""))</f>
        <v/>
      </c>
      <c r="I157" s="30" t="str">
        <f>IF($H157="","",INDEX(Teams!$E$2:$E$65,($B157-1)*8+$H157))</f>
        <v/>
      </c>
      <c r="J157" s="34" t="str">
        <f>IF($G157="","",IFERROR(INDEX('Match Entry'!$F$5:$F$228,5+($B157-1)*Setup!$B$13+$D157-1-4),""))</f>
        <v/>
      </c>
      <c r="K157" s="35" t="str">
        <f>IF($G157="","",IFERROR(INDEX('Match Entry'!$G$5:$G$228,5+($B157-1)*Setup!$B$13+$D157-1-4),""))</f>
        <v/>
      </c>
      <c r="L157" s="34" t="str">
        <f>IF($G157="","",IFERROR(INDEX('Match Entry'!$H$5:$H$228,5+($B157-1)*Setup!$B$13+$D157-1-4),""))</f>
        <v/>
      </c>
      <c r="M157" s="35" t="str">
        <f>IF($G157="","",IFERROR(INDEX('Match Entry'!$I$5:$I$228,5+($B157-1)*Setup!$B$13+$D157-1-4),""))</f>
        <v/>
      </c>
      <c r="N157" s="34" t="str">
        <f>IF($G157="","",IFERROR(INDEX('Match Entry'!$J$5:$J$228,5+($B157-1)*Setup!$B$13+$D157-1-4),""))</f>
        <v/>
      </c>
      <c r="O157" s="35" t="str">
        <f>IF($G157="","",IFERROR(INDEX('Match Entry'!$K$5:$K$228,5+($B157-1)*Setup!$B$13+$D157-1-4),""))</f>
        <v/>
      </c>
      <c r="P157" s="34" t="str">
        <f>IF($G157="","",IFERROR(INDEX('Match Entry'!$L$5:$L$228,5+($B157-1)*Setup!$B$13+$D157-1-4),""))</f>
        <v/>
      </c>
      <c r="Q157" s="35" t="str">
        <f>IF($G157="","",IFERROR(INDEX('Match Entry'!$M$5:$M$228,5+($B157-1)*Setup!$B$13+$D157-1-4),""))</f>
        <v/>
      </c>
      <c r="R157" s="34" t="str">
        <f>IF($G157="","",IFERROR(INDEX('Match Entry'!$N$5:$N$228,5+($B157-1)*Setup!$B$13+$D157-1-4),""))</f>
        <v/>
      </c>
      <c r="S157" s="35" t="str">
        <f>IF($G157="","",IFERROR(INDEX('Match Entry'!$O$5:$O$228,5+($B157-1)*Setup!$B$13+$D157-1-4),""))</f>
        <v/>
      </c>
      <c r="T157" s="33" t="str">
        <f t="shared" si="22"/>
        <v/>
      </c>
      <c r="U157" s="33" t="str">
        <f t="shared" si="23"/>
        <v/>
      </c>
      <c r="V157" s="33" t="str">
        <f t="shared" si="24"/>
        <v/>
      </c>
      <c r="W157" s="33" t="str">
        <f t="shared" si="25"/>
        <v/>
      </c>
      <c r="X157" s="30" t="str">
        <f>IF(OR($G157="",$I157=""),"",IF(OR($T157&gt;=Setup!$B$8,$U157&gt;=Setup!$B$8),1,""))</f>
        <v/>
      </c>
      <c r="Y157" s="30" t="str">
        <f t="shared" si="26"/>
        <v/>
      </c>
      <c r="Z157" s="33" t="str">
        <f>IF($X157=1,IF($T157&gt;$U157,Setup!$B$9,Setup!$B$10),"")</f>
        <v/>
      </c>
      <c r="AA157" s="33" t="str">
        <f>IF($X157=1,IF($U157&gt;$T157,Setup!$B$9,Setup!$B$10),"")</f>
        <v/>
      </c>
      <c r="AB157" s="30" t="str">
        <f t="shared" si="27"/>
        <v/>
      </c>
      <c r="AC157" s="30" t="str">
        <f t="shared" si="28"/>
        <v/>
      </c>
      <c r="AD157" s="30" t="str">
        <f t="shared" si="29"/>
        <v/>
      </c>
    </row>
    <row r="158" spans="1:30">
      <c r="A158" s="29">
        <v>157</v>
      </c>
      <c r="B158" s="29" t="str">
        <f>IF(INT(($A158-1)/28)+1&lt;=Setup!$B$5,INT(($A158-1)/28)+1,"")</f>
        <v/>
      </c>
      <c r="C158" s="29" t="str">
        <f t="shared" si="20"/>
        <v/>
      </c>
      <c r="D158" s="29">
        <f t="shared" si="21"/>
        <v>17</v>
      </c>
      <c r="E158" s="29" t="str">
        <f>IF($B158="","",IFERROR(INDEX('Fixture Library'!$C$2:$C$200,MATCH(Setup!$B$6*100+$D158,'Fixture Library'!$F$2:$F$200,0)),""))</f>
        <v/>
      </c>
      <c r="F158" s="30" t="str">
        <f>IF($B158="","",IFERROR(INDEX('Fixture Library'!$D$2:$D$200,MATCH(Setup!$B$6*100+$D158,'Fixture Library'!$F$2:$F$200,0)),""))</f>
        <v/>
      </c>
      <c r="G158" s="30" t="str">
        <f>IF($F158="","",INDEX(Teams!$E$2:$E$65,($B158-1)*8+$F158))</f>
        <v/>
      </c>
      <c r="H158" s="30" t="str">
        <f>IF($B158="","",IFERROR(INDEX('Fixture Library'!$E$2:$E$200,MATCH(Setup!$B$6*100+$D158,'Fixture Library'!$F$2:$F$200,0)),""))</f>
        <v/>
      </c>
      <c r="I158" s="30" t="str">
        <f>IF($H158="","",INDEX(Teams!$E$2:$E$65,($B158-1)*8+$H158))</f>
        <v/>
      </c>
      <c r="J158" s="34" t="str">
        <f>IF($G158="","",IFERROR(INDEX('Match Entry'!$F$5:$F$228,5+($B158-1)*Setup!$B$13+$D158-1-4),""))</f>
        <v/>
      </c>
      <c r="K158" s="35" t="str">
        <f>IF($G158="","",IFERROR(INDEX('Match Entry'!$G$5:$G$228,5+($B158-1)*Setup!$B$13+$D158-1-4),""))</f>
        <v/>
      </c>
      <c r="L158" s="34" t="str">
        <f>IF($G158="","",IFERROR(INDEX('Match Entry'!$H$5:$H$228,5+($B158-1)*Setup!$B$13+$D158-1-4),""))</f>
        <v/>
      </c>
      <c r="M158" s="35" t="str">
        <f>IF($G158="","",IFERROR(INDEX('Match Entry'!$I$5:$I$228,5+($B158-1)*Setup!$B$13+$D158-1-4),""))</f>
        <v/>
      </c>
      <c r="N158" s="34" t="str">
        <f>IF($G158="","",IFERROR(INDEX('Match Entry'!$J$5:$J$228,5+($B158-1)*Setup!$B$13+$D158-1-4),""))</f>
        <v/>
      </c>
      <c r="O158" s="35" t="str">
        <f>IF($G158="","",IFERROR(INDEX('Match Entry'!$K$5:$K$228,5+($B158-1)*Setup!$B$13+$D158-1-4),""))</f>
        <v/>
      </c>
      <c r="P158" s="34" t="str">
        <f>IF($G158="","",IFERROR(INDEX('Match Entry'!$L$5:$L$228,5+($B158-1)*Setup!$B$13+$D158-1-4),""))</f>
        <v/>
      </c>
      <c r="Q158" s="35" t="str">
        <f>IF($G158="","",IFERROR(INDEX('Match Entry'!$M$5:$M$228,5+($B158-1)*Setup!$B$13+$D158-1-4),""))</f>
        <v/>
      </c>
      <c r="R158" s="34" t="str">
        <f>IF($G158="","",IFERROR(INDEX('Match Entry'!$N$5:$N$228,5+($B158-1)*Setup!$B$13+$D158-1-4),""))</f>
        <v/>
      </c>
      <c r="S158" s="35" t="str">
        <f>IF($G158="","",IFERROR(INDEX('Match Entry'!$O$5:$O$228,5+($B158-1)*Setup!$B$13+$D158-1-4),""))</f>
        <v/>
      </c>
      <c r="T158" s="33" t="str">
        <f t="shared" si="22"/>
        <v/>
      </c>
      <c r="U158" s="33" t="str">
        <f t="shared" si="23"/>
        <v/>
      </c>
      <c r="V158" s="33" t="str">
        <f t="shared" si="24"/>
        <v/>
      </c>
      <c r="W158" s="33" t="str">
        <f t="shared" si="25"/>
        <v/>
      </c>
      <c r="X158" s="30" t="str">
        <f>IF(OR($G158="",$I158=""),"",IF(OR($T158&gt;=Setup!$B$8,$U158&gt;=Setup!$B$8),1,""))</f>
        <v/>
      </c>
      <c r="Y158" s="30" t="str">
        <f t="shared" si="26"/>
        <v/>
      </c>
      <c r="Z158" s="33" t="str">
        <f>IF($X158=1,IF($T158&gt;$U158,Setup!$B$9,Setup!$B$10),"")</f>
        <v/>
      </c>
      <c r="AA158" s="33" t="str">
        <f>IF($X158=1,IF($U158&gt;$T158,Setup!$B$9,Setup!$B$10),"")</f>
        <v/>
      </c>
      <c r="AB158" s="30" t="str">
        <f t="shared" si="27"/>
        <v/>
      </c>
      <c r="AC158" s="30" t="str">
        <f t="shared" si="28"/>
        <v/>
      </c>
      <c r="AD158" s="30" t="str">
        <f t="shared" si="29"/>
        <v/>
      </c>
    </row>
    <row r="159" spans="1:30">
      <c r="A159" s="29">
        <v>158</v>
      </c>
      <c r="B159" s="29" t="str">
        <f>IF(INT(($A159-1)/28)+1&lt;=Setup!$B$5,INT(($A159-1)/28)+1,"")</f>
        <v/>
      </c>
      <c r="C159" s="29" t="str">
        <f t="shared" si="20"/>
        <v/>
      </c>
      <c r="D159" s="29">
        <f t="shared" si="21"/>
        <v>18</v>
      </c>
      <c r="E159" s="29" t="str">
        <f>IF($B159="","",IFERROR(INDEX('Fixture Library'!$C$2:$C$200,MATCH(Setup!$B$6*100+$D159,'Fixture Library'!$F$2:$F$200,0)),""))</f>
        <v/>
      </c>
      <c r="F159" s="30" t="str">
        <f>IF($B159="","",IFERROR(INDEX('Fixture Library'!$D$2:$D$200,MATCH(Setup!$B$6*100+$D159,'Fixture Library'!$F$2:$F$200,0)),""))</f>
        <v/>
      </c>
      <c r="G159" s="30" t="str">
        <f>IF($F159="","",INDEX(Teams!$E$2:$E$65,($B159-1)*8+$F159))</f>
        <v/>
      </c>
      <c r="H159" s="30" t="str">
        <f>IF($B159="","",IFERROR(INDEX('Fixture Library'!$E$2:$E$200,MATCH(Setup!$B$6*100+$D159,'Fixture Library'!$F$2:$F$200,0)),""))</f>
        <v/>
      </c>
      <c r="I159" s="30" t="str">
        <f>IF($H159="","",INDEX(Teams!$E$2:$E$65,($B159-1)*8+$H159))</f>
        <v/>
      </c>
      <c r="J159" s="34" t="str">
        <f>IF($G159="","",IFERROR(INDEX('Match Entry'!$F$5:$F$228,5+($B159-1)*Setup!$B$13+$D159-1-4),""))</f>
        <v/>
      </c>
      <c r="K159" s="35" t="str">
        <f>IF($G159="","",IFERROR(INDEX('Match Entry'!$G$5:$G$228,5+($B159-1)*Setup!$B$13+$D159-1-4),""))</f>
        <v/>
      </c>
      <c r="L159" s="34" t="str">
        <f>IF($G159="","",IFERROR(INDEX('Match Entry'!$H$5:$H$228,5+($B159-1)*Setup!$B$13+$D159-1-4),""))</f>
        <v/>
      </c>
      <c r="M159" s="35" t="str">
        <f>IF($G159="","",IFERROR(INDEX('Match Entry'!$I$5:$I$228,5+($B159-1)*Setup!$B$13+$D159-1-4),""))</f>
        <v/>
      </c>
      <c r="N159" s="34" t="str">
        <f>IF($G159="","",IFERROR(INDEX('Match Entry'!$J$5:$J$228,5+($B159-1)*Setup!$B$13+$D159-1-4),""))</f>
        <v/>
      </c>
      <c r="O159" s="35" t="str">
        <f>IF($G159="","",IFERROR(INDEX('Match Entry'!$K$5:$K$228,5+($B159-1)*Setup!$B$13+$D159-1-4),""))</f>
        <v/>
      </c>
      <c r="P159" s="34" t="str">
        <f>IF($G159="","",IFERROR(INDEX('Match Entry'!$L$5:$L$228,5+($B159-1)*Setup!$B$13+$D159-1-4),""))</f>
        <v/>
      </c>
      <c r="Q159" s="35" t="str">
        <f>IF($G159="","",IFERROR(INDEX('Match Entry'!$M$5:$M$228,5+($B159-1)*Setup!$B$13+$D159-1-4),""))</f>
        <v/>
      </c>
      <c r="R159" s="34" t="str">
        <f>IF($G159="","",IFERROR(INDEX('Match Entry'!$N$5:$N$228,5+($B159-1)*Setup!$B$13+$D159-1-4),""))</f>
        <v/>
      </c>
      <c r="S159" s="35" t="str">
        <f>IF($G159="","",IFERROR(INDEX('Match Entry'!$O$5:$O$228,5+($B159-1)*Setup!$B$13+$D159-1-4),""))</f>
        <v/>
      </c>
      <c r="T159" s="33" t="str">
        <f t="shared" si="22"/>
        <v/>
      </c>
      <c r="U159" s="33" t="str">
        <f t="shared" si="23"/>
        <v/>
      </c>
      <c r="V159" s="33" t="str">
        <f t="shared" si="24"/>
        <v/>
      </c>
      <c r="W159" s="33" t="str">
        <f t="shared" si="25"/>
        <v/>
      </c>
      <c r="X159" s="30" t="str">
        <f>IF(OR($G159="",$I159=""),"",IF(OR($T159&gt;=Setup!$B$8,$U159&gt;=Setup!$B$8),1,""))</f>
        <v/>
      </c>
      <c r="Y159" s="30" t="str">
        <f t="shared" si="26"/>
        <v/>
      </c>
      <c r="Z159" s="33" t="str">
        <f>IF($X159=1,IF($T159&gt;$U159,Setup!$B$9,Setup!$B$10),"")</f>
        <v/>
      </c>
      <c r="AA159" s="33" t="str">
        <f>IF($X159=1,IF($U159&gt;$T159,Setup!$B$9,Setup!$B$10),"")</f>
        <v/>
      </c>
      <c r="AB159" s="30" t="str">
        <f t="shared" si="27"/>
        <v/>
      </c>
      <c r="AC159" s="30" t="str">
        <f t="shared" si="28"/>
        <v/>
      </c>
      <c r="AD159" s="30" t="str">
        <f t="shared" si="29"/>
        <v/>
      </c>
    </row>
    <row r="160" spans="1:30">
      <c r="A160" s="29">
        <v>159</v>
      </c>
      <c r="B160" s="29" t="str">
        <f>IF(INT(($A160-1)/28)+1&lt;=Setup!$B$5,INT(($A160-1)/28)+1,"")</f>
        <v/>
      </c>
      <c r="C160" s="29" t="str">
        <f t="shared" si="20"/>
        <v/>
      </c>
      <c r="D160" s="29">
        <f t="shared" si="21"/>
        <v>19</v>
      </c>
      <c r="E160" s="29" t="str">
        <f>IF($B160="","",IFERROR(INDEX('Fixture Library'!$C$2:$C$200,MATCH(Setup!$B$6*100+$D160,'Fixture Library'!$F$2:$F$200,0)),""))</f>
        <v/>
      </c>
      <c r="F160" s="30" t="str">
        <f>IF($B160="","",IFERROR(INDEX('Fixture Library'!$D$2:$D$200,MATCH(Setup!$B$6*100+$D160,'Fixture Library'!$F$2:$F$200,0)),""))</f>
        <v/>
      </c>
      <c r="G160" s="30" t="str">
        <f>IF($F160="","",INDEX(Teams!$E$2:$E$65,($B160-1)*8+$F160))</f>
        <v/>
      </c>
      <c r="H160" s="30" t="str">
        <f>IF($B160="","",IFERROR(INDEX('Fixture Library'!$E$2:$E$200,MATCH(Setup!$B$6*100+$D160,'Fixture Library'!$F$2:$F$200,0)),""))</f>
        <v/>
      </c>
      <c r="I160" s="30" t="str">
        <f>IF($H160="","",INDEX(Teams!$E$2:$E$65,($B160-1)*8+$H160))</f>
        <v/>
      </c>
      <c r="J160" s="34" t="str">
        <f>IF($G160="","",IFERROR(INDEX('Match Entry'!$F$5:$F$228,5+($B160-1)*Setup!$B$13+$D160-1-4),""))</f>
        <v/>
      </c>
      <c r="K160" s="35" t="str">
        <f>IF($G160="","",IFERROR(INDEX('Match Entry'!$G$5:$G$228,5+($B160-1)*Setup!$B$13+$D160-1-4),""))</f>
        <v/>
      </c>
      <c r="L160" s="34" t="str">
        <f>IF($G160="","",IFERROR(INDEX('Match Entry'!$H$5:$H$228,5+($B160-1)*Setup!$B$13+$D160-1-4),""))</f>
        <v/>
      </c>
      <c r="M160" s="35" t="str">
        <f>IF($G160="","",IFERROR(INDEX('Match Entry'!$I$5:$I$228,5+($B160-1)*Setup!$B$13+$D160-1-4),""))</f>
        <v/>
      </c>
      <c r="N160" s="34" t="str">
        <f>IF($G160="","",IFERROR(INDEX('Match Entry'!$J$5:$J$228,5+($B160-1)*Setup!$B$13+$D160-1-4),""))</f>
        <v/>
      </c>
      <c r="O160" s="35" t="str">
        <f>IF($G160="","",IFERROR(INDEX('Match Entry'!$K$5:$K$228,5+($B160-1)*Setup!$B$13+$D160-1-4),""))</f>
        <v/>
      </c>
      <c r="P160" s="34" t="str">
        <f>IF($G160="","",IFERROR(INDEX('Match Entry'!$L$5:$L$228,5+($B160-1)*Setup!$B$13+$D160-1-4),""))</f>
        <v/>
      </c>
      <c r="Q160" s="35" t="str">
        <f>IF($G160="","",IFERROR(INDEX('Match Entry'!$M$5:$M$228,5+($B160-1)*Setup!$B$13+$D160-1-4),""))</f>
        <v/>
      </c>
      <c r="R160" s="34" t="str">
        <f>IF($G160="","",IFERROR(INDEX('Match Entry'!$N$5:$N$228,5+($B160-1)*Setup!$B$13+$D160-1-4),""))</f>
        <v/>
      </c>
      <c r="S160" s="35" t="str">
        <f>IF($G160="","",IFERROR(INDEX('Match Entry'!$O$5:$O$228,5+($B160-1)*Setup!$B$13+$D160-1-4),""))</f>
        <v/>
      </c>
      <c r="T160" s="33" t="str">
        <f t="shared" si="22"/>
        <v/>
      </c>
      <c r="U160" s="33" t="str">
        <f t="shared" si="23"/>
        <v/>
      </c>
      <c r="V160" s="33" t="str">
        <f t="shared" si="24"/>
        <v/>
      </c>
      <c r="W160" s="33" t="str">
        <f t="shared" si="25"/>
        <v/>
      </c>
      <c r="X160" s="30" t="str">
        <f>IF(OR($G160="",$I160=""),"",IF(OR($T160&gt;=Setup!$B$8,$U160&gt;=Setup!$B$8),1,""))</f>
        <v/>
      </c>
      <c r="Y160" s="30" t="str">
        <f t="shared" si="26"/>
        <v/>
      </c>
      <c r="Z160" s="33" t="str">
        <f>IF($X160=1,IF($T160&gt;$U160,Setup!$B$9,Setup!$B$10),"")</f>
        <v/>
      </c>
      <c r="AA160" s="33" t="str">
        <f>IF($X160=1,IF($U160&gt;$T160,Setup!$B$9,Setup!$B$10),"")</f>
        <v/>
      </c>
      <c r="AB160" s="30" t="str">
        <f t="shared" si="27"/>
        <v/>
      </c>
      <c r="AC160" s="30" t="str">
        <f t="shared" si="28"/>
        <v/>
      </c>
      <c r="AD160" s="30" t="str">
        <f t="shared" si="29"/>
        <v/>
      </c>
    </row>
    <row r="161" spans="1:30">
      <c r="A161" s="29">
        <v>160</v>
      </c>
      <c r="B161" s="29" t="str">
        <f>IF(INT(($A161-1)/28)+1&lt;=Setup!$B$5,INT(($A161-1)/28)+1,"")</f>
        <v/>
      </c>
      <c r="C161" s="29" t="str">
        <f t="shared" si="20"/>
        <v/>
      </c>
      <c r="D161" s="29">
        <f t="shared" si="21"/>
        <v>20</v>
      </c>
      <c r="E161" s="29" t="str">
        <f>IF($B161="","",IFERROR(INDEX('Fixture Library'!$C$2:$C$200,MATCH(Setup!$B$6*100+$D161,'Fixture Library'!$F$2:$F$200,0)),""))</f>
        <v/>
      </c>
      <c r="F161" s="30" t="str">
        <f>IF($B161="","",IFERROR(INDEX('Fixture Library'!$D$2:$D$200,MATCH(Setup!$B$6*100+$D161,'Fixture Library'!$F$2:$F$200,0)),""))</f>
        <v/>
      </c>
      <c r="G161" s="30" t="str">
        <f>IF($F161="","",INDEX(Teams!$E$2:$E$65,($B161-1)*8+$F161))</f>
        <v/>
      </c>
      <c r="H161" s="30" t="str">
        <f>IF($B161="","",IFERROR(INDEX('Fixture Library'!$E$2:$E$200,MATCH(Setup!$B$6*100+$D161,'Fixture Library'!$F$2:$F$200,0)),""))</f>
        <v/>
      </c>
      <c r="I161" s="30" t="str">
        <f>IF($H161="","",INDEX(Teams!$E$2:$E$65,($B161-1)*8+$H161))</f>
        <v/>
      </c>
      <c r="J161" s="34" t="str">
        <f>IF($G161="","",IFERROR(INDEX('Match Entry'!$F$5:$F$228,5+($B161-1)*Setup!$B$13+$D161-1-4),""))</f>
        <v/>
      </c>
      <c r="K161" s="35" t="str">
        <f>IF($G161="","",IFERROR(INDEX('Match Entry'!$G$5:$G$228,5+($B161-1)*Setup!$B$13+$D161-1-4),""))</f>
        <v/>
      </c>
      <c r="L161" s="34" t="str">
        <f>IF($G161="","",IFERROR(INDEX('Match Entry'!$H$5:$H$228,5+($B161-1)*Setup!$B$13+$D161-1-4),""))</f>
        <v/>
      </c>
      <c r="M161" s="35" t="str">
        <f>IF($G161="","",IFERROR(INDEX('Match Entry'!$I$5:$I$228,5+($B161-1)*Setup!$B$13+$D161-1-4),""))</f>
        <v/>
      </c>
      <c r="N161" s="34" t="str">
        <f>IF($G161="","",IFERROR(INDEX('Match Entry'!$J$5:$J$228,5+($B161-1)*Setup!$B$13+$D161-1-4),""))</f>
        <v/>
      </c>
      <c r="O161" s="35" t="str">
        <f>IF($G161="","",IFERROR(INDEX('Match Entry'!$K$5:$K$228,5+($B161-1)*Setup!$B$13+$D161-1-4),""))</f>
        <v/>
      </c>
      <c r="P161" s="34" t="str">
        <f>IF($G161="","",IFERROR(INDEX('Match Entry'!$L$5:$L$228,5+($B161-1)*Setup!$B$13+$D161-1-4),""))</f>
        <v/>
      </c>
      <c r="Q161" s="35" t="str">
        <f>IF($G161="","",IFERROR(INDEX('Match Entry'!$M$5:$M$228,5+($B161-1)*Setup!$B$13+$D161-1-4),""))</f>
        <v/>
      </c>
      <c r="R161" s="34" t="str">
        <f>IF($G161="","",IFERROR(INDEX('Match Entry'!$N$5:$N$228,5+($B161-1)*Setup!$B$13+$D161-1-4),""))</f>
        <v/>
      </c>
      <c r="S161" s="35" t="str">
        <f>IF($G161="","",IFERROR(INDEX('Match Entry'!$O$5:$O$228,5+($B161-1)*Setup!$B$13+$D161-1-4),""))</f>
        <v/>
      </c>
      <c r="T161" s="33" t="str">
        <f t="shared" si="22"/>
        <v/>
      </c>
      <c r="U161" s="33" t="str">
        <f t="shared" si="23"/>
        <v/>
      </c>
      <c r="V161" s="33" t="str">
        <f t="shared" si="24"/>
        <v/>
      </c>
      <c r="W161" s="33" t="str">
        <f t="shared" si="25"/>
        <v/>
      </c>
      <c r="X161" s="30" t="str">
        <f>IF(OR($G161="",$I161=""),"",IF(OR($T161&gt;=Setup!$B$8,$U161&gt;=Setup!$B$8),1,""))</f>
        <v/>
      </c>
      <c r="Y161" s="30" t="str">
        <f t="shared" si="26"/>
        <v/>
      </c>
      <c r="Z161" s="33" t="str">
        <f>IF($X161=1,IF($T161&gt;$U161,Setup!$B$9,Setup!$B$10),"")</f>
        <v/>
      </c>
      <c r="AA161" s="33" t="str">
        <f>IF($X161=1,IF($U161&gt;$T161,Setup!$B$9,Setup!$B$10),"")</f>
        <v/>
      </c>
      <c r="AB161" s="30" t="str">
        <f t="shared" si="27"/>
        <v/>
      </c>
      <c r="AC161" s="30" t="str">
        <f t="shared" si="28"/>
        <v/>
      </c>
      <c r="AD161" s="30" t="str">
        <f t="shared" si="29"/>
        <v/>
      </c>
    </row>
    <row r="162" spans="1:30">
      <c r="A162" s="29">
        <v>161</v>
      </c>
      <c r="B162" s="29" t="str">
        <f>IF(INT(($A162-1)/28)+1&lt;=Setup!$B$5,INT(($A162-1)/28)+1,"")</f>
        <v/>
      </c>
      <c r="C162" s="29" t="str">
        <f t="shared" si="20"/>
        <v/>
      </c>
      <c r="D162" s="29">
        <f t="shared" si="21"/>
        <v>21</v>
      </c>
      <c r="E162" s="29" t="str">
        <f>IF($B162="","",IFERROR(INDEX('Fixture Library'!$C$2:$C$200,MATCH(Setup!$B$6*100+$D162,'Fixture Library'!$F$2:$F$200,0)),""))</f>
        <v/>
      </c>
      <c r="F162" s="30" t="str">
        <f>IF($B162="","",IFERROR(INDEX('Fixture Library'!$D$2:$D$200,MATCH(Setup!$B$6*100+$D162,'Fixture Library'!$F$2:$F$200,0)),""))</f>
        <v/>
      </c>
      <c r="G162" s="30" t="str">
        <f>IF($F162="","",INDEX(Teams!$E$2:$E$65,($B162-1)*8+$F162))</f>
        <v/>
      </c>
      <c r="H162" s="30" t="str">
        <f>IF($B162="","",IFERROR(INDEX('Fixture Library'!$E$2:$E$200,MATCH(Setup!$B$6*100+$D162,'Fixture Library'!$F$2:$F$200,0)),""))</f>
        <v/>
      </c>
      <c r="I162" s="30" t="str">
        <f>IF($H162="","",INDEX(Teams!$E$2:$E$65,($B162-1)*8+$H162))</f>
        <v/>
      </c>
      <c r="J162" s="34" t="str">
        <f>IF($G162="","",IFERROR(INDEX('Match Entry'!$F$5:$F$228,5+($B162-1)*Setup!$B$13+$D162-1-4),""))</f>
        <v/>
      </c>
      <c r="K162" s="35" t="str">
        <f>IF($G162="","",IFERROR(INDEX('Match Entry'!$G$5:$G$228,5+($B162-1)*Setup!$B$13+$D162-1-4),""))</f>
        <v/>
      </c>
      <c r="L162" s="34" t="str">
        <f>IF($G162="","",IFERROR(INDEX('Match Entry'!$H$5:$H$228,5+($B162-1)*Setup!$B$13+$D162-1-4),""))</f>
        <v/>
      </c>
      <c r="M162" s="35" t="str">
        <f>IF($G162="","",IFERROR(INDEX('Match Entry'!$I$5:$I$228,5+($B162-1)*Setup!$B$13+$D162-1-4),""))</f>
        <v/>
      </c>
      <c r="N162" s="34" t="str">
        <f>IF($G162="","",IFERROR(INDEX('Match Entry'!$J$5:$J$228,5+($B162-1)*Setup!$B$13+$D162-1-4),""))</f>
        <v/>
      </c>
      <c r="O162" s="35" t="str">
        <f>IF($G162="","",IFERROR(INDEX('Match Entry'!$K$5:$K$228,5+($B162-1)*Setup!$B$13+$D162-1-4),""))</f>
        <v/>
      </c>
      <c r="P162" s="34" t="str">
        <f>IF($G162="","",IFERROR(INDEX('Match Entry'!$L$5:$L$228,5+($B162-1)*Setup!$B$13+$D162-1-4),""))</f>
        <v/>
      </c>
      <c r="Q162" s="35" t="str">
        <f>IF($G162="","",IFERROR(INDEX('Match Entry'!$M$5:$M$228,5+($B162-1)*Setup!$B$13+$D162-1-4),""))</f>
        <v/>
      </c>
      <c r="R162" s="34" t="str">
        <f>IF($G162="","",IFERROR(INDEX('Match Entry'!$N$5:$N$228,5+($B162-1)*Setup!$B$13+$D162-1-4),""))</f>
        <v/>
      </c>
      <c r="S162" s="35" t="str">
        <f>IF($G162="","",IFERROR(INDEX('Match Entry'!$O$5:$O$228,5+($B162-1)*Setup!$B$13+$D162-1-4),""))</f>
        <v/>
      </c>
      <c r="T162" s="33" t="str">
        <f t="shared" si="22"/>
        <v/>
      </c>
      <c r="U162" s="33" t="str">
        <f t="shared" si="23"/>
        <v/>
      </c>
      <c r="V162" s="33" t="str">
        <f t="shared" si="24"/>
        <v/>
      </c>
      <c r="W162" s="33" t="str">
        <f t="shared" si="25"/>
        <v/>
      </c>
      <c r="X162" s="30" t="str">
        <f>IF(OR($G162="",$I162=""),"",IF(OR($T162&gt;=Setup!$B$8,$U162&gt;=Setup!$B$8),1,""))</f>
        <v/>
      </c>
      <c r="Y162" s="30" t="str">
        <f t="shared" si="26"/>
        <v/>
      </c>
      <c r="Z162" s="33" t="str">
        <f>IF($X162=1,IF($T162&gt;$U162,Setup!$B$9,Setup!$B$10),"")</f>
        <v/>
      </c>
      <c r="AA162" s="33" t="str">
        <f>IF($X162=1,IF($U162&gt;$T162,Setup!$B$9,Setup!$B$10),"")</f>
        <v/>
      </c>
      <c r="AB162" s="30" t="str">
        <f t="shared" si="27"/>
        <v/>
      </c>
      <c r="AC162" s="30" t="str">
        <f t="shared" si="28"/>
        <v/>
      </c>
      <c r="AD162" s="30" t="str">
        <f t="shared" si="29"/>
        <v/>
      </c>
    </row>
    <row r="163" spans="1:30">
      <c r="A163" s="29">
        <v>162</v>
      </c>
      <c r="B163" s="29" t="str">
        <f>IF(INT(($A163-1)/28)+1&lt;=Setup!$B$5,INT(($A163-1)/28)+1,"")</f>
        <v/>
      </c>
      <c r="C163" s="29" t="str">
        <f t="shared" si="20"/>
        <v/>
      </c>
      <c r="D163" s="29">
        <f t="shared" si="21"/>
        <v>22</v>
      </c>
      <c r="E163" s="29" t="str">
        <f>IF($B163="","",IFERROR(INDEX('Fixture Library'!$C$2:$C$200,MATCH(Setup!$B$6*100+$D163,'Fixture Library'!$F$2:$F$200,0)),""))</f>
        <v/>
      </c>
      <c r="F163" s="30" t="str">
        <f>IF($B163="","",IFERROR(INDEX('Fixture Library'!$D$2:$D$200,MATCH(Setup!$B$6*100+$D163,'Fixture Library'!$F$2:$F$200,0)),""))</f>
        <v/>
      </c>
      <c r="G163" s="30" t="str">
        <f>IF($F163="","",INDEX(Teams!$E$2:$E$65,($B163-1)*8+$F163))</f>
        <v/>
      </c>
      <c r="H163" s="30" t="str">
        <f>IF($B163="","",IFERROR(INDEX('Fixture Library'!$E$2:$E$200,MATCH(Setup!$B$6*100+$D163,'Fixture Library'!$F$2:$F$200,0)),""))</f>
        <v/>
      </c>
      <c r="I163" s="30" t="str">
        <f>IF($H163="","",INDEX(Teams!$E$2:$E$65,($B163-1)*8+$H163))</f>
        <v/>
      </c>
      <c r="J163" s="34" t="str">
        <f>IF($G163="","",IFERROR(INDEX('Match Entry'!$F$5:$F$228,5+($B163-1)*Setup!$B$13+$D163-1-4),""))</f>
        <v/>
      </c>
      <c r="K163" s="35" t="str">
        <f>IF($G163="","",IFERROR(INDEX('Match Entry'!$G$5:$G$228,5+($B163-1)*Setup!$B$13+$D163-1-4),""))</f>
        <v/>
      </c>
      <c r="L163" s="34" t="str">
        <f>IF($G163="","",IFERROR(INDEX('Match Entry'!$H$5:$H$228,5+($B163-1)*Setup!$B$13+$D163-1-4),""))</f>
        <v/>
      </c>
      <c r="M163" s="35" t="str">
        <f>IF($G163="","",IFERROR(INDEX('Match Entry'!$I$5:$I$228,5+($B163-1)*Setup!$B$13+$D163-1-4),""))</f>
        <v/>
      </c>
      <c r="N163" s="34" t="str">
        <f>IF($G163="","",IFERROR(INDEX('Match Entry'!$J$5:$J$228,5+($B163-1)*Setup!$B$13+$D163-1-4),""))</f>
        <v/>
      </c>
      <c r="O163" s="35" t="str">
        <f>IF($G163="","",IFERROR(INDEX('Match Entry'!$K$5:$K$228,5+($B163-1)*Setup!$B$13+$D163-1-4),""))</f>
        <v/>
      </c>
      <c r="P163" s="34" t="str">
        <f>IF($G163="","",IFERROR(INDEX('Match Entry'!$L$5:$L$228,5+($B163-1)*Setup!$B$13+$D163-1-4),""))</f>
        <v/>
      </c>
      <c r="Q163" s="35" t="str">
        <f>IF($G163="","",IFERROR(INDEX('Match Entry'!$M$5:$M$228,5+($B163-1)*Setup!$B$13+$D163-1-4),""))</f>
        <v/>
      </c>
      <c r="R163" s="34" t="str">
        <f>IF($G163="","",IFERROR(INDEX('Match Entry'!$N$5:$N$228,5+($B163-1)*Setup!$B$13+$D163-1-4),""))</f>
        <v/>
      </c>
      <c r="S163" s="35" t="str">
        <f>IF($G163="","",IFERROR(INDEX('Match Entry'!$O$5:$O$228,5+($B163-1)*Setup!$B$13+$D163-1-4),""))</f>
        <v/>
      </c>
      <c r="T163" s="33" t="str">
        <f t="shared" si="22"/>
        <v/>
      </c>
      <c r="U163" s="33" t="str">
        <f t="shared" si="23"/>
        <v/>
      </c>
      <c r="V163" s="33" t="str">
        <f t="shared" si="24"/>
        <v/>
      </c>
      <c r="W163" s="33" t="str">
        <f t="shared" si="25"/>
        <v/>
      </c>
      <c r="X163" s="30" t="str">
        <f>IF(OR($G163="",$I163=""),"",IF(OR($T163&gt;=Setup!$B$8,$U163&gt;=Setup!$B$8),1,""))</f>
        <v/>
      </c>
      <c r="Y163" s="30" t="str">
        <f t="shared" si="26"/>
        <v/>
      </c>
      <c r="Z163" s="33" t="str">
        <f>IF($X163=1,IF($T163&gt;$U163,Setup!$B$9,Setup!$B$10),"")</f>
        <v/>
      </c>
      <c r="AA163" s="33" t="str">
        <f>IF($X163=1,IF($U163&gt;$T163,Setup!$B$9,Setup!$B$10),"")</f>
        <v/>
      </c>
      <c r="AB163" s="30" t="str">
        <f t="shared" si="27"/>
        <v/>
      </c>
      <c r="AC163" s="30" t="str">
        <f t="shared" si="28"/>
        <v/>
      </c>
      <c r="AD163" s="30" t="str">
        <f t="shared" si="29"/>
        <v/>
      </c>
    </row>
    <row r="164" spans="1:30">
      <c r="A164" s="29">
        <v>163</v>
      </c>
      <c r="B164" s="29" t="str">
        <f>IF(INT(($A164-1)/28)+1&lt;=Setup!$B$5,INT(($A164-1)/28)+1,"")</f>
        <v/>
      </c>
      <c r="C164" s="29" t="str">
        <f t="shared" si="20"/>
        <v/>
      </c>
      <c r="D164" s="29">
        <f t="shared" si="21"/>
        <v>23</v>
      </c>
      <c r="E164" s="29" t="str">
        <f>IF($B164="","",IFERROR(INDEX('Fixture Library'!$C$2:$C$200,MATCH(Setup!$B$6*100+$D164,'Fixture Library'!$F$2:$F$200,0)),""))</f>
        <v/>
      </c>
      <c r="F164" s="30" t="str">
        <f>IF($B164="","",IFERROR(INDEX('Fixture Library'!$D$2:$D$200,MATCH(Setup!$B$6*100+$D164,'Fixture Library'!$F$2:$F$200,0)),""))</f>
        <v/>
      </c>
      <c r="G164" s="30" t="str">
        <f>IF($F164="","",INDEX(Teams!$E$2:$E$65,($B164-1)*8+$F164))</f>
        <v/>
      </c>
      <c r="H164" s="30" t="str">
        <f>IF($B164="","",IFERROR(INDEX('Fixture Library'!$E$2:$E$200,MATCH(Setup!$B$6*100+$D164,'Fixture Library'!$F$2:$F$200,0)),""))</f>
        <v/>
      </c>
      <c r="I164" s="30" t="str">
        <f>IF($H164="","",INDEX(Teams!$E$2:$E$65,($B164-1)*8+$H164))</f>
        <v/>
      </c>
      <c r="J164" s="34" t="str">
        <f>IF($G164="","",IFERROR(INDEX('Match Entry'!$F$5:$F$228,5+($B164-1)*Setup!$B$13+$D164-1-4),""))</f>
        <v/>
      </c>
      <c r="K164" s="35" t="str">
        <f>IF($G164="","",IFERROR(INDEX('Match Entry'!$G$5:$G$228,5+($B164-1)*Setup!$B$13+$D164-1-4),""))</f>
        <v/>
      </c>
      <c r="L164" s="34" t="str">
        <f>IF($G164="","",IFERROR(INDEX('Match Entry'!$H$5:$H$228,5+($B164-1)*Setup!$B$13+$D164-1-4),""))</f>
        <v/>
      </c>
      <c r="M164" s="35" t="str">
        <f>IF($G164="","",IFERROR(INDEX('Match Entry'!$I$5:$I$228,5+($B164-1)*Setup!$B$13+$D164-1-4),""))</f>
        <v/>
      </c>
      <c r="N164" s="34" t="str">
        <f>IF($G164="","",IFERROR(INDEX('Match Entry'!$J$5:$J$228,5+($B164-1)*Setup!$B$13+$D164-1-4),""))</f>
        <v/>
      </c>
      <c r="O164" s="35" t="str">
        <f>IF($G164="","",IFERROR(INDEX('Match Entry'!$K$5:$K$228,5+($B164-1)*Setup!$B$13+$D164-1-4),""))</f>
        <v/>
      </c>
      <c r="P164" s="34" t="str">
        <f>IF($G164="","",IFERROR(INDEX('Match Entry'!$L$5:$L$228,5+($B164-1)*Setup!$B$13+$D164-1-4),""))</f>
        <v/>
      </c>
      <c r="Q164" s="35" t="str">
        <f>IF($G164="","",IFERROR(INDEX('Match Entry'!$M$5:$M$228,5+($B164-1)*Setup!$B$13+$D164-1-4),""))</f>
        <v/>
      </c>
      <c r="R164" s="34" t="str">
        <f>IF($G164="","",IFERROR(INDEX('Match Entry'!$N$5:$N$228,5+($B164-1)*Setup!$B$13+$D164-1-4),""))</f>
        <v/>
      </c>
      <c r="S164" s="35" t="str">
        <f>IF($G164="","",IFERROR(INDEX('Match Entry'!$O$5:$O$228,5+($B164-1)*Setup!$B$13+$D164-1-4),""))</f>
        <v/>
      </c>
      <c r="T164" s="33" t="str">
        <f t="shared" si="22"/>
        <v/>
      </c>
      <c r="U164" s="33" t="str">
        <f t="shared" si="23"/>
        <v/>
      </c>
      <c r="V164" s="33" t="str">
        <f t="shared" si="24"/>
        <v/>
      </c>
      <c r="W164" s="33" t="str">
        <f t="shared" si="25"/>
        <v/>
      </c>
      <c r="X164" s="30" t="str">
        <f>IF(OR($G164="",$I164=""),"",IF(OR($T164&gt;=Setup!$B$8,$U164&gt;=Setup!$B$8),1,""))</f>
        <v/>
      </c>
      <c r="Y164" s="30" t="str">
        <f t="shared" si="26"/>
        <v/>
      </c>
      <c r="Z164" s="33" t="str">
        <f>IF($X164=1,IF($T164&gt;$U164,Setup!$B$9,Setup!$B$10),"")</f>
        <v/>
      </c>
      <c r="AA164" s="33" t="str">
        <f>IF($X164=1,IF($U164&gt;$T164,Setup!$B$9,Setup!$B$10),"")</f>
        <v/>
      </c>
      <c r="AB164" s="30" t="str">
        <f t="shared" si="27"/>
        <v/>
      </c>
      <c r="AC164" s="30" t="str">
        <f t="shared" si="28"/>
        <v/>
      </c>
      <c r="AD164" s="30" t="str">
        <f t="shared" si="29"/>
        <v/>
      </c>
    </row>
    <row r="165" spans="1:30">
      <c r="A165" s="29">
        <v>164</v>
      </c>
      <c r="B165" s="29" t="str">
        <f>IF(INT(($A165-1)/28)+1&lt;=Setup!$B$5,INT(($A165-1)/28)+1,"")</f>
        <v/>
      </c>
      <c r="C165" s="29" t="str">
        <f t="shared" si="20"/>
        <v/>
      </c>
      <c r="D165" s="29">
        <f t="shared" si="21"/>
        <v>24</v>
      </c>
      <c r="E165" s="29" t="str">
        <f>IF($B165="","",IFERROR(INDEX('Fixture Library'!$C$2:$C$200,MATCH(Setup!$B$6*100+$D165,'Fixture Library'!$F$2:$F$200,0)),""))</f>
        <v/>
      </c>
      <c r="F165" s="30" t="str">
        <f>IF($B165="","",IFERROR(INDEX('Fixture Library'!$D$2:$D$200,MATCH(Setup!$B$6*100+$D165,'Fixture Library'!$F$2:$F$200,0)),""))</f>
        <v/>
      </c>
      <c r="G165" s="30" t="str">
        <f>IF($F165="","",INDEX(Teams!$E$2:$E$65,($B165-1)*8+$F165))</f>
        <v/>
      </c>
      <c r="H165" s="30" t="str">
        <f>IF($B165="","",IFERROR(INDEX('Fixture Library'!$E$2:$E$200,MATCH(Setup!$B$6*100+$D165,'Fixture Library'!$F$2:$F$200,0)),""))</f>
        <v/>
      </c>
      <c r="I165" s="30" t="str">
        <f>IF($H165="","",INDEX(Teams!$E$2:$E$65,($B165-1)*8+$H165))</f>
        <v/>
      </c>
      <c r="J165" s="34" t="str">
        <f>IF($G165="","",IFERROR(INDEX('Match Entry'!$F$5:$F$228,5+($B165-1)*Setup!$B$13+$D165-1-4),""))</f>
        <v/>
      </c>
      <c r="K165" s="35" t="str">
        <f>IF($G165="","",IFERROR(INDEX('Match Entry'!$G$5:$G$228,5+($B165-1)*Setup!$B$13+$D165-1-4),""))</f>
        <v/>
      </c>
      <c r="L165" s="34" t="str">
        <f>IF($G165="","",IFERROR(INDEX('Match Entry'!$H$5:$H$228,5+($B165-1)*Setup!$B$13+$D165-1-4),""))</f>
        <v/>
      </c>
      <c r="M165" s="35" t="str">
        <f>IF($G165="","",IFERROR(INDEX('Match Entry'!$I$5:$I$228,5+($B165-1)*Setup!$B$13+$D165-1-4),""))</f>
        <v/>
      </c>
      <c r="N165" s="34" t="str">
        <f>IF($G165="","",IFERROR(INDEX('Match Entry'!$J$5:$J$228,5+($B165-1)*Setup!$B$13+$D165-1-4),""))</f>
        <v/>
      </c>
      <c r="O165" s="35" t="str">
        <f>IF($G165="","",IFERROR(INDEX('Match Entry'!$K$5:$K$228,5+($B165-1)*Setup!$B$13+$D165-1-4),""))</f>
        <v/>
      </c>
      <c r="P165" s="34" t="str">
        <f>IF($G165="","",IFERROR(INDEX('Match Entry'!$L$5:$L$228,5+($B165-1)*Setup!$B$13+$D165-1-4),""))</f>
        <v/>
      </c>
      <c r="Q165" s="35" t="str">
        <f>IF($G165="","",IFERROR(INDEX('Match Entry'!$M$5:$M$228,5+($B165-1)*Setup!$B$13+$D165-1-4),""))</f>
        <v/>
      </c>
      <c r="R165" s="34" t="str">
        <f>IF($G165="","",IFERROR(INDEX('Match Entry'!$N$5:$N$228,5+($B165-1)*Setup!$B$13+$D165-1-4),""))</f>
        <v/>
      </c>
      <c r="S165" s="35" t="str">
        <f>IF($G165="","",IFERROR(INDEX('Match Entry'!$O$5:$O$228,5+($B165-1)*Setup!$B$13+$D165-1-4),""))</f>
        <v/>
      </c>
      <c r="T165" s="33" t="str">
        <f t="shared" si="22"/>
        <v/>
      </c>
      <c r="U165" s="33" t="str">
        <f t="shared" si="23"/>
        <v/>
      </c>
      <c r="V165" s="33" t="str">
        <f t="shared" si="24"/>
        <v/>
      </c>
      <c r="W165" s="33" t="str">
        <f t="shared" si="25"/>
        <v/>
      </c>
      <c r="X165" s="30" t="str">
        <f>IF(OR($G165="",$I165=""),"",IF(OR($T165&gt;=Setup!$B$8,$U165&gt;=Setup!$B$8),1,""))</f>
        <v/>
      </c>
      <c r="Y165" s="30" t="str">
        <f t="shared" si="26"/>
        <v/>
      </c>
      <c r="Z165" s="33" t="str">
        <f>IF($X165=1,IF($T165&gt;$U165,Setup!$B$9,Setup!$B$10),"")</f>
        <v/>
      </c>
      <c r="AA165" s="33" t="str">
        <f>IF($X165=1,IF($U165&gt;$T165,Setup!$B$9,Setup!$B$10),"")</f>
        <v/>
      </c>
      <c r="AB165" s="30" t="str">
        <f t="shared" si="27"/>
        <v/>
      </c>
      <c r="AC165" s="30" t="str">
        <f t="shared" si="28"/>
        <v/>
      </c>
      <c r="AD165" s="30" t="str">
        <f t="shared" si="29"/>
        <v/>
      </c>
    </row>
    <row r="166" spans="1:30">
      <c r="A166" s="29">
        <v>165</v>
      </c>
      <c r="B166" s="29" t="str">
        <f>IF(INT(($A166-1)/28)+1&lt;=Setup!$B$5,INT(($A166-1)/28)+1,"")</f>
        <v/>
      </c>
      <c r="C166" s="29" t="str">
        <f t="shared" si="20"/>
        <v/>
      </c>
      <c r="D166" s="29">
        <f t="shared" si="21"/>
        <v>25</v>
      </c>
      <c r="E166" s="29" t="str">
        <f>IF($B166="","",IFERROR(INDEX('Fixture Library'!$C$2:$C$200,MATCH(Setup!$B$6*100+$D166,'Fixture Library'!$F$2:$F$200,0)),""))</f>
        <v/>
      </c>
      <c r="F166" s="30" t="str">
        <f>IF($B166="","",IFERROR(INDEX('Fixture Library'!$D$2:$D$200,MATCH(Setup!$B$6*100+$D166,'Fixture Library'!$F$2:$F$200,0)),""))</f>
        <v/>
      </c>
      <c r="G166" s="30" t="str">
        <f>IF($F166="","",INDEX(Teams!$E$2:$E$65,($B166-1)*8+$F166))</f>
        <v/>
      </c>
      <c r="H166" s="30" t="str">
        <f>IF($B166="","",IFERROR(INDEX('Fixture Library'!$E$2:$E$200,MATCH(Setup!$B$6*100+$D166,'Fixture Library'!$F$2:$F$200,0)),""))</f>
        <v/>
      </c>
      <c r="I166" s="30" t="str">
        <f>IF($H166="","",INDEX(Teams!$E$2:$E$65,($B166-1)*8+$H166))</f>
        <v/>
      </c>
      <c r="J166" s="34" t="str">
        <f>IF($G166="","",IFERROR(INDEX('Match Entry'!$F$5:$F$228,5+($B166-1)*Setup!$B$13+$D166-1-4),""))</f>
        <v/>
      </c>
      <c r="K166" s="35" t="str">
        <f>IF($G166="","",IFERROR(INDEX('Match Entry'!$G$5:$G$228,5+($B166-1)*Setup!$B$13+$D166-1-4),""))</f>
        <v/>
      </c>
      <c r="L166" s="34" t="str">
        <f>IF($G166="","",IFERROR(INDEX('Match Entry'!$H$5:$H$228,5+($B166-1)*Setup!$B$13+$D166-1-4),""))</f>
        <v/>
      </c>
      <c r="M166" s="35" t="str">
        <f>IF($G166="","",IFERROR(INDEX('Match Entry'!$I$5:$I$228,5+($B166-1)*Setup!$B$13+$D166-1-4),""))</f>
        <v/>
      </c>
      <c r="N166" s="34" t="str">
        <f>IF($G166="","",IFERROR(INDEX('Match Entry'!$J$5:$J$228,5+($B166-1)*Setup!$B$13+$D166-1-4),""))</f>
        <v/>
      </c>
      <c r="O166" s="35" t="str">
        <f>IF($G166="","",IFERROR(INDEX('Match Entry'!$K$5:$K$228,5+($B166-1)*Setup!$B$13+$D166-1-4),""))</f>
        <v/>
      </c>
      <c r="P166" s="34" t="str">
        <f>IF($G166="","",IFERROR(INDEX('Match Entry'!$L$5:$L$228,5+($B166-1)*Setup!$B$13+$D166-1-4),""))</f>
        <v/>
      </c>
      <c r="Q166" s="35" t="str">
        <f>IF($G166="","",IFERROR(INDEX('Match Entry'!$M$5:$M$228,5+($B166-1)*Setup!$B$13+$D166-1-4),""))</f>
        <v/>
      </c>
      <c r="R166" s="34" t="str">
        <f>IF($G166="","",IFERROR(INDEX('Match Entry'!$N$5:$N$228,5+($B166-1)*Setup!$B$13+$D166-1-4),""))</f>
        <v/>
      </c>
      <c r="S166" s="35" t="str">
        <f>IF($G166="","",IFERROR(INDEX('Match Entry'!$O$5:$O$228,5+($B166-1)*Setup!$B$13+$D166-1-4),""))</f>
        <v/>
      </c>
      <c r="T166" s="33" t="str">
        <f t="shared" si="22"/>
        <v/>
      </c>
      <c r="U166" s="33" t="str">
        <f t="shared" si="23"/>
        <v/>
      </c>
      <c r="V166" s="33" t="str">
        <f t="shared" si="24"/>
        <v/>
      </c>
      <c r="W166" s="33" t="str">
        <f t="shared" si="25"/>
        <v/>
      </c>
      <c r="X166" s="30" t="str">
        <f>IF(OR($G166="",$I166=""),"",IF(OR($T166&gt;=Setup!$B$8,$U166&gt;=Setup!$B$8),1,""))</f>
        <v/>
      </c>
      <c r="Y166" s="30" t="str">
        <f t="shared" si="26"/>
        <v/>
      </c>
      <c r="Z166" s="33" t="str">
        <f>IF($X166=1,IF($T166&gt;$U166,Setup!$B$9,Setup!$B$10),"")</f>
        <v/>
      </c>
      <c r="AA166" s="33" t="str">
        <f>IF($X166=1,IF($U166&gt;$T166,Setup!$B$9,Setup!$B$10),"")</f>
        <v/>
      </c>
      <c r="AB166" s="30" t="str">
        <f t="shared" si="27"/>
        <v/>
      </c>
      <c r="AC166" s="30" t="str">
        <f t="shared" si="28"/>
        <v/>
      </c>
      <c r="AD166" s="30" t="str">
        <f t="shared" si="29"/>
        <v/>
      </c>
    </row>
    <row r="167" spans="1:30">
      <c r="A167" s="29">
        <v>166</v>
      </c>
      <c r="B167" s="29" t="str">
        <f>IF(INT(($A167-1)/28)+1&lt;=Setup!$B$5,INT(($A167-1)/28)+1,"")</f>
        <v/>
      </c>
      <c r="C167" s="29" t="str">
        <f t="shared" si="20"/>
        <v/>
      </c>
      <c r="D167" s="29">
        <f t="shared" si="21"/>
        <v>26</v>
      </c>
      <c r="E167" s="29" t="str">
        <f>IF($B167="","",IFERROR(INDEX('Fixture Library'!$C$2:$C$200,MATCH(Setup!$B$6*100+$D167,'Fixture Library'!$F$2:$F$200,0)),""))</f>
        <v/>
      </c>
      <c r="F167" s="30" t="str">
        <f>IF($B167="","",IFERROR(INDEX('Fixture Library'!$D$2:$D$200,MATCH(Setup!$B$6*100+$D167,'Fixture Library'!$F$2:$F$200,0)),""))</f>
        <v/>
      </c>
      <c r="G167" s="30" t="str">
        <f>IF($F167="","",INDEX(Teams!$E$2:$E$65,($B167-1)*8+$F167))</f>
        <v/>
      </c>
      <c r="H167" s="30" t="str">
        <f>IF($B167="","",IFERROR(INDEX('Fixture Library'!$E$2:$E$200,MATCH(Setup!$B$6*100+$D167,'Fixture Library'!$F$2:$F$200,0)),""))</f>
        <v/>
      </c>
      <c r="I167" s="30" t="str">
        <f>IF($H167="","",INDEX(Teams!$E$2:$E$65,($B167-1)*8+$H167))</f>
        <v/>
      </c>
      <c r="J167" s="34" t="str">
        <f>IF($G167="","",IFERROR(INDEX('Match Entry'!$F$5:$F$228,5+($B167-1)*Setup!$B$13+$D167-1-4),""))</f>
        <v/>
      </c>
      <c r="K167" s="35" t="str">
        <f>IF($G167="","",IFERROR(INDEX('Match Entry'!$G$5:$G$228,5+($B167-1)*Setup!$B$13+$D167-1-4),""))</f>
        <v/>
      </c>
      <c r="L167" s="34" t="str">
        <f>IF($G167="","",IFERROR(INDEX('Match Entry'!$H$5:$H$228,5+($B167-1)*Setup!$B$13+$D167-1-4),""))</f>
        <v/>
      </c>
      <c r="M167" s="35" t="str">
        <f>IF($G167="","",IFERROR(INDEX('Match Entry'!$I$5:$I$228,5+($B167-1)*Setup!$B$13+$D167-1-4),""))</f>
        <v/>
      </c>
      <c r="N167" s="34" t="str">
        <f>IF($G167="","",IFERROR(INDEX('Match Entry'!$J$5:$J$228,5+($B167-1)*Setup!$B$13+$D167-1-4),""))</f>
        <v/>
      </c>
      <c r="O167" s="35" t="str">
        <f>IF($G167="","",IFERROR(INDEX('Match Entry'!$K$5:$K$228,5+($B167-1)*Setup!$B$13+$D167-1-4),""))</f>
        <v/>
      </c>
      <c r="P167" s="34" t="str">
        <f>IF($G167="","",IFERROR(INDEX('Match Entry'!$L$5:$L$228,5+($B167-1)*Setup!$B$13+$D167-1-4),""))</f>
        <v/>
      </c>
      <c r="Q167" s="35" t="str">
        <f>IF($G167="","",IFERROR(INDEX('Match Entry'!$M$5:$M$228,5+($B167-1)*Setup!$B$13+$D167-1-4),""))</f>
        <v/>
      </c>
      <c r="R167" s="34" t="str">
        <f>IF($G167="","",IFERROR(INDEX('Match Entry'!$N$5:$N$228,5+($B167-1)*Setup!$B$13+$D167-1-4),""))</f>
        <v/>
      </c>
      <c r="S167" s="35" t="str">
        <f>IF($G167="","",IFERROR(INDEX('Match Entry'!$O$5:$O$228,5+($B167-1)*Setup!$B$13+$D167-1-4),""))</f>
        <v/>
      </c>
      <c r="T167" s="33" t="str">
        <f t="shared" si="22"/>
        <v/>
      </c>
      <c r="U167" s="33" t="str">
        <f t="shared" si="23"/>
        <v/>
      </c>
      <c r="V167" s="33" t="str">
        <f t="shared" si="24"/>
        <v/>
      </c>
      <c r="W167" s="33" t="str">
        <f t="shared" si="25"/>
        <v/>
      </c>
      <c r="X167" s="30" t="str">
        <f>IF(OR($G167="",$I167=""),"",IF(OR($T167&gt;=Setup!$B$8,$U167&gt;=Setup!$B$8),1,""))</f>
        <v/>
      </c>
      <c r="Y167" s="30" t="str">
        <f t="shared" si="26"/>
        <v/>
      </c>
      <c r="Z167" s="33" t="str">
        <f>IF($X167=1,IF($T167&gt;$U167,Setup!$B$9,Setup!$B$10),"")</f>
        <v/>
      </c>
      <c r="AA167" s="33" t="str">
        <f>IF($X167=1,IF($U167&gt;$T167,Setup!$B$9,Setup!$B$10),"")</f>
        <v/>
      </c>
      <c r="AB167" s="30" t="str">
        <f t="shared" si="27"/>
        <v/>
      </c>
      <c r="AC167" s="30" t="str">
        <f t="shared" si="28"/>
        <v/>
      </c>
      <c r="AD167" s="30" t="str">
        <f t="shared" si="29"/>
        <v/>
      </c>
    </row>
    <row r="168" spans="1:30">
      <c r="A168" s="29">
        <v>167</v>
      </c>
      <c r="B168" s="29" t="str">
        <f>IF(INT(($A168-1)/28)+1&lt;=Setup!$B$5,INT(($A168-1)/28)+1,"")</f>
        <v/>
      </c>
      <c r="C168" s="29" t="str">
        <f t="shared" si="20"/>
        <v/>
      </c>
      <c r="D168" s="29">
        <f t="shared" si="21"/>
        <v>27</v>
      </c>
      <c r="E168" s="29" t="str">
        <f>IF($B168="","",IFERROR(INDEX('Fixture Library'!$C$2:$C$200,MATCH(Setup!$B$6*100+$D168,'Fixture Library'!$F$2:$F$200,0)),""))</f>
        <v/>
      </c>
      <c r="F168" s="30" t="str">
        <f>IF($B168="","",IFERROR(INDEX('Fixture Library'!$D$2:$D$200,MATCH(Setup!$B$6*100+$D168,'Fixture Library'!$F$2:$F$200,0)),""))</f>
        <v/>
      </c>
      <c r="G168" s="30" t="str">
        <f>IF($F168="","",INDEX(Teams!$E$2:$E$65,($B168-1)*8+$F168))</f>
        <v/>
      </c>
      <c r="H168" s="30" t="str">
        <f>IF($B168="","",IFERROR(INDEX('Fixture Library'!$E$2:$E$200,MATCH(Setup!$B$6*100+$D168,'Fixture Library'!$F$2:$F$200,0)),""))</f>
        <v/>
      </c>
      <c r="I168" s="30" t="str">
        <f>IF($H168="","",INDEX(Teams!$E$2:$E$65,($B168-1)*8+$H168))</f>
        <v/>
      </c>
      <c r="J168" s="34" t="str">
        <f>IF($G168="","",IFERROR(INDEX('Match Entry'!$F$5:$F$228,5+($B168-1)*Setup!$B$13+$D168-1-4),""))</f>
        <v/>
      </c>
      <c r="K168" s="35" t="str">
        <f>IF($G168="","",IFERROR(INDEX('Match Entry'!$G$5:$G$228,5+($B168-1)*Setup!$B$13+$D168-1-4),""))</f>
        <v/>
      </c>
      <c r="L168" s="34" t="str">
        <f>IF($G168="","",IFERROR(INDEX('Match Entry'!$H$5:$H$228,5+($B168-1)*Setup!$B$13+$D168-1-4),""))</f>
        <v/>
      </c>
      <c r="M168" s="35" t="str">
        <f>IF($G168="","",IFERROR(INDEX('Match Entry'!$I$5:$I$228,5+($B168-1)*Setup!$B$13+$D168-1-4),""))</f>
        <v/>
      </c>
      <c r="N168" s="34" t="str">
        <f>IF($G168="","",IFERROR(INDEX('Match Entry'!$J$5:$J$228,5+($B168-1)*Setup!$B$13+$D168-1-4),""))</f>
        <v/>
      </c>
      <c r="O168" s="35" t="str">
        <f>IF($G168="","",IFERROR(INDEX('Match Entry'!$K$5:$K$228,5+($B168-1)*Setup!$B$13+$D168-1-4),""))</f>
        <v/>
      </c>
      <c r="P168" s="34" t="str">
        <f>IF($G168="","",IFERROR(INDEX('Match Entry'!$L$5:$L$228,5+($B168-1)*Setup!$B$13+$D168-1-4),""))</f>
        <v/>
      </c>
      <c r="Q168" s="35" t="str">
        <f>IF($G168="","",IFERROR(INDEX('Match Entry'!$M$5:$M$228,5+($B168-1)*Setup!$B$13+$D168-1-4),""))</f>
        <v/>
      </c>
      <c r="R168" s="34" t="str">
        <f>IF($G168="","",IFERROR(INDEX('Match Entry'!$N$5:$N$228,5+($B168-1)*Setup!$B$13+$D168-1-4),""))</f>
        <v/>
      </c>
      <c r="S168" s="35" t="str">
        <f>IF($G168="","",IFERROR(INDEX('Match Entry'!$O$5:$O$228,5+($B168-1)*Setup!$B$13+$D168-1-4),""))</f>
        <v/>
      </c>
      <c r="T168" s="33" t="str">
        <f t="shared" si="22"/>
        <v/>
      </c>
      <c r="U168" s="33" t="str">
        <f t="shared" si="23"/>
        <v/>
      </c>
      <c r="V168" s="33" t="str">
        <f t="shared" si="24"/>
        <v/>
      </c>
      <c r="W168" s="33" t="str">
        <f t="shared" si="25"/>
        <v/>
      </c>
      <c r="X168" s="30" t="str">
        <f>IF(OR($G168="",$I168=""),"",IF(OR($T168&gt;=Setup!$B$8,$U168&gt;=Setup!$B$8),1,""))</f>
        <v/>
      </c>
      <c r="Y168" s="30" t="str">
        <f t="shared" si="26"/>
        <v/>
      </c>
      <c r="Z168" s="33" t="str">
        <f>IF($X168=1,IF($T168&gt;$U168,Setup!$B$9,Setup!$B$10),"")</f>
        <v/>
      </c>
      <c r="AA168" s="33" t="str">
        <f>IF($X168=1,IF($U168&gt;$T168,Setup!$B$9,Setup!$B$10),"")</f>
        <v/>
      </c>
      <c r="AB168" s="30" t="str">
        <f t="shared" si="27"/>
        <v/>
      </c>
      <c r="AC168" s="30" t="str">
        <f t="shared" si="28"/>
        <v/>
      </c>
      <c r="AD168" s="30" t="str">
        <f t="shared" si="29"/>
        <v/>
      </c>
    </row>
    <row r="169" spans="1:30">
      <c r="A169" s="29">
        <v>168</v>
      </c>
      <c r="B169" s="29" t="str">
        <f>IF(INT(($A169-1)/28)+1&lt;=Setup!$B$5,INT(($A169-1)/28)+1,"")</f>
        <v/>
      </c>
      <c r="C169" s="29" t="str">
        <f t="shared" si="20"/>
        <v/>
      </c>
      <c r="D169" s="29">
        <f t="shared" si="21"/>
        <v>28</v>
      </c>
      <c r="E169" s="29" t="str">
        <f>IF($B169="","",IFERROR(INDEX('Fixture Library'!$C$2:$C$200,MATCH(Setup!$B$6*100+$D169,'Fixture Library'!$F$2:$F$200,0)),""))</f>
        <v/>
      </c>
      <c r="F169" s="30" t="str">
        <f>IF($B169="","",IFERROR(INDEX('Fixture Library'!$D$2:$D$200,MATCH(Setup!$B$6*100+$D169,'Fixture Library'!$F$2:$F$200,0)),""))</f>
        <v/>
      </c>
      <c r="G169" s="30" t="str">
        <f>IF($F169="","",INDEX(Teams!$E$2:$E$65,($B169-1)*8+$F169))</f>
        <v/>
      </c>
      <c r="H169" s="30" t="str">
        <f>IF($B169="","",IFERROR(INDEX('Fixture Library'!$E$2:$E$200,MATCH(Setup!$B$6*100+$D169,'Fixture Library'!$F$2:$F$200,0)),""))</f>
        <v/>
      </c>
      <c r="I169" s="30" t="str">
        <f>IF($H169="","",INDEX(Teams!$E$2:$E$65,($B169-1)*8+$H169))</f>
        <v/>
      </c>
      <c r="J169" s="34" t="str">
        <f>IF($G169="","",IFERROR(INDEX('Match Entry'!$F$5:$F$228,5+($B169-1)*Setup!$B$13+$D169-1-4),""))</f>
        <v/>
      </c>
      <c r="K169" s="35" t="str">
        <f>IF($G169="","",IFERROR(INDEX('Match Entry'!$G$5:$G$228,5+($B169-1)*Setup!$B$13+$D169-1-4),""))</f>
        <v/>
      </c>
      <c r="L169" s="34" t="str">
        <f>IF($G169="","",IFERROR(INDEX('Match Entry'!$H$5:$H$228,5+($B169-1)*Setup!$B$13+$D169-1-4),""))</f>
        <v/>
      </c>
      <c r="M169" s="35" t="str">
        <f>IF($G169="","",IFERROR(INDEX('Match Entry'!$I$5:$I$228,5+($B169-1)*Setup!$B$13+$D169-1-4),""))</f>
        <v/>
      </c>
      <c r="N169" s="34" t="str">
        <f>IF($G169="","",IFERROR(INDEX('Match Entry'!$J$5:$J$228,5+($B169-1)*Setup!$B$13+$D169-1-4),""))</f>
        <v/>
      </c>
      <c r="O169" s="35" t="str">
        <f>IF($G169="","",IFERROR(INDEX('Match Entry'!$K$5:$K$228,5+($B169-1)*Setup!$B$13+$D169-1-4),""))</f>
        <v/>
      </c>
      <c r="P169" s="34" t="str">
        <f>IF($G169="","",IFERROR(INDEX('Match Entry'!$L$5:$L$228,5+($B169-1)*Setup!$B$13+$D169-1-4),""))</f>
        <v/>
      </c>
      <c r="Q169" s="35" t="str">
        <f>IF($G169="","",IFERROR(INDEX('Match Entry'!$M$5:$M$228,5+($B169-1)*Setup!$B$13+$D169-1-4),""))</f>
        <v/>
      </c>
      <c r="R169" s="34" t="str">
        <f>IF($G169="","",IFERROR(INDEX('Match Entry'!$N$5:$N$228,5+($B169-1)*Setup!$B$13+$D169-1-4),""))</f>
        <v/>
      </c>
      <c r="S169" s="35" t="str">
        <f>IF($G169="","",IFERROR(INDEX('Match Entry'!$O$5:$O$228,5+($B169-1)*Setup!$B$13+$D169-1-4),""))</f>
        <v/>
      </c>
      <c r="T169" s="33" t="str">
        <f t="shared" si="22"/>
        <v/>
      </c>
      <c r="U169" s="33" t="str">
        <f t="shared" si="23"/>
        <v/>
      </c>
      <c r="V169" s="33" t="str">
        <f t="shared" si="24"/>
        <v/>
      </c>
      <c r="W169" s="33" t="str">
        <f t="shared" si="25"/>
        <v/>
      </c>
      <c r="X169" s="30" t="str">
        <f>IF(OR($G169="",$I169=""),"",IF(OR($T169&gt;=Setup!$B$8,$U169&gt;=Setup!$B$8),1,""))</f>
        <v/>
      </c>
      <c r="Y169" s="30" t="str">
        <f t="shared" si="26"/>
        <v/>
      </c>
      <c r="Z169" s="33" t="str">
        <f>IF($X169=1,IF($T169&gt;$U169,Setup!$B$9,Setup!$B$10),"")</f>
        <v/>
      </c>
      <c r="AA169" s="33" t="str">
        <f>IF($X169=1,IF($U169&gt;$T169,Setup!$B$9,Setup!$B$10),"")</f>
        <v/>
      </c>
      <c r="AB169" s="30" t="str">
        <f t="shared" si="27"/>
        <v/>
      </c>
      <c r="AC169" s="30" t="str">
        <f t="shared" si="28"/>
        <v/>
      </c>
      <c r="AD169" s="30" t="str">
        <f t="shared" si="29"/>
        <v/>
      </c>
    </row>
    <row r="170" spans="1:30">
      <c r="A170" s="29">
        <v>169</v>
      </c>
      <c r="B170" s="29" t="str">
        <f>IF(INT(($A170-1)/28)+1&lt;=Setup!$B$5,INT(($A170-1)/28)+1,"")</f>
        <v/>
      </c>
      <c r="C170" s="29" t="str">
        <f t="shared" si="20"/>
        <v/>
      </c>
      <c r="D170" s="29">
        <f t="shared" si="21"/>
        <v>1</v>
      </c>
      <c r="E170" s="29" t="str">
        <f>IF($B170="","",IFERROR(INDEX('Fixture Library'!$C$2:$C$200,MATCH(Setup!$B$6*100+$D170,'Fixture Library'!$F$2:$F$200,0)),""))</f>
        <v/>
      </c>
      <c r="F170" s="30" t="str">
        <f>IF($B170="","",IFERROR(INDEX('Fixture Library'!$D$2:$D$200,MATCH(Setup!$B$6*100+$D170,'Fixture Library'!$F$2:$F$200,0)),""))</f>
        <v/>
      </c>
      <c r="G170" s="30" t="str">
        <f>IF($F170="","",INDEX(Teams!$E$2:$E$65,($B170-1)*8+$F170))</f>
        <v/>
      </c>
      <c r="H170" s="30" t="str">
        <f>IF($B170="","",IFERROR(INDEX('Fixture Library'!$E$2:$E$200,MATCH(Setup!$B$6*100+$D170,'Fixture Library'!$F$2:$F$200,0)),""))</f>
        <v/>
      </c>
      <c r="I170" s="30" t="str">
        <f>IF($H170="","",INDEX(Teams!$E$2:$E$65,($B170-1)*8+$H170))</f>
        <v/>
      </c>
      <c r="J170" s="34" t="str">
        <f>IF($G170="","",IFERROR(INDEX('Match Entry'!$F$5:$F$228,5+($B170-1)*Setup!$B$13+$D170-1-4),""))</f>
        <v/>
      </c>
      <c r="K170" s="35" t="str">
        <f>IF($G170="","",IFERROR(INDEX('Match Entry'!$G$5:$G$228,5+($B170-1)*Setup!$B$13+$D170-1-4),""))</f>
        <v/>
      </c>
      <c r="L170" s="34" t="str">
        <f>IF($G170="","",IFERROR(INDEX('Match Entry'!$H$5:$H$228,5+($B170-1)*Setup!$B$13+$D170-1-4),""))</f>
        <v/>
      </c>
      <c r="M170" s="35" t="str">
        <f>IF($G170="","",IFERROR(INDEX('Match Entry'!$I$5:$I$228,5+($B170-1)*Setup!$B$13+$D170-1-4),""))</f>
        <v/>
      </c>
      <c r="N170" s="34" t="str">
        <f>IF($G170="","",IFERROR(INDEX('Match Entry'!$J$5:$J$228,5+($B170-1)*Setup!$B$13+$D170-1-4),""))</f>
        <v/>
      </c>
      <c r="O170" s="35" t="str">
        <f>IF($G170="","",IFERROR(INDEX('Match Entry'!$K$5:$K$228,5+($B170-1)*Setup!$B$13+$D170-1-4),""))</f>
        <v/>
      </c>
      <c r="P170" s="34" t="str">
        <f>IF($G170="","",IFERROR(INDEX('Match Entry'!$L$5:$L$228,5+($B170-1)*Setup!$B$13+$D170-1-4),""))</f>
        <v/>
      </c>
      <c r="Q170" s="35" t="str">
        <f>IF($G170="","",IFERROR(INDEX('Match Entry'!$M$5:$M$228,5+($B170-1)*Setup!$B$13+$D170-1-4),""))</f>
        <v/>
      </c>
      <c r="R170" s="34" t="str">
        <f>IF($G170="","",IFERROR(INDEX('Match Entry'!$N$5:$N$228,5+($B170-1)*Setup!$B$13+$D170-1-4),""))</f>
        <v/>
      </c>
      <c r="S170" s="35" t="str">
        <f>IF($G170="","",IFERROR(INDEX('Match Entry'!$O$5:$O$228,5+($B170-1)*Setup!$B$13+$D170-1-4),""))</f>
        <v/>
      </c>
      <c r="T170" s="33" t="str">
        <f t="shared" si="22"/>
        <v/>
      </c>
      <c r="U170" s="33" t="str">
        <f t="shared" si="23"/>
        <v/>
      </c>
      <c r="V170" s="33" t="str">
        <f t="shared" si="24"/>
        <v/>
      </c>
      <c r="W170" s="33" t="str">
        <f t="shared" si="25"/>
        <v/>
      </c>
      <c r="X170" s="30" t="str">
        <f>IF(OR($G170="",$I170=""),"",IF(OR($T170&gt;=Setup!$B$8,$U170&gt;=Setup!$B$8),1,""))</f>
        <v/>
      </c>
      <c r="Y170" s="30" t="str">
        <f t="shared" si="26"/>
        <v/>
      </c>
      <c r="Z170" s="33" t="str">
        <f>IF($X170=1,IF($T170&gt;$U170,Setup!$B$9,Setup!$B$10),"")</f>
        <v/>
      </c>
      <c r="AA170" s="33" t="str">
        <f>IF($X170=1,IF($U170&gt;$T170,Setup!$B$9,Setup!$B$10),"")</f>
        <v/>
      </c>
      <c r="AB170" s="30" t="str">
        <f t="shared" si="27"/>
        <v/>
      </c>
      <c r="AC170" s="30" t="str">
        <f t="shared" si="28"/>
        <v/>
      </c>
      <c r="AD170" s="30" t="str">
        <f t="shared" si="29"/>
        <v/>
      </c>
    </row>
    <row r="171" spans="1:30">
      <c r="A171" s="29">
        <v>170</v>
      </c>
      <c r="B171" s="29" t="str">
        <f>IF(INT(($A171-1)/28)+1&lt;=Setup!$B$5,INT(($A171-1)/28)+1,"")</f>
        <v/>
      </c>
      <c r="C171" s="29" t="str">
        <f t="shared" si="20"/>
        <v/>
      </c>
      <c r="D171" s="29">
        <f t="shared" si="21"/>
        <v>2</v>
      </c>
      <c r="E171" s="29" t="str">
        <f>IF($B171="","",IFERROR(INDEX('Fixture Library'!$C$2:$C$200,MATCH(Setup!$B$6*100+$D171,'Fixture Library'!$F$2:$F$200,0)),""))</f>
        <v/>
      </c>
      <c r="F171" s="30" t="str">
        <f>IF($B171="","",IFERROR(INDEX('Fixture Library'!$D$2:$D$200,MATCH(Setup!$B$6*100+$D171,'Fixture Library'!$F$2:$F$200,0)),""))</f>
        <v/>
      </c>
      <c r="G171" s="30" t="str">
        <f>IF($F171="","",INDEX(Teams!$E$2:$E$65,($B171-1)*8+$F171))</f>
        <v/>
      </c>
      <c r="H171" s="30" t="str">
        <f>IF($B171="","",IFERROR(INDEX('Fixture Library'!$E$2:$E$200,MATCH(Setup!$B$6*100+$D171,'Fixture Library'!$F$2:$F$200,0)),""))</f>
        <v/>
      </c>
      <c r="I171" s="30" t="str">
        <f>IF($H171="","",INDEX(Teams!$E$2:$E$65,($B171-1)*8+$H171))</f>
        <v/>
      </c>
      <c r="J171" s="34" t="str">
        <f>IF($G171="","",IFERROR(INDEX('Match Entry'!$F$5:$F$228,5+($B171-1)*Setup!$B$13+$D171-1-4),""))</f>
        <v/>
      </c>
      <c r="K171" s="35" t="str">
        <f>IF($G171="","",IFERROR(INDEX('Match Entry'!$G$5:$G$228,5+($B171-1)*Setup!$B$13+$D171-1-4),""))</f>
        <v/>
      </c>
      <c r="L171" s="34" t="str">
        <f>IF($G171="","",IFERROR(INDEX('Match Entry'!$H$5:$H$228,5+($B171-1)*Setup!$B$13+$D171-1-4),""))</f>
        <v/>
      </c>
      <c r="M171" s="35" t="str">
        <f>IF($G171="","",IFERROR(INDEX('Match Entry'!$I$5:$I$228,5+($B171-1)*Setup!$B$13+$D171-1-4),""))</f>
        <v/>
      </c>
      <c r="N171" s="34" t="str">
        <f>IF($G171="","",IFERROR(INDEX('Match Entry'!$J$5:$J$228,5+($B171-1)*Setup!$B$13+$D171-1-4),""))</f>
        <v/>
      </c>
      <c r="O171" s="35" t="str">
        <f>IF($G171="","",IFERROR(INDEX('Match Entry'!$K$5:$K$228,5+($B171-1)*Setup!$B$13+$D171-1-4),""))</f>
        <v/>
      </c>
      <c r="P171" s="34" t="str">
        <f>IF($G171="","",IFERROR(INDEX('Match Entry'!$L$5:$L$228,5+($B171-1)*Setup!$B$13+$D171-1-4),""))</f>
        <v/>
      </c>
      <c r="Q171" s="35" t="str">
        <f>IF($G171="","",IFERROR(INDEX('Match Entry'!$M$5:$M$228,5+($B171-1)*Setup!$B$13+$D171-1-4),""))</f>
        <v/>
      </c>
      <c r="R171" s="34" t="str">
        <f>IF($G171="","",IFERROR(INDEX('Match Entry'!$N$5:$N$228,5+($B171-1)*Setup!$B$13+$D171-1-4),""))</f>
        <v/>
      </c>
      <c r="S171" s="35" t="str">
        <f>IF($G171="","",IFERROR(INDEX('Match Entry'!$O$5:$O$228,5+($B171-1)*Setup!$B$13+$D171-1-4),""))</f>
        <v/>
      </c>
      <c r="T171" s="33" t="str">
        <f t="shared" si="22"/>
        <v/>
      </c>
      <c r="U171" s="33" t="str">
        <f t="shared" si="23"/>
        <v/>
      </c>
      <c r="V171" s="33" t="str">
        <f t="shared" si="24"/>
        <v/>
      </c>
      <c r="W171" s="33" t="str">
        <f t="shared" si="25"/>
        <v/>
      </c>
      <c r="X171" s="30" t="str">
        <f>IF(OR($G171="",$I171=""),"",IF(OR($T171&gt;=Setup!$B$8,$U171&gt;=Setup!$B$8),1,""))</f>
        <v/>
      </c>
      <c r="Y171" s="30" t="str">
        <f t="shared" si="26"/>
        <v/>
      </c>
      <c r="Z171" s="33" t="str">
        <f>IF($X171=1,IF($T171&gt;$U171,Setup!$B$9,Setup!$B$10),"")</f>
        <v/>
      </c>
      <c r="AA171" s="33" t="str">
        <f>IF($X171=1,IF($U171&gt;$T171,Setup!$B$9,Setup!$B$10),"")</f>
        <v/>
      </c>
      <c r="AB171" s="30" t="str">
        <f t="shared" si="27"/>
        <v/>
      </c>
      <c r="AC171" s="30" t="str">
        <f t="shared" si="28"/>
        <v/>
      </c>
      <c r="AD171" s="30" t="str">
        <f t="shared" si="29"/>
        <v/>
      </c>
    </row>
    <row r="172" spans="1:30">
      <c r="A172" s="29">
        <v>171</v>
      </c>
      <c r="B172" s="29" t="str">
        <f>IF(INT(($A172-1)/28)+1&lt;=Setup!$B$5,INT(($A172-1)/28)+1,"")</f>
        <v/>
      </c>
      <c r="C172" s="29" t="str">
        <f t="shared" si="20"/>
        <v/>
      </c>
      <c r="D172" s="29">
        <f t="shared" si="21"/>
        <v>3</v>
      </c>
      <c r="E172" s="29" t="str">
        <f>IF($B172="","",IFERROR(INDEX('Fixture Library'!$C$2:$C$200,MATCH(Setup!$B$6*100+$D172,'Fixture Library'!$F$2:$F$200,0)),""))</f>
        <v/>
      </c>
      <c r="F172" s="30" t="str">
        <f>IF($B172="","",IFERROR(INDEX('Fixture Library'!$D$2:$D$200,MATCH(Setup!$B$6*100+$D172,'Fixture Library'!$F$2:$F$200,0)),""))</f>
        <v/>
      </c>
      <c r="G172" s="30" t="str">
        <f>IF($F172="","",INDEX(Teams!$E$2:$E$65,($B172-1)*8+$F172))</f>
        <v/>
      </c>
      <c r="H172" s="30" t="str">
        <f>IF($B172="","",IFERROR(INDEX('Fixture Library'!$E$2:$E$200,MATCH(Setup!$B$6*100+$D172,'Fixture Library'!$F$2:$F$200,0)),""))</f>
        <v/>
      </c>
      <c r="I172" s="30" t="str">
        <f>IF($H172="","",INDEX(Teams!$E$2:$E$65,($B172-1)*8+$H172))</f>
        <v/>
      </c>
      <c r="J172" s="34" t="str">
        <f>IF($G172="","",IFERROR(INDEX('Match Entry'!$F$5:$F$228,5+($B172-1)*Setup!$B$13+$D172-1-4),""))</f>
        <v/>
      </c>
      <c r="K172" s="35" t="str">
        <f>IF($G172="","",IFERROR(INDEX('Match Entry'!$G$5:$G$228,5+($B172-1)*Setup!$B$13+$D172-1-4),""))</f>
        <v/>
      </c>
      <c r="L172" s="34" t="str">
        <f>IF($G172="","",IFERROR(INDEX('Match Entry'!$H$5:$H$228,5+($B172-1)*Setup!$B$13+$D172-1-4),""))</f>
        <v/>
      </c>
      <c r="M172" s="35" t="str">
        <f>IF($G172="","",IFERROR(INDEX('Match Entry'!$I$5:$I$228,5+($B172-1)*Setup!$B$13+$D172-1-4),""))</f>
        <v/>
      </c>
      <c r="N172" s="34" t="str">
        <f>IF($G172="","",IFERROR(INDEX('Match Entry'!$J$5:$J$228,5+($B172-1)*Setup!$B$13+$D172-1-4),""))</f>
        <v/>
      </c>
      <c r="O172" s="35" t="str">
        <f>IF($G172="","",IFERROR(INDEX('Match Entry'!$K$5:$K$228,5+($B172-1)*Setup!$B$13+$D172-1-4),""))</f>
        <v/>
      </c>
      <c r="P172" s="34" t="str">
        <f>IF($G172="","",IFERROR(INDEX('Match Entry'!$L$5:$L$228,5+($B172-1)*Setup!$B$13+$D172-1-4),""))</f>
        <v/>
      </c>
      <c r="Q172" s="35" t="str">
        <f>IF($G172="","",IFERROR(INDEX('Match Entry'!$M$5:$M$228,5+($B172-1)*Setup!$B$13+$D172-1-4),""))</f>
        <v/>
      </c>
      <c r="R172" s="34" t="str">
        <f>IF($G172="","",IFERROR(INDEX('Match Entry'!$N$5:$N$228,5+($B172-1)*Setup!$B$13+$D172-1-4),""))</f>
        <v/>
      </c>
      <c r="S172" s="35" t="str">
        <f>IF($G172="","",IFERROR(INDEX('Match Entry'!$O$5:$O$228,5+($B172-1)*Setup!$B$13+$D172-1-4),""))</f>
        <v/>
      </c>
      <c r="T172" s="33" t="str">
        <f t="shared" si="22"/>
        <v/>
      </c>
      <c r="U172" s="33" t="str">
        <f t="shared" si="23"/>
        <v/>
      </c>
      <c r="V172" s="33" t="str">
        <f t="shared" si="24"/>
        <v/>
      </c>
      <c r="W172" s="33" t="str">
        <f t="shared" si="25"/>
        <v/>
      </c>
      <c r="X172" s="30" t="str">
        <f>IF(OR($G172="",$I172=""),"",IF(OR($T172&gt;=Setup!$B$8,$U172&gt;=Setup!$B$8),1,""))</f>
        <v/>
      </c>
      <c r="Y172" s="30" t="str">
        <f t="shared" si="26"/>
        <v/>
      </c>
      <c r="Z172" s="33" t="str">
        <f>IF($X172=1,IF($T172&gt;$U172,Setup!$B$9,Setup!$B$10),"")</f>
        <v/>
      </c>
      <c r="AA172" s="33" t="str">
        <f>IF($X172=1,IF($U172&gt;$T172,Setup!$B$9,Setup!$B$10),"")</f>
        <v/>
      </c>
      <c r="AB172" s="30" t="str">
        <f t="shared" si="27"/>
        <v/>
      </c>
      <c r="AC172" s="30" t="str">
        <f t="shared" si="28"/>
        <v/>
      </c>
      <c r="AD172" s="30" t="str">
        <f t="shared" si="29"/>
        <v/>
      </c>
    </row>
    <row r="173" spans="1:30">
      <c r="A173" s="29">
        <v>172</v>
      </c>
      <c r="B173" s="29" t="str">
        <f>IF(INT(($A173-1)/28)+1&lt;=Setup!$B$5,INT(($A173-1)/28)+1,"")</f>
        <v/>
      </c>
      <c r="C173" s="29" t="str">
        <f t="shared" si="20"/>
        <v/>
      </c>
      <c r="D173" s="29">
        <f t="shared" si="21"/>
        <v>4</v>
      </c>
      <c r="E173" s="29" t="str">
        <f>IF($B173="","",IFERROR(INDEX('Fixture Library'!$C$2:$C$200,MATCH(Setup!$B$6*100+$D173,'Fixture Library'!$F$2:$F$200,0)),""))</f>
        <v/>
      </c>
      <c r="F173" s="30" t="str">
        <f>IF($B173="","",IFERROR(INDEX('Fixture Library'!$D$2:$D$200,MATCH(Setup!$B$6*100+$D173,'Fixture Library'!$F$2:$F$200,0)),""))</f>
        <v/>
      </c>
      <c r="G173" s="30" t="str">
        <f>IF($F173="","",INDEX(Teams!$E$2:$E$65,($B173-1)*8+$F173))</f>
        <v/>
      </c>
      <c r="H173" s="30" t="str">
        <f>IF($B173="","",IFERROR(INDEX('Fixture Library'!$E$2:$E$200,MATCH(Setup!$B$6*100+$D173,'Fixture Library'!$F$2:$F$200,0)),""))</f>
        <v/>
      </c>
      <c r="I173" s="30" t="str">
        <f>IF($H173="","",INDEX(Teams!$E$2:$E$65,($B173-1)*8+$H173))</f>
        <v/>
      </c>
      <c r="J173" s="34" t="str">
        <f>IF($G173="","",IFERROR(INDEX('Match Entry'!$F$5:$F$228,5+($B173-1)*Setup!$B$13+$D173-1-4),""))</f>
        <v/>
      </c>
      <c r="K173" s="35" t="str">
        <f>IF($G173="","",IFERROR(INDEX('Match Entry'!$G$5:$G$228,5+($B173-1)*Setup!$B$13+$D173-1-4),""))</f>
        <v/>
      </c>
      <c r="L173" s="34" t="str">
        <f>IF($G173="","",IFERROR(INDEX('Match Entry'!$H$5:$H$228,5+($B173-1)*Setup!$B$13+$D173-1-4),""))</f>
        <v/>
      </c>
      <c r="M173" s="35" t="str">
        <f>IF($G173="","",IFERROR(INDEX('Match Entry'!$I$5:$I$228,5+($B173-1)*Setup!$B$13+$D173-1-4),""))</f>
        <v/>
      </c>
      <c r="N173" s="34" t="str">
        <f>IF($G173="","",IFERROR(INDEX('Match Entry'!$J$5:$J$228,5+($B173-1)*Setup!$B$13+$D173-1-4),""))</f>
        <v/>
      </c>
      <c r="O173" s="35" t="str">
        <f>IF($G173="","",IFERROR(INDEX('Match Entry'!$K$5:$K$228,5+($B173-1)*Setup!$B$13+$D173-1-4),""))</f>
        <v/>
      </c>
      <c r="P173" s="34" t="str">
        <f>IF($G173="","",IFERROR(INDEX('Match Entry'!$L$5:$L$228,5+($B173-1)*Setup!$B$13+$D173-1-4),""))</f>
        <v/>
      </c>
      <c r="Q173" s="35" t="str">
        <f>IF($G173="","",IFERROR(INDEX('Match Entry'!$M$5:$M$228,5+($B173-1)*Setup!$B$13+$D173-1-4),""))</f>
        <v/>
      </c>
      <c r="R173" s="34" t="str">
        <f>IF($G173="","",IFERROR(INDEX('Match Entry'!$N$5:$N$228,5+($B173-1)*Setup!$B$13+$D173-1-4),""))</f>
        <v/>
      </c>
      <c r="S173" s="35" t="str">
        <f>IF($G173="","",IFERROR(INDEX('Match Entry'!$O$5:$O$228,5+($B173-1)*Setup!$B$13+$D173-1-4),""))</f>
        <v/>
      </c>
      <c r="T173" s="33" t="str">
        <f t="shared" si="22"/>
        <v/>
      </c>
      <c r="U173" s="33" t="str">
        <f t="shared" si="23"/>
        <v/>
      </c>
      <c r="V173" s="33" t="str">
        <f t="shared" si="24"/>
        <v/>
      </c>
      <c r="W173" s="33" t="str">
        <f t="shared" si="25"/>
        <v/>
      </c>
      <c r="X173" s="30" t="str">
        <f>IF(OR($G173="",$I173=""),"",IF(OR($T173&gt;=Setup!$B$8,$U173&gt;=Setup!$B$8),1,""))</f>
        <v/>
      </c>
      <c r="Y173" s="30" t="str">
        <f t="shared" si="26"/>
        <v/>
      </c>
      <c r="Z173" s="33" t="str">
        <f>IF($X173=1,IF($T173&gt;$U173,Setup!$B$9,Setup!$B$10),"")</f>
        <v/>
      </c>
      <c r="AA173" s="33" t="str">
        <f>IF($X173=1,IF($U173&gt;$T173,Setup!$B$9,Setup!$B$10),"")</f>
        <v/>
      </c>
      <c r="AB173" s="30" t="str">
        <f t="shared" si="27"/>
        <v/>
      </c>
      <c r="AC173" s="30" t="str">
        <f t="shared" si="28"/>
        <v/>
      </c>
      <c r="AD173" s="30" t="str">
        <f t="shared" si="29"/>
        <v/>
      </c>
    </row>
    <row r="174" spans="1:30">
      <c r="A174" s="29">
        <v>173</v>
      </c>
      <c r="B174" s="29" t="str">
        <f>IF(INT(($A174-1)/28)+1&lt;=Setup!$B$5,INT(($A174-1)/28)+1,"")</f>
        <v/>
      </c>
      <c r="C174" s="29" t="str">
        <f t="shared" si="20"/>
        <v/>
      </c>
      <c r="D174" s="29">
        <f t="shared" si="21"/>
        <v>5</v>
      </c>
      <c r="E174" s="29" t="str">
        <f>IF($B174="","",IFERROR(INDEX('Fixture Library'!$C$2:$C$200,MATCH(Setup!$B$6*100+$D174,'Fixture Library'!$F$2:$F$200,0)),""))</f>
        <v/>
      </c>
      <c r="F174" s="30" t="str">
        <f>IF($B174="","",IFERROR(INDEX('Fixture Library'!$D$2:$D$200,MATCH(Setup!$B$6*100+$D174,'Fixture Library'!$F$2:$F$200,0)),""))</f>
        <v/>
      </c>
      <c r="G174" s="30" t="str">
        <f>IF($F174="","",INDEX(Teams!$E$2:$E$65,($B174-1)*8+$F174))</f>
        <v/>
      </c>
      <c r="H174" s="30" t="str">
        <f>IF($B174="","",IFERROR(INDEX('Fixture Library'!$E$2:$E$200,MATCH(Setup!$B$6*100+$D174,'Fixture Library'!$F$2:$F$200,0)),""))</f>
        <v/>
      </c>
      <c r="I174" s="30" t="str">
        <f>IF($H174="","",INDEX(Teams!$E$2:$E$65,($B174-1)*8+$H174))</f>
        <v/>
      </c>
      <c r="J174" s="34" t="str">
        <f>IF($G174="","",IFERROR(INDEX('Match Entry'!$F$5:$F$228,5+($B174-1)*Setup!$B$13+$D174-1-4),""))</f>
        <v/>
      </c>
      <c r="K174" s="35" t="str">
        <f>IF($G174="","",IFERROR(INDEX('Match Entry'!$G$5:$G$228,5+($B174-1)*Setup!$B$13+$D174-1-4),""))</f>
        <v/>
      </c>
      <c r="L174" s="34" t="str">
        <f>IF($G174="","",IFERROR(INDEX('Match Entry'!$H$5:$H$228,5+($B174-1)*Setup!$B$13+$D174-1-4),""))</f>
        <v/>
      </c>
      <c r="M174" s="35" t="str">
        <f>IF($G174="","",IFERROR(INDEX('Match Entry'!$I$5:$I$228,5+($B174-1)*Setup!$B$13+$D174-1-4),""))</f>
        <v/>
      </c>
      <c r="N174" s="34" t="str">
        <f>IF($G174="","",IFERROR(INDEX('Match Entry'!$J$5:$J$228,5+($B174-1)*Setup!$B$13+$D174-1-4),""))</f>
        <v/>
      </c>
      <c r="O174" s="35" t="str">
        <f>IF($G174="","",IFERROR(INDEX('Match Entry'!$K$5:$K$228,5+($B174-1)*Setup!$B$13+$D174-1-4),""))</f>
        <v/>
      </c>
      <c r="P174" s="34" t="str">
        <f>IF($G174="","",IFERROR(INDEX('Match Entry'!$L$5:$L$228,5+($B174-1)*Setup!$B$13+$D174-1-4),""))</f>
        <v/>
      </c>
      <c r="Q174" s="35" t="str">
        <f>IF($G174="","",IFERROR(INDEX('Match Entry'!$M$5:$M$228,5+($B174-1)*Setup!$B$13+$D174-1-4),""))</f>
        <v/>
      </c>
      <c r="R174" s="34" t="str">
        <f>IF($G174="","",IFERROR(INDEX('Match Entry'!$N$5:$N$228,5+($B174-1)*Setup!$B$13+$D174-1-4),""))</f>
        <v/>
      </c>
      <c r="S174" s="35" t="str">
        <f>IF($G174="","",IFERROR(INDEX('Match Entry'!$O$5:$O$228,5+($B174-1)*Setup!$B$13+$D174-1-4),""))</f>
        <v/>
      </c>
      <c r="T174" s="33" t="str">
        <f t="shared" si="22"/>
        <v/>
      </c>
      <c r="U174" s="33" t="str">
        <f t="shared" si="23"/>
        <v/>
      </c>
      <c r="V174" s="33" t="str">
        <f t="shared" si="24"/>
        <v/>
      </c>
      <c r="W174" s="33" t="str">
        <f t="shared" si="25"/>
        <v/>
      </c>
      <c r="X174" s="30" t="str">
        <f>IF(OR($G174="",$I174=""),"",IF(OR($T174&gt;=Setup!$B$8,$U174&gt;=Setup!$B$8),1,""))</f>
        <v/>
      </c>
      <c r="Y174" s="30" t="str">
        <f t="shared" si="26"/>
        <v/>
      </c>
      <c r="Z174" s="33" t="str">
        <f>IF($X174=1,IF($T174&gt;$U174,Setup!$B$9,Setup!$B$10),"")</f>
        <v/>
      </c>
      <c r="AA174" s="33" t="str">
        <f>IF($X174=1,IF($U174&gt;$T174,Setup!$B$9,Setup!$B$10),"")</f>
        <v/>
      </c>
      <c r="AB174" s="30" t="str">
        <f t="shared" si="27"/>
        <v/>
      </c>
      <c r="AC174" s="30" t="str">
        <f t="shared" si="28"/>
        <v/>
      </c>
      <c r="AD174" s="30" t="str">
        <f t="shared" si="29"/>
        <v/>
      </c>
    </row>
    <row r="175" spans="1:30">
      <c r="A175" s="29">
        <v>174</v>
      </c>
      <c r="B175" s="29" t="str">
        <f>IF(INT(($A175-1)/28)+1&lt;=Setup!$B$5,INT(($A175-1)/28)+1,"")</f>
        <v/>
      </c>
      <c r="C175" s="29" t="str">
        <f t="shared" si="20"/>
        <v/>
      </c>
      <c r="D175" s="29">
        <f t="shared" si="21"/>
        <v>6</v>
      </c>
      <c r="E175" s="29" t="str">
        <f>IF($B175="","",IFERROR(INDEX('Fixture Library'!$C$2:$C$200,MATCH(Setup!$B$6*100+$D175,'Fixture Library'!$F$2:$F$200,0)),""))</f>
        <v/>
      </c>
      <c r="F175" s="30" t="str">
        <f>IF($B175="","",IFERROR(INDEX('Fixture Library'!$D$2:$D$200,MATCH(Setup!$B$6*100+$D175,'Fixture Library'!$F$2:$F$200,0)),""))</f>
        <v/>
      </c>
      <c r="G175" s="30" t="str">
        <f>IF($F175="","",INDEX(Teams!$E$2:$E$65,($B175-1)*8+$F175))</f>
        <v/>
      </c>
      <c r="H175" s="30" t="str">
        <f>IF($B175="","",IFERROR(INDEX('Fixture Library'!$E$2:$E$200,MATCH(Setup!$B$6*100+$D175,'Fixture Library'!$F$2:$F$200,0)),""))</f>
        <v/>
      </c>
      <c r="I175" s="30" t="str">
        <f>IF($H175="","",INDEX(Teams!$E$2:$E$65,($B175-1)*8+$H175))</f>
        <v/>
      </c>
      <c r="J175" s="34" t="str">
        <f>IF($G175="","",IFERROR(INDEX('Match Entry'!$F$5:$F$228,5+($B175-1)*Setup!$B$13+$D175-1-4),""))</f>
        <v/>
      </c>
      <c r="K175" s="35" t="str">
        <f>IF($G175="","",IFERROR(INDEX('Match Entry'!$G$5:$G$228,5+($B175-1)*Setup!$B$13+$D175-1-4),""))</f>
        <v/>
      </c>
      <c r="L175" s="34" t="str">
        <f>IF($G175="","",IFERROR(INDEX('Match Entry'!$H$5:$H$228,5+($B175-1)*Setup!$B$13+$D175-1-4),""))</f>
        <v/>
      </c>
      <c r="M175" s="35" t="str">
        <f>IF($G175="","",IFERROR(INDEX('Match Entry'!$I$5:$I$228,5+($B175-1)*Setup!$B$13+$D175-1-4),""))</f>
        <v/>
      </c>
      <c r="N175" s="34" t="str">
        <f>IF($G175="","",IFERROR(INDEX('Match Entry'!$J$5:$J$228,5+($B175-1)*Setup!$B$13+$D175-1-4),""))</f>
        <v/>
      </c>
      <c r="O175" s="35" t="str">
        <f>IF($G175="","",IFERROR(INDEX('Match Entry'!$K$5:$K$228,5+($B175-1)*Setup!$B$13+$D175-1-4),""))</f>
        <v/>
      </c>
      <c r="P175" s="34" t="str">
        <f>IF($G175="","",IFERROR(INDEX('Match Entry'!$L$5:$L$228,5+($B175-1)*Setup!$B$13+$D175-1-4),""))</f>
        <v/>
      </c>
      <c r="Q175" s="35" t="str">
        <f>IF($G175="","",IFERROR(INDEX('Match Entry'!$M$5:$M$228,5+($B175-1)*Setup!$B$13+$D175-1-4),""))</f>
        <v/>
      </c>
      <c r="R175" s="34" t="str">
        <f>IF($G175="","",IFERROR(INDEX('Match Entry'!$N$5:$N$228,5+($B175-1)*Setup!$B$13+$D175-1-4),""))</f>
        <v/>
      </c>
      <c r="S175" s="35" t="str">
        <f>IF($G175="","",IFERROR(INDEX('Match Entry'!$O$5:$O$228,5+($B175-1)*Setup!$B$13+$D175-1-4),""))</f>
        <v/>
      </c>
      <c r="T175" s="33" t="str">
        <f t="shared" si="22"/>
        <v/>
      </c>
      <c r="U175" s="33" t="str">
        <f t="shared" si="23"/>
        <v/>
      </c>
      <c r="V175" s="33" t="str">
        <f t="shared" si="24"/>
        <v/>
      </c>
      <c r="W175" s="33" t="str">
        <f t="shared" si="25"/>
        <v/>
      </c>
      <c r="X175" s="30" t="str">
        <f>IF(OR($G175="",$I175=""),"",IF(OR($T175&gt;=Setup!$B$8,$U175&gt;=Setup!$B$8),1,""))</f>
        <v/>
      </c>
      <c r="Y175" s="30" t="str">
        <f t="shared" si="26"/>
        <v/>
      </c>
      <c r="Z175" s="33" t="str">
        <f>IF($X175=1,IF($T175&gt;$U175,Setup!$B$9,Setup!$B$10),"")</f>
        <v/>
      </c>
      <c r="AA175" s="33" t="str">
        <f>IF($X175=1,IF($U175&gt;$T175,Setup!$B$9,Setup!$B$10),"")</f>
        <v/>
      </c>
      <c r="AB175" s="30" t="str">
        <f t="shared" si="27"/>
        <v/>
      </c>
      <c r="AC175" s="30" t="str">
        <f t="shared" si="28"/>
        <v/>
      </c>
      <c r="AD175" s="30" t="str">
        <f t="shared" si="29"/>
        <v/>
      </c>
    </row>
    <row r="176" spans="1:30">
      <c r="A176" s="29">
        <v>175</v>
      </c>
      <c r="B176" s="29" t="str">
        <f>IF(INT(($A176-1)/28)+1&lt;=Setup!$B$5,INT(($A176-1)/28)+1,"")</f>
        <v/>
      </c>
      <c r="C176" s="29" t="str">
        <f t="shared" si="20"/>
        <v/>
      </c>
      <c r="D176" s="29">
        <f t="shared" si="21"/>
        <v>7</v>
      </c>
      <c r="E176" s="29" t="str">
        <f>IF($B176="","",IFERROR(INDEX('Fixture Library'!$C$2:$C$200,MATCH(Setup!$B$6*100+$D176,'Fixture Library'!$F$2:$F$200,0)),""))</f>
        <v/>
      </c>
      <c r="F176" s="30" t="str">
        <f>IF($B176="","",IFERROR(INDEX('Fixture Library'!$D$2:$D$200,MATCH(Setup!$B$6*100+$D176,'Fixture Library'!$F$2:$F$200,0)),""))</f>
        <v/>
      </c>
      <c r="G176" s="30" t="str">
        <f>IF($F176="","",INDEX(Teams!$E$2:$E$65,($B176-1)*8+$F176))</f>
        <v/>
      </c>
      <c r="H176" s="30" t="str">
        <f>IF($B176="","",IFERROR(INDEX('Fixture Library'!$E$2:$E$200,MATCH(Setup!$B$6*100+$D176,'Fixture Library'!$F$2:$F$200,0)),""))</f>
        <v/>
      </c>
      <c r="I176" s="30" t="str">
        <f>IF($H176="","",INDEX(Teams!$E$2:$E$65,($B176-1)*8+$H176))</f>
        <v/>
      </c>
      <c r="J176" s="34" t="str">
        <f>IF($G176="","",IFERROR(INDEX('Match Entry'!$F$5:$F$228,5+($B176-1)*Setup!$B$13+$D176-1-4),""))</f>
        <v/>
      </c>
      <c r="K176" s="35" t="str">
        <f>IF($G176="","",IFERROR(INDEX('Match Entry'!$G$5:$G$228,5+($B176-1)*Setup!$B$13+$D176-1-4),""))</f>
        <v/>
      </c>
      <c r="L176" s="34" t="str">
        <f>IF($G176="","",IFERROR(INDEX('Match Entry'!$H$5:$H$228,5+($B176-1)*Setup!$B$13+$D176-1-4),""))</f>
        <v/>
      </c>
      <c r="M176" s="35" t="str">
        <f>IF($G176="","",IFERROR(INDEX('Match Entry'!$I$5:$I$228,5+($B176-1)*Setup!$B$13+$D176-1-4),""))</f>
        <v/>
      </c>
      <c r="N176" s="34" t="str">
        <f>IF($G176="","",IFERROR(INDEX('Match Entry'!$J$5:$J$228,5+($B176-1)*Setup!$B$13+$D176-1-4),""))</f>
        <v/>
      </c>
      <c r="O176" s="35" t="str">
        <f>IF($G176="","",IFERROR(INDEX('Match Entry'!$K$5:$K$228,5+($B176-1)*Setup!$B$13+$D176-1-4),""))</f>
        <v/>
      </c>
      <c r="P176" s="34" t="str">
        <f>IF($G176="","",IFERROR(INDEX('Match Entry'!$L$5:$L$228,5+($B176-1)*Setup!$B$13+$D176-1-4),""))</f>
        <v/>
      </c>
      <c r="Q176" s="35" t="str">
        <f>IF($G176="","",IFERROR(INDEX('Match Entry'!$M$5:$M$228,5+($B176-1)*Setup!$B$13+$D176-1-4),""))</f>
        <v/>
      </c>
      <c r="R176" s="34" t="str">
        <f>IF($G176="","",IFERROR(INDEX('Match Entry'!$N$5:$N$228,5+($B176-1)*Setup!$B$13+$D176-1-4),""))</f>
        <v/>
      </c>
      <c r="S176" s="35" t="str">
        <f>IF($G176="","",IFERROR(INDEX('Match Entry'!$O$5:$O$228,5+($B176-1)*Setup!$B$13+$D176-1-4),""))</f>
        <v/>
      </c>
      <c r="T176" s="33" t="str">
        <f t="shared" si="22"/>
        <v/>
      </c>
      <c r="U176" s="33" t="str">
        <f t="shared" si="23"/>
        <v/>
      </c>
      <c r="V176" s="33" t="str">
        <f t="shared" si="24"/>
        <v/>
      </c>
      <c r="W176" s="33" t="str">
        <f t="shared" si="25"/>
        <v/>
      </c>
      <c r="X176" s="30" t="str">
        <f>IF(OR($G176="",$I176=""),"",IF(OR($T176&gt;=Setup!$B$8,$U176&gt;=Setup!$B$8),1,""))</f>
        <v/>
      </c>
      <c r="Y176" s="30" t="str">
        <f t="shared" si="26"/>
        <v/>
      </c>
      <c r="Z176" s="33" t="str">
        <f>IF($X176=1,IF($T176&gt;$U176,Setup!$B$9,Setup!$B$10),"")</f>
        <v/>
      </c>
      <c r="AA176" s="33" t="str">
        <f>IF($X176=1,IF($U176&gt;$T176,Setup!$B$9,Setup!$B$10),"")</f>
        <v/>
      </c>
      <c r="AB176" s="30" t="str">
        <f t="shared" si="27"/>
        <v/>
      </c>
      <c r="AC176" s="30" t="str">
        <f t="shared" si="28"/>
        <v/>
      </c>
      <c r="AD176" s="30" t="str">
        <f t="shared" si="29"/>
        <v/>
      </c>
    </row>
    <row r="177" spans="1:30">
      <c r="A177" s="29">
        <v>176</v>
      </c>
      <c r="B177" s="29" t="str">
        <f>IF(INT(($A177-1)/28)+1&lt;=Setup!$B$5,INT(($A177-1)/28)+1,"")</f>
        <v/>
      </c>
      <c r="C177" s="29" t="str">
        <f t="shared" si="20"/>
        <v/>
      </c>
      <c r="D177" s="29">
        <f t="shared" si="21"/>
        <v>8</v>
      </c>
      <c r="E177" s="29" t="str">
        <f>IF($B177="","",IFERROR(INDEX('Fixture Library'!$C$2:$C$200,MATCH(Setup!$B$6*100+$D177,'Fixture Library'!$F$2:$F$200,0)),""))</f>
        <v/>
      </c>
      <c r="F177" s="30" t="str">
        <f>IF($B177="","",IFERROR(INDEX('Fixture Library'!$D$2:$D$200,MATCH(Setup!$B$6*100+$D177,'Fixture Library'!$F$2:$F$200,0)),""))</f>
        <v/>
      </c>
      <c r="G177" s="30" t="str">
        <f>IF($F177="","",INDEX(Teams!$E$2:$E$65,($B177-1)*8+$F177))</f>
        <v/>
      </c>
      <c r="H177" s="30" t="str">
        <f>IF($B177="","",IFERROR(INDEX('Fixture Library'!$E$2:$E$200,MATCH(Setup!$B$6*100+$D177,'Fixture Library'!$F$2:$F$200,0)),""))</f>
        <v/>
      </c>
      <c r="I177" s="30" t="str">
        <f>IF($H177="","",INDEX(Teams!$E$2:$E$65,($B177-1)*8+$H177))</f>
        <v/>
      </c>
      <c r="J177" s="34" t="str">
        <f>IF($G177="","",IFERROR(INDEX('Match Entry'!$F$5:$F$228,5+($B177-1)*Setup!$B$13+$D177-1-4),""))</f>
        <v/>
      </c>
      <c r="K177" s="35" t="str">
        <f>IF($G177="","",IFERROR(INDEX('Match Entry'!$G$5:$G$228,5+($B177-1)*Setup!$B$13+$D177-1-4),""))</f>
        <v/>
      </c>
      <c r="L177" s="34" t="str">
        <f>IF($G177="","",IFERROR(INDEX('Match Entry'!$H$5:$H$228,5+($B177-1)*Setup!$B$13+$D177-1-4),""))</f>
        <v/>
      </c>
      <c r="M177" s="35" t="str">
        <f>IF($G177="","",IFERROR(INDEX('Match Entry'!$I$5:$I$228,5+($B177-1)*Setup!$B$13+$D177-1-4),""))</f>
        <v/>
      </c>
      <c r="N177" s="34" t="str">
        <f>IF($G177="","",IFERROR(INDEX('Match Entry'!$J$5:$J$228,5+($B177-1)*Setup!$B$13+$D177-1-4),""))</f>
        <v/>
      </c>
      <c r="O177" s="35" t="str">
        <f>IF($G177="","",IFERROR(INDEX('Match Entry'!$K$5:$K$228,5+($B177-1)*Setup!$B$13+$D177-1-4),""))</f>
        <v/>
      </c>
      <c r="P177" s="34" t="str">
        <f>IF($G177="","",IFERROR(INDEX('Match Entry'!$L$5:$L$228,5+($B177-1)*Setup!$B$13+$D177-1-4),""))</f>
        <v/>
      </c>
      <c r="Q177" s="35" t="str">
        <f>IF($G177="","",IFERROR(INDEX('Match Entry'!$M$5:$M$228,5+($B177-1)*Setup!$B$13+$D177-1-4),""))</f>
        <v/>
      </c>
      <c r="R177" s="34" t="str">
        <f>IF($G177="","",IFERROR(INDEX('Match Entry'!$N$5:$N$228,5+($B177-1)*Setup!$B$13+$D177-1-4),""))</f>
        <v/>
      </c>
      <c r="S177" s="35" t="str">
        <f>IF($G177="","",IFERROR(INDEX('Match Entry'!$O$5:$O$228,5+($B177-1)*Setup!$B$13+$D177-1-4),""))</f>
        <v/>
      </c>
      <c r="T177" s="33" t="str">
        <f t="shared" si="22"/>
        <v/>
      </c>
      <c r="U177" s="33" t="str">
        <f t="shared" si="23"/>
        <v/>
      </c>
      <c r="V177" s="33" t="str">
        <f t="shared" si="24"/>
        <v/>
      </c>
      <c r="W177" s="33" t="str">
        <f t="shared" si="25"/>
        <v/>
      </c>
      <c r="X177" s="30" t="str">
        <f>IF(OR($G177="",$I177=""),"",IF(OR($T177&gt;=Setup!$B$8,$U177&gt;=Setup!$B$8),1,""))</f>
        <v/>
      </c>
      <c r="Y177" s="30" t="str">
        <f t="shared" si="26"/>
        <v/>
      </c>
      <c r="Z177" s="33" t="str">
        <f>IF($X177=1,IF($T177&gt;$U177,Setup!$B$9,Setup!$B$10),"")</f>
        <v/>
      </c>
      <c r="AA177" s="33" t="str">
        <f>IF($X177=1,IF($U177&gt;$T177,Setup!$B$9,Setup!$B$10),"")</f>
        <v/>
      </c>
      <c r="AB177" s="30" t="str">
        <f t="shared" si="27"/>
        <v/>
      </c>
      <c r="AC177" s="30" t="str">
        <f t="shared" si="28"/>
        <v/>
      </c>
      <c r="AD177" s="30" t="str">
        <f t="shared" si="29"/>
        <v/>
      </c>
    </row>
    <row r="178" spans="1:30">
      <c r="A178" s="29">
        <v>177</v>
      </c>
      <c r="B178" s="29" t="str">
        <f>IF(INT(($A178-1)/28)+1&lt;=Setup!$B$5,INT(($A178-1)/28)+1,"")</f>
        <v/>
      </c>
      <c r="C178" s="29" t="str">
        <f t="shared" si="20"/>
        <v/>
      </c>
      <c r="D178" s="29">
        <f t="shared" si="21"/>
        <v>9</v>
      </c>
      <c r="E178" s="29" t="str">
        <f>IF($B178="","",IFERROR(INDEX('Fixture Library'!$C$2:$C$200,MATCH(Setup!$B$6*100+$D178,'Fixture Library'!$F$2:$F$200,0)),""))</f>
        <v/>
      </c>
      <c r="F178" s="30" t="str">
        <f>IF($B178="","",IFERROR(INDEX('Fixture Library'!$D$2:$D$200,MATCH(Setup!$B$6*100+$D178,'Fixture Library'!$F$2:$F$200,0)),""))</f>
        <v/>
      </c>
      <c r="G178" s="30" t="str">
        <f>IF($F178="","",INDEX(Teams!$E$2:$E$65,($B178-1)*8+$F178))</f>
        <v/>
      </c>
      <c r="H178" s="30" t="str">
        <f>IF($B178="","",IFERROR(INDEX('Fixture Library'!$E$2:$E$200,MATCH(Setup!$B$6*100+$D178,'Fixture Library'!$F$2:$F$200,0)),""))</f>
        <v/>
      </c>
      <c r="I178" s="30" t="str">
        <f>IF($H178="","",INDEX(Teams!$E$2:$E$65,($B178-1)*8+$H178))</f>
        <v/>
      </c>
      <c r="J178" s="34" t="str">
        <f>IF($G178="","",IFERROR(INDEX('Match Entry'!$F$5:$F$228,5+($B178-1)*Setup!$B$13+$D178-1-4),""))</f>
        <v/>
      </c>
      <c r="K178" s="35" t="str">
        <f>IF($G178="","",IFERROR(INDEX('Match Entry'!$G$5:$G$228,5+($B178-1)*Setup!$B$13+$D178-1-4),""))</f>
        <v/>
      </c>
      <c r="L178" s="34" t="str">
        <f>IF($G178="","",IFERROR(INDEX('Match Entry'!$H$5:$H$228,5+($B178-1)*Setup!$B$13+$D178-1-4),""))</f>
        <v/>
      </c>
      <c r="M178" s="35" t="str">
        <f>IF($G178="","",IFERROR(INDEX('Match Entry'!$I$5:$I$228,5+($B178-1)*Setup!$B$13+$D178-1-4),""))</f>
        <v/>
      </c>
      <c r="N178" s="34" t="str">
        <f>IF($G178="","",IFERROR(INDEX('Match Entry'!$J$5:$J$228,5+($B178-1)*Setup!$B$13+$D178-1-4),""))</f>
        <v/>
      </c>
      <c r="O178" s="35" t="str">
        <f>IF($G178="","",IFERROR(INDEX('Match Entry'!$K$5:$K$228,5+($B178-1)*Setup!$B$13+$D178-1-4),""))</f>
        <v/>
      </c>
      <c r="P178" s="34" t="str">
        <f>IF($G178="","",IFERROR(INDEX('Match Entry'!$L$5:$L$228,5+($B178-1)*Setup!$B$13+$D178-1-4),""))</f>
        <v/>
      </c>
      <c r="Q178" s="35" t="str">
        <f>IF($G178="","",IFERROR(INDEX('Match Entry'!$M$5:$M$228,5+($B178-1)*Setup!$B$13+$D178-1-4),""))</f>
        <v/>
      </c>
      <c r="R178" s="34" t="str">
        <f>IF($G178="","",IFERROR(INDEX('Match Entry'!$N$5:$N$228,5+($B178-1)*Setup!$B$13+$D178-1-4),""))</f>
        <v/>
      </c>
      <c r="S178" s="35" t="str">
        <f>IF($G178="","",IFERROR(INDEX('Match Entry'!$O$5:$O$228,5+($B178-1)*Setup!$B$13+$D178-1-4),""))</f>
        <v/>
      </c>
      <c r="T178" s="33" t="str">
        <f t="shared" si="22"/>
        <v/>
      </c>
      <c r="U178" s="33" t="str">
        <f t="shared" si="23"/>
        <v/>
      </c>
      <c r="V178" s="33" t="str">
        <f t="shared" si="24"/>
        <v/>
      </c>
      <c r="W178" s="33" t="str">
        <f t="shared" si="25"/>
        <v/>
      </c>
      <c r="X178" s="30" t="str">
        <f>IF(OR($G178="",$I178=""),"",IF(OR($T178&gt;=Setup!$B$8,$U178&gt;=Setup!$B$8),1,""))</f>
        <v/>
      </c>
      <c r="Y178" s="30" t="str">
        <f t="shared" si="26"/>
        <v/>
      </c>
      <c r="Z178" s="33" t="str">
        <f>IF($X178=1,IF($T178&gt;$U178,Setup!$B$9,Setup!$B$10),"")</f>
        <v/>
      </c>
      <c r="AA178" s="33" t="str">
        <f>IF($X178=1,IF($U178&gt;$T178,Setup!$B$9,Setup!$B$10),"")</f>
        <v/>
      </c>
      <c r="AB178" s="30" t="str">
        <f t="shared" si="27"/>
        <v/>
      </c>
      <c r="AC178" s="30" t="str">
        <f t="shared" si="28"/>
        <v/>
      </c>
      <c r="AD178" s="30" t="str">
        <f t="shared" si="29"/>
        <v/>
      </c>
    </row>
    <row r="179" spans="1:30">
      <c r="A179" s="29">
        <v>178</v>
      </c>
      <c r="B179" s="29" t="str">
        <f>IF(INT(($A179-1)/28)+1&lt;=Setup!$B$5,INT(($A179-1)/28)+1,"")</f>
        <v/>
      </c>
      <c r="C179" s="29" t="str">
        <f t="shared" si="20"/>
        <v/>
      </c>
      <c r="D179" s="29">
        <f t="shared" si="21"/>
        <v>10</v>
      </c>
      <c r="E179" s="29" t="str">
        <f>IF($B179="","",IFERROR(INDEX('Fixture Library'!$C$2:$C$200,MATCH(Setup!$B$6*100+$D179,'Fixture Library'!$F$2:$F$200,0)),""))</f>
        <v/>
      </c>
      <c r="F179" s="30" t="str">
        <f>IF($B179="","",IFERROR(INDEX('Fixture Library'!$D$2:$D$200,MATCH(Setup!$B$6*100+$D179,'Fixture Library'!$F$2:$F$200,0)),""))</f>
        <v/>
      </c>
      <c r="G179" s="30" t="str">
        <f>IF($F179="","",INDEX(Teams!$E$2:$E$65,($B179-1)*8+$F179))</f>
        <v/>
      </c>
      <c r="H179" s="30" t="str">
        <f>IF($B179="","",IFERROR(INDEX('Fixture Library'!$E$2:$E$200,MATCH(Setup!$B$6*100+$D179,'Fixture Library'!$F$2:$F$200,0)),""))</f>
        <v/>
      </c>
      <c r="I179" s="30" t="str">
        <f>IF($H179="","",INDEX(Teams!$E$2:$E$65,($B179-1)*8+$H179))</f>
        <v/>
      </c>
      <c r="J179" s="34" t="str">
        <f>IF($G179="","",IFERROR(INDEX('Match Entry'!$F$5:$F$228,5+($B179-1)*Setup!$B$13+$D179-1-4),""))</f>
        <v/>
      </c>
      <c r="K179" s="35" t="str">
        <f>IF($G179="","",IFERROR(INDEX('Match Entry'!$G$5:$G$228,5+($B179-1)*Setup!$B$13+$D179-1-4),""))</f>
        <v/>
      </c>
      <c r="L179" s="34" t="str">
        <f>IF($G179="","",IFERROR(INDEX('Match Entry'!$H$5:$H$228,5+($B179-1)*Setup!$B$13+$D179-1-4),""))</f>
        <v/>
      </c>
      <c r="M179" s="35" t="str">
        <f>IF($G179="","",IFERROR(INDEX('Match Entry'!$I$5:$I$228,5+($B179-1)*Setup!$B$13+$D179-1-4),""))</f>
        <v/>
      </c>
      <c r="N179" s="34" t="str">
        <f>IF($G179="","",IFERROR(INDEX('Match Entry'!$J$5:$J$228,5+($B179-1)*Setup!$B$13+$D179-1-4),""))</f>
        <v/>
      </c>
      <c r="O179" s="35" t="str">
        <f>IF($G179="","",IFERROR(INDEX('Match Entry'!$K$5:$K$228,5+($B179-1)*Setup!$B$13+$D179-1-4),""))</f>
        <v/>
      </c>
      <c r="P179" s="34" t="str">
        <f>IF($G179="","",IFERROR(INDEX('Match Entry'!$L$5:$L$228,5+($B179-1)*Setup!$B$13+$D179-1-4),""))</f>
        <v/>
      </c>
      <c r="Q179" s="35" t="str">
        <f>IF($G179="","",IFERROR(INDEX('Match Entry'!$M$5:$M$228,5+($B179-1)*Setup!$B$13+$D179-1-4),""))</f>
        <v/>
      </c>
      <c r="R179" s="34" t="str">
        <f>IF($G179="","",IFERROR(INDEX('Match Entry'!$N$5:$N$228,5+($B179-1)*Setup!$B$13+$D179-1-4),""))</f>
        <v/>
      </c>
      <c r="S179" s="35" t="str">
        <f>IF($G179="","",IFERROR(INDEX('Match Entry'!$O$5:$O$228,5+($B179-1)*Setup!$B$13+$D179-1-4),""))</f>
        <v/>
      </c>
      <c r="T179" s="33" t="str">
        <f t="shared" si="22"/>
        <v/>
      </c>
      <c r="U179" s="33" t="str">
        <f t="shared" si="23"/>
        <v/>
      </c>
      <c r="V179" s="33" t="str">
        <f t="shared" si="24"/>
        <v/>
      </c>
      <c r="W179" s="33" t="str">
        <f t="shared" si="25"/>
        <v/>
      </c>
      <c r="X179" s="30" t="str">
        <f>IF(OR($G179="",$I179=""),"",IF(OR($T179&gt;=Setup!$B$8,$U179&gt;=Setup!$B$8),1,""))</f>
        <v/>
      </c>
      <c r="Y179" s="30" t="str">
        <f t="shared" si="26"/>
        <v/>
      </c>
      <c r="Z179" s="33" t="str">
        <f>IF($X179=1,IF($T179&gt;$U179,Setup!$B$9,Setup!$B$10),"")</f>
        <v/>
      </c>
      <c r="AA179" s="33" t="str">
        <f>IF($X179=1,IF($U179&gt;$T179,Setup!$B$9,Setup!$B$10),"")</f>
        <v/>
      </c>
      <c r="AB179" s="30" t="str">
        <f t="shared" si="27"/>
        <v/>
      </c>
      <c r="AC179" s="30" t="str">
        <f t="shared" si="28"/>
        <v/>
      </c>
      <c r="AD179" s="30" t="str">
        <f t="shared" si="29"/>
        <v/>
      </c>
    </row>
    <row r="180" spans="1:30">
      <c r="A180" s="29">
        <v>179</v>
      </c>
      <c r="B180" s="29" t="str">
        <f>IF(INT(($A180-1)/28)+1&lt;=Setup!$B$5,INT(($A180-1)/28)+1,"")</f>
        <v/>
      </c>
      <c r="C180" s="29" t="str">
        <f t="shared" si="20"/>
        <v/>
      </c>
      <c r="D180" s="29">
        <f t="shared" si="21"/>
        <v>11</v>
      </c>
      <c r="E180" s="29" t="str">
        <f>IF($B180="","",IFERROR(INDEX('Fixture Library'!$C$2:$C$200,MATCH(Setup!$B$6*100+$D180,'Fixture Library'!$F$2:$F$200,0)),""))</f>
        <v/>
      </c>
      <c r="F180" s="30" t="str">
        <f>IF($B180="","",IFERROR(INDEX('Fixture Library'!$D$2:$D$200,MATCH(Setup!$B$6*100+$D180,'Fixture Library'!$F$2:$F$200,0)),""))</f>
        <v/>
      </c>
      <c r="G180" s="30" t="str">
        <f>IF($F180="","",INDEX(Teams!$E$2:$E$65,($B180-1)*8+$F180))</f>
        <v/>
      </c>
      <c r="H180" s="30" t="str">
        <f>IF($B180="","",IFERROR(INDEX('Fixture Library'!$E$2:$E$200,MATCH(Setup!$B$6*100+$D180,'Fixture Library'!$F$2:$F$200,0)),""))</f>
        <v/>
      </c>
      <c r="I180" s="30" t="str">
        <f>IF($H180="","",INDEX(Teams!$E$2:$E$65,($B180-1)*8+$H180))</f>
        <v/>
      </c>
      <c r="J180" s="34" t="str">
        <f>IF($G180="","",IFERROR(INDEX('Match Entry'!$F$5:$F$228,5+($B180-1)*Setup!$B$13+$D180-1-4),""))</f>
        <v/>
      </c>
      <c r="K180" s="35" t="str">
        <f>IF($G180="","",IFERROR(INDEX('Match Entry'!$G$5:$G$228,5+($B180-1)*Setup!$B$13+$D180-1-4),""))</f>
        <v/>
      </c>
      <c r="L180" s="34" t="str">
        <f>IF($G180="","",IFERROR(INDEX('Match Entry'!$H$5:$H$228,5+($B180-1)*Setup!$B$13+$D180-1-4),""))</f>
        <v/>
      </c>
      <c r="M180" s="35" t="str">
        <f>IF($G180="","",IFERROR(INDEX('Match Entry'!$I$5:$I$228,5+($B180-1)*Setup!$B$13+$D180-1-4),""))</f>
        <v/>
      </c>
      <c r="N180" s="34" t="str">
        <f>IF($G180="","",IFERROR(INDEX('Match Entry'!$J$5:$J$228,5+($B180-1)*Setup!$B$13+$D180-1-4),""))</f>
        <v/>
      </c>
      <c r="O180" s="35" t="str">
        <f>IF($G180="","",IFERROR(INDEX('Match Entry'!$K$5:$K$228,5+($B180-1)*Setup!$B$13+$D180-1-4),""))</f>
        <v/>
      </c>
      <c r="P180" s="34" t="str">
        <f>IF($G180="","",IFERROR(INDEX('Match Entry'!$L$5:$L$228,5+($B180-1)*Setup!$B$13+$D180-1-4),""))</f>
        <v/>
      </c>
      <c r="Q180" s="35" t="str">
        <f>IF($G180="","",IFERROR(INDEX('Match Entry'!$M$5:$M$228,5+($B180-1)*Setup!$B$13+$D180-1-4),""))</f>
        <v/>
      </c>
      <c r="R180" s="34" t="str">
        <f>IF($G180="","",IFERROR(INDEX('Match Entry'!$N$5:$N$228,5+($B180-1)*Setup!$B$13+$D180-1-4),""))</f>
        <v/>
      </c>
      <c r="S180" s="35" t="str">
        <f>IF($G180="","",IFERROR(INDEX('Match Entry'!$O$5:$O$228,5+($B180-1)*Setup!$B$13+$D180-1-4),""))</f>
        <v/>
      </c>
      <c r="T180" s="33" t="str">
        <f t="shared" si="22"/>
        <v/>
      </c>
      <c r="U180" s="33" t="str">
        <f t="shared" si="23"/>
        <v/>
      </c>
      <c r="V180" s="33" t="str">
        <f t="shared" si="24"/>
        <v/>
      </c>
      <c r="W180" s="33" t="str">
        <f t="shared" si="25"/>
        <v/>
      </c>
      <c r="X180" s="30" t="str">
        <f>IF(OR($G180="",$I180=""),"",IF(OR($T180&gt;=Setup!$B$8,$U180&gt;=Setup!$B$8),1,""))</f>
        <v/>
      </c>
      <c r="Y180" s="30" t="str">
        <f t="shared" si="26"/>
        <v/>
      </c>
      <c r="Z180" s="33" t="str">
        <f>IF($X180=1,IF($T180&gt;$U180,Setup!$B$9,Setup!$B$10),"")</f>
        <v/>
      </c>
      <c r="AA180" s="33" t="str">
        <f>IF($X180=1,IF($U180&gt;$T180,Setup!$B$9,Setup!$B$10),"")</f>
        <v/>
      </c>
      <c r="AB180" s="30" t="str">
        <f t="shared" si="27"/>
        <v/>
      </c>
      <c r="AC180" s="30" t="str">
        <f t="shared" si="28"/>
        <v/>
      </c>
      <c r="AD180" s="30" t="str">
        <f t="shared" si="29"/>
        <v/>
      </c>
    </row>
    <row r="181" spans="1:30">
      <c r="A181" s="29">
        <v>180</v>
      </c>
      <c r="B181" s="29" t="str">
        <f>IF(INT(($A181-1)/28)+1&lt;=Setup!$B$5,INT(($A181-1)/28)+1,"")</f>
        <v/>
      </c>
      <c r="C181" s="29" t="str">
        <f t="shared" si="20"/>
        <v/>
      </c>
      <c r="D181" s="29">
        <f t="shared" si="21"/>
        <v>12</v>
      </c>
      <c r="E181" s="29" t="str">
        <f>IF($B181="","",IFERROR(INDEX('Fixture Library'!$C$2:$C$200,MATCH(Setup!$B$6*100+$D181,'Fixture Library'!$F$2:$F$200,0)),""))</f>
        <v/>
      </c>
      <c r="F181" s="30" t="str">
        <f>IF($B181="","",IFERROR(INDEX('Fixture Library'!$D$2:$D$200,MATCH(Setup!$B$6*100+$D181,'Fixture Library'!$F$2:$F$200,0)),""))</f>
        <v/>
      </c>
      <c r="G181" s="30" t="str">
        <f>IF($F181="","",INDEX(Teams!$E$2:$E$65,($B181-1)*8+$F181))</f>
        <v/>
      </c>
      <c r="H181" s="30" t="str">
        <f>IF($B181="","",IFERROR(INDEX('Fixture Library'!$E$2:$E$200,MATCH(Setup!$B$6*100+$D181,'Fixture Library'!$F$2:$F$200,0)),""))</f>
        <v/>
      </c>
      <c r="I181" s="30" t="str">
        <f>IF($H181="","",INDEX(Teams!$E$2:$E$65,($B181-1)*8+$H181))</f>
        <v/>
      </c>
      <c r="J181" s="34" t="str">
        <f>IF($G181="","",IFERROR(INDEX('Match Entry'!$F$5:$F$228,5+($B181-1)*Setup!$B$13+$D181-1-4),""))</f>
        <v/>
      </c>
      <c r="K181" s="35" t="str">
        <f>IF($G181="","",IFERROR(INDEX('Match Entry'!$G$5:$G$228,5+($B181-1)*Setup!$B$13+$D181-1-4),""))</f>
        <v/>
      </c>
      <c r="L181" s="34" t="str">
        <f>IF($G181="","",IFERROR(INDEX('Match Entry'!$H$5:$H$228,5+($B181-1)*Setup!$B$13+$D181-1-4),""))</f>
        <v/>
      </c>
      <c r="M181" s="35" t="str">
        <f>IF($G181="","",IFERROR(INDEX('Match Entry'!$I$5:$I$228,5+($B181-1)*Setup!$B$13+$D181-1-4),""))</f>
        <v/>
      </c>
      <c r="N181" s="34" t="str">
        <f>IF($G181="","",IFERROR(INDEX('Match Entry'!$J$5:$J$228,5+($B181-1)*Setup!$B$13+$D181-1-4),""))</f>
        <v/>
      </c>
      <c r="O181" s="35" t="str">
        <f>IF($G181="","",IFERROR(INDEX('Match Entry'!$K$5:$K$228,5+($B181-1)*Setup!$B$13+$D181-1-4),""))</f>
        <v/>
      </c>
      <c r="P181" s="34" t="str">
        <f>IF($G181="","",IFERROR(INDEX('Match Entry'!$L$5:$L$228,5+($B181-1)*Setup!$B$13+$D181-1-4),""))</f>
        <v/>
      </c>
      <c r="Q181" s="35" t="str">
        <f>IF($G181="","",IFERROR(INDEX('Match Entry'!$M$5:$M$228,5+($B181-1)*Setup!$B$13+$D181-1-4),""))</f>
        <v/>
      </c>
      <c r="R181" s="34" t="str">
        <f>IF($G181="","",IFERROR(INDEX('Match Entry'!$N$5:$N$228,5+($B181-1)*Setup!$B$13+$D181-1-4),""))</f>
        <v/>
      </c>
      <c r="S181" s="35" t="str">
        <f>IF($G181="","",IFERROR(INDEX('Match Entry'!$O$5:$O$228,5+($B181-1)*Setup!$B$13+$D181-1-4),""))</f>
        <v/>
      </c>
      <c r="T181" s="33" t="str">
        <f t="shared" si="22"/>
        <v/>
      </c>
      <c r="U181" s="33" t="str">
        <f t="shared" si="23"/>
        <v/>
      </c>
      <c r="V181" s="33" t="str">
        <f t="shared" si="24"/>
        <v/>
      </c>
      <c r="W181" s="33" t="str">
        <f t="shared" si="25"/>
        <v/>
      </c>
      <c r="X181" s="30" t="str">
        <f>IF(OR($G181="",$I181=""),"",IF(OR($T181&gt;=Setup!$B$8,$U181&gt;=Setup!$B$8),1,""))</f>
        <v/>
      </c>
      <c r="Y181" s="30" t="str">
        <f t="shared" si="26"/>
        <v/>
      </c>
      <c r="Z181" s="33" t="str">
        <f>IF($X181=1,IF($T181&gt;$U181,Setup!$B$9,Setup!$B$10),"")</f>
        <v/>
      </c>
      <c r="AA181" s="33" t="str">
        <f>IF($X181=1,IF($U181&gt;$T181,Setup!$B$9,Setup!$B$10),"")</f>
        <v/>
      </c>
      <c r="AB181" s="30" t="str">
        <f t="shared" si="27"/>
        <v/>
      </c>
      <c r="AC181" s="30" t="str">
        <f t="shared" si="28"/>
        <v/>
      </c>
      <c r="AD181" s="30" t="str">
        <f t="shared" si="29"/>
        <v/>
      </c>
    </row>
    <row r="182" spans="1:30">
      <c r="A182" s="29">
        <v>181</v>
      </c>
      <c r="B182" s="29" t="str">
        <f>IF(INT(($A182-1)/28)+1&lt;=Setup!$B$5,INT(($A182-1)/28)+1,"")</f>
        <v/>
      </c>
      <c r="C182" s="29" t="str">
        <f t="shared" si="20"/>
        <v/>
      </c>
      <c r="D182" s="29">
        <f t="shared" si="21"/>
        <v>13</v>
      </c>
      <c r="E182" s="29" t="str">
        <f>IF($B182="","",IFERROR(INDEX('Fixture Library'!$C$2:$C$200,MATCH(Setup!$B$6*100+$D182,'Fixture Library'!$F$2:$F$200,0)),""))</f>
        <v/>
      </c>
      <c r="F182" s="30" t="str">
        <f>IF($B182="","",IFERROR(INDEX('Fixture Library'!$D$2:$D$200,MATCH(Setup!$B$6*100+$D182,'Fixture Library'!$F$2:$F$200,0)),""))</f>
        <v/>
      </c>
      <c r="G182" s="30" t="str">
        <f>IF($F182="","",INDEX(Teams!$E$2:$E$65,($B182-1)*8+$F182))</f>
        <v/>
      </c>
      <c r="H182" s="30" t="str">
        <f>IF($B182="","",IFERROR(INDEX('Fixture Library'!$E$2:$E$200,MATCH(Setup!$B$6*100+$D182,'Fixture Library'!$F$2:$F$200,0)),""))</f>
        <v/>
      </c>
      <c r="I182" s="30" t="str">
        <f>IF($H182="","",INDEX(Teams!$E$2:$E$65,($B182-1)*8+$H182))</f>
        <v/>
      </c>
      <c r="J182" s="34" t="str">
        <f>IF($G182="","",IFERROR(INDEX('Match Entry'!$F$5:$F$228,5+($B182-1)*Setup!$B$13+$D182-1-4),""))</f>
        <v/>
      </c>
      <c r="K182" s="35" t="str">
        <f>IF($G182="","",IFERROR(INDEX('Match Entry'!$G$5:$G$228,5+($B182-1)*Setup!$B$13+$D182-1-4),""))</f>
        <v/>
      </c>
      <c r="L182" s="34" t="str">
        <f>IF($G182="","",IFERROR(INDEX('Match Entry'!$H$5:$H$228,5+($B182-1)*Setup!$B$13+$D182-1-4),""))</f>
        <v/>
      </c>
      <c r="M182" s="35" t="str">
        <f>IF($G182="","",IFERROR(INDEX('Match Entry'!$I$5:$I$228,5+($B182-1)*Setup!$B$13+$D182-1-4),""))</f>
        <v/>
      </c>
      <c r="N182" s="34" t="str">
        <f>IF($G182="","",IFERROR(INDEX('Match Entry'!$J$5:$J$228,5+($B182-1)*Setup!$B$13+$D182-1-4),""))</f>
        <v/>
      </c>
      <c r="O182" s="35" t="str">
        <f>IF($G182="","",IFERROR(INDEX('Match Entry'!$K$5:$K$228,5+($B182-1)*Setup!$B$13+$D182-1-4),""))</f>
        <v/>
      </c>
      <c r="P182" s="34" t="str">
        <f>IF($G182="","",IFERROR(INDEX('Match Entry'!$L$5:$L$228,5+($B182-1)*Setup!$B$13+$D182-1-4),""))</f>
        <v/>
      </c>
      <c r="Q182" s="35" t="str">
        <f>IF($G182="","",IFERROR(INDEX('Match Entry'!$M$5:$M$228,5+($B182-1)*Setup!$B$13+$D182-1-4),""))</f>
        <v/>
      </c>
      <c r="R182" s="34" t="str">
        <f>IF($G182="","",IFERROR(INDEX('Match Entry'!$N$5:$N$228,5+($B182-1)*Setup!$B$13+$D182-1-4),""))</f>
        <v/>
      </c>
      <c r="S182" s="35" t="str">
        <f>IF($G182="","",IFERROR(INDEX('Match Entry'!$O$5:$O$228,5+($B182-1)*Setup!$B$13+$D182-1-4),""))</f>
        <v/>
      </c>
      <c r="T182" s="33" t="str">
        <f t="shared" si="22"/>
        <v/>
      </c>
      <c r="U182" s="33" t="str">
        <f t="shared" si="23"/>
        <v/>
      </c>
      <c r="V182" s="33" t="str">
        <f t="shared" si="24"/>
        <v/>
      </c>
      <c r="W182" s="33" t="str">
        <f t="shared" si="25"/>
        <v/>
      </c>
      <c r="X182" s="30" t="str">
        <f>IF(OR($G182="",$I182=""),"",IF(OR($T182&gt;=Setup!$B$8,$U182&gt;=Setup!$B$8),1,""))</f>
        <v/>
      </c>
      <c r="Y182" s="30" t="str">
        <f t="shared" si="26"/>
        <v/>
      </c>
      <c r="Z182" s="33" t="str">
        <f>IF($X182=1,IF($T182&gt;$U182,Setup!$B$9,Setup!$B$10),"")</f>
        <v/>
      </c>
      <c r="AA182" s="33" t="str">
        <f>IF($X182=1,IF($U182&gt;$T182,Setup!$B$9,Setup!$B$10),"")</f>
        <v/>
      </c>
      <c r="AB182" s="30" t="str">
        <f t="shared" si="27"/>
        <v/>
      </c>
      <c r="AC182" s="30" t="str">
        <f t="shared" si="28"/>
        <v/>
      </c>
      <c r="AD182" s="30" t="str">
        <f t="shared" si="29"/>
        <v/>
      </c>
    </row>
    <row r="183" spans="1:30">
      <c r="A183" s="29">
        <v>182</v>
      </c>
      <c r="B183" s="29" t="str">
        <f>IF(INT(($A183-1)/28)+1&lt;=Setup!$B$5,INT(($A183-1)/28)+1,"")</f>
        <v/>
      </c>
      <c r="C183" s="29" t="str">
        <f t="shared" si="20"/>
        <v/>
      </c>
      <c r="D183" s="29">
        <f t="shared" si="21"/>
        <v>14</v>
      </c>
      <c r="E183" s="29" t="str">
        <f>IF($B183="","",IFERROR(INDEX('Fixture Library'!$C$2:$C$200,MATCH(Setup!$B$6*100+$D183,'Fixture Library'!$F$2:$F$200,0)),""))</f>
        <v/>
      </c>
      <c r="F183" s="30" t="str">
        <f>IF($B183="","",IFERROR(INDEX('Fixture Library'!$D$2:$D$200,MATCH(Setup!$B$6*100+$D183,'Fixture Library'!$F$2:$F$200,0)),""))</f>
        <v/>
      </c>
      <c r="G183" s="30" t="str">
        <f>IF($F183="","",INDEX(Teams!$E$2:$E$65,($B183-1)*8+$F183))</f>
        <v/>
      </c>
      <c r="H183" s="30" t="str">
        <f>IF($B183="","",IFERROR(INDEX('Fixture Library'!$E$2:$E$200,MATCH(Setup!$B$6*100+$D183,'Fixture Library'!$F$2:$F$200,0)),""))</f>
        <v/>
      </c>
      <c r="I183" s="30" t="str">
        <f>IF($H183="","",INDEX(Teams!$E$2:$E$65,($B183-1)*8+$H183))</f>
        <v/>
      </c>
      <c r="J183" s="34" t="str">
        <f>IF($G183="","",IFERROR(INDEX('Match Entry'!$F$5:$F$228,5+($B183-1)*Setup!$B$13+$D183-1-4),""))</f>
        <v/>
      </c>
      <c r="K183" s="35" t="str">
        <f>IF($G183="","",IFERROR(INDEX('Match Entry'!$G$5:$G$228,5+($B183-1)*Setup!$B$13+$D183-1-4),""))</f>
        <v/>
      </c>
      <c r="L183" s="34" t="str">
        <f>IF($G183="","",IFERROR(INDEX('Match Entry'!$H$5:$H$228,5+($B183-1)*Setup!$B$13+$D183-1-4),""))</f>
        <v/>
      </c>
      <c r="M183" s="35" t="str">
        <f>IF($G183="","",IFERROR(INDEX('Match Entry'!$I$5:$I$228,5+($B183-1)*Setup!$B$13+$D183-1-4),""))</f>
        <v/>
      </c>
      <c r="N183" s="34" t="str">
        <f>IF($G183="","",IFERROR(INDEX('Match Entry'!$J$5:$J$228,5+($B183-1)*Setup!$B$13+$D183-1-4),""))</f>
        <v/>
      </c>
      <c r="O183" s="35" t="str">
        <f>IF($G183="","",IFERROR(INDEX('Match Entry'!$K$5:$K$228,5+($B183-1)*Setup!$B$13+$D183-1-4),""))</f>
        <v/>
      </c>
      <c r="P183" s="34" t="str">
        <f>IF($G183="","",IFERROR(INDEX('Match Entry'!$L$5:$L$228,5+($B183-1)*Setup!$B$13+$D183-1-4),""))</f>
        <v/>
      </c>
      <c r="Q183" s="35" t="str">
        <f>IF($G183="","",IFERROR(INDEX('Match Entry'!$M$5:$M$228,5+($B183-1)*Setup!$B$13+$D183-1-4),""))</f>
        <v/>
      </c>
      <c r="R183" s="34" t="str">
        <f>IF($G183="","",IFERROR(INDEX('Match Entry'!$N$5:$N$228,5+($B183-1)*Setup!$B$13+$D183-1-4),""))</f>
        <v/>
      </c>
      <c r="S183" s="35" t="str">
        <f>IF($G183="","",IFERROR(INDEX('Match Entry'!$O$5:$O$228,5+($B183-1)*Setup!$B$13+$D183-1-4),""))</f>
        <v/>
      </c>
      <c r="T183" s="33" t="str">
        <f t="shared" si="22"/>
        <v/>
      </c>
      <c r="U183" s="33" t="str">
        <f t="shared" si="23"/>
        <v/>
      </c>
      <c r="V183" s="33" t="str">
        <f t="shared" si="24"/>
        <v/>
      </c>
      <c r="W183" s="33" t="str">
        <f t="shared" si="25"/>
        <v/>
      </c>
      <c r="X183" s="30" t="str">
        <f>IF(OR($G183="",$I183=""),"",IF(OR($T183&gt;=Setup!$B$8,$U183&gt;=Setup!$B$8),1,""))</f>
        <v/>
      </c>
      <c r="Y183" s="30" t="str">
        <f t="shared" si="26"/>
        <v/>
      </c>
      <c r="Z183" s="33" t="str">
        <f>IF($X183=1,IF($T183&gt;$U183,Setup!$B$9,Setup!$B$10),"")</f>
        <v/>
      </c>
      <c r="AA183" s="33" t="str">
        <f>IF($X183=1,IF($U183&gt;$T183,Setup!$B$9,Setup!$B$10),"")</f>
        <v/>
      </c>
      <c r="AB183" s="30" t="str">
        <f t="shared" si="27"/>
        <v/>
      </c>
      <c r="AC183" s="30" t="str">
        <f t="shared" si="28"/>
        <v/>
      </c>
      <c r="AD183" s="30" t="str">
        <f t="shared" si="29"/>
        <v/>
      </c>
    </row>
    <row r="184" spans="1:30">
      <c r="A184" s="29">
        <v>183</v>
      </c>
      <c r="B184" s="29" t="str">
        <f>IF(INT(($A184-1)/28)+1&lt;=Setup!$B$5,INT(($A184-1)/28)+1,"")</f>
        <v/>
      </c>
      <c r="C184" s="29" t="str">
        <f t="shared" si="20"/>
        <v/>
      </c>
      <c r="D184" s="29">
        <f t="shared" si="21"/>
        <v>15</v>
      </c>
      <c r="E184" s="29" t="str">
        <f>IF($B184="","",IFERROR(INDEX('Fixture Library'!$C$2:$C$200,MATCH(Setup!$B$6*100+$D184,'Fixture Library'!$F$2:$F$200,0)),""))</f>
        <v/>
      </c>
      <c r="F184" s="30" t="str">
        <f>IF($B184="","",IFERROR(INDEX('Fixture Library'!$D$2:$D$200,MATCH(Setup!$B$6*100+$D184,'Fixture Library'!$F$2:$F$200,0)),""))</f>
        <v/>
      </c>
      <c r="G184" s="30" t="str">
        <f>IF($F184="","",INDEX(Teams!$E$2:$E$65,($B184-1)*8+$F184))</f>
        <v/>
      </c>
      <c r="H184" s="30" t="str">
        <f>IF($B184="","",IFERROR(INDEX('Fixture Library'!$E$2:$E$200,MATCH(Setup!$B$6*100+$D184,'Fixture Library'!$F$2:$F$200,0)),""))</f>
        <v/>
      </c>
      <c r="I184" s="30" t="str">
        <f>IF($H184="","",INDEX(Teams!$E$2:$E$65,($B184-1)*8+$H184))</f>
        <v/>
      </c>
      <c r="J184" s="34" t="str">
        <f>IF($G184="","",IFERROR(INDEX('Match Entry'!$F$5:$F$228,5+($B184-1)*Setup!$B$13+$D184-1-4),""))</f>
        <v/>
      </c>
      <c r="K184" s="35" t="str">
        <f>IF($G184="","",IFERROR(INDEX('Match Entry'!$G$5:$G$228,5+($B184-1)*Setup!$B$13+$D184-1-4),""))</f>
        <v/>
      </c>
      <c r="L184" s="34" t="str">
        <f>IF($G184="","",IFERROR(INDEX('Match Entry'!$H$5:$H$228,5+($B184-1)*Setup!$B$13+$D184-1-4),""))</f>
        <v/>
      </c>
      <c r="M184" s="35" t="str">
        <f>IF($G184="","",IFERROR(INDEX('Match Entry'!$I$5:$I$228,5+($B184-1)*Setup!$B$13+$D184-1-4),""))</f>
        <v/>
      </c>
      <c r="N184" s="34" t="str">
        <f>IF($G184="","",IFERROR(INDEX('Match Entry'!$J$5:$J$228,5+($B184-1)*Setup!$B$13+$D184-1-4),""))</f>
        <v/>
      </c>
      <c r="O184" s="35" t="str">
        <f>IF($G184="","",IFERROR(INDEX('Match Entry'!$K$5:$K$228,5+($B184-1)*Setup!$B$13+$D184-1-4),""))</f>
        <v/>
      </c>
      <c r="P184" s="34" t="str">
        <f>IF($G184="","",IFERROR(INDEX('Match Entry'!$L$5:$L$228,5+($B184-1)*Setup!$B$13+$D184-1-4),""))</f>
        <v/>
      </c>
      <c r="Q184" s="35" t="str">
        <f>IF($G184="","",IFERROR(INDEX('Match Entry'!$M$5:$M$228,5+($B184-1)*Setup!$B$13+$D184-1-4),""))</f>
        <v/>
      </c>
      <c r="R184" s="34" t="str">
        <f>IF($G184="","",IFERROR(INDEX('Match Entry'!$N$5:$N$228,5+($B184-1)*Setup!$B$13+$D184-1-4),""))</f>
        <v/>
      </c>
      <c r="S184" s="35" t="str">
        <f>IF($G184="","",IFERROR(INDEX('Match Entry'!$O$5:$O$228,5+($B184-1)*Setup!$B$13+$D184-1-4),""))</f>
        <v/>
      </c>
      <c r="T184" s="33" t="str">
        <f t="shared" si="22"/>
        <v/>
      </c>
      <c r="U184" s="33" t="str">
        <f t="shared" si="23"/>
        <v/>
      </c>
      <c r="V184" s="33" t="str">
        <f t="shared" si="24"/>
        <v/>
      </c>
      <c r="W184" s="33" t="str">
        <f t="shared" si="25"/>
        <v/>
      </c>
      <c r="X184" s="30" t="str">
        <f>IF(OR($G184="",$I184=""),"",IF(OR($T184&gt;=Setup!$B$8,$U184&gt;=Setup!$B$8),1,""))</f>
        <v/>
      </c>
      <c r="Y184" s="30" t="str">
        <f t="shared" si="26"/>
        <v/>
      </c>
      <c r="Z184" s="33" t="str">
        <f>IF($X184=1,IF($T184&gt;$U184,Setup!$B$9,Setup!$B$10),"")</f>
        <v/>
      </c>
      <c r="AA184" s="33" t="str">
        <f>IF($X184=1,IF($U184&gt;$T184,Setup!$B$9,Setup!$B$10),"")</f>
        <v/>
      </c>
      <c r="AB184" s="30" t="str">
        <f t="shared" si="27"/>
        <v/>
      </c>
      <c r="AC184" s="30" t="str">
        <f t="shared" si="28"/>
        <v/>
      </c>
      <c r="AD184" s="30" t="str">
        <f t="shared" si="29"/>
        <v/>
      </c>
    </row>
    <row r="185" spans="1:30">
      <c r="A185" s="29">
        <v>184</v>
      </c>
      <c r="B185" s="29" t="str">
        <f>IF(INT(($A185-1)/28)+1&lt;=Setup!$B$5,INT(($A185-1)/28)+1,"")</f>
        <v/>
      </c>
      <c r="C185" s="29" t="str">
        <f t="shared" si="20"/>
        <v/>
      </c>
      <c r="D185" s="29">
        <f t="shared" si="21"/>
        <v>16</v>
      </c>
      <c r="E185" s="29" t="str">
        <f>IF($B185="","",IFERROR(INDEX('Fixture Library'!$C$2:$C$200,MATCH(Setup!$B$6*100+$D185,'Fixture Library'!$F$2:$F$200,0)),""))</f>
        <v/>
      </c>
      <c r="F185" s="30" t="str">
        <f>IF($B185="","",IFERROR(INDEX('Fixture Library'!$D$2:$D$200,MATCH(Setup!$B$6*100+$D185,'Fixture Library'!$F$2:$F$200,0)),""))</f>
        <v/>
      </c>
      <c r="G185" s="30" t="str">
        <f>IF($F185="","",INDEX(Teams!$E$2:$E$65,($B185-1)*8+$F185))</f>
        <v/>
      </c>
      <c r="H185" s="30" t="str">
        <f>IF($B185="","",IFERROR(INDEX('Fixture Library'!$E$2:$E$200,MATCH(Setup!$B$6*100+$D185,'Fixture Library'!$F$2:$F$200,0)),""))</f>
        <v/>
      </c>
      <c r="I185" s="30" t="str">
        <f>IF($H185="","",INDEX(Teams!$E$2:$E$65,($B185-1)*8+$H185))</f>
        <v/>
      </c>
      <c r="J185" s="34" t="str">
        <f>IF($G185="","",IFERROR(INDEX('Match Entry'!$F$5:$F$228,5+($B185-1)*Setup!$B$13+$D185-1-4),""))</f>
        <v/>
      </c>
      <c r="K185" s="35" t="str">
        <f>IF($G185="","",IFERROR(INDEX('Match Entry'!$G$5:$G$228,5+($B185-1)*Setup!$B$13+$D185-1-4),""))</f>
        <v/>
      </c>
      <c r="L185" s="34" t="str">
        <f>IF($G185="","",IFERROR(INDEX('Match Entry'!$H$5:$H$228,5+($B185-1)*Setup!$B$13+$D185-1-4),""))</f>
        <v/>
      </c>
      <c r="M185" s="35" t="str">
        <f>IF($G185="","",IFERROR(INDEX('Match Entry'!$I$5:$I$228,5+($B185-1)*Setup!$B$13+$D185-1-4),""))</f>
        <v/>
      </c>
      <c r="N185" s="34" t="str">
        <f>IF($G185="","",IFERROR(INDEX('Match Entry'!$J$5:$J$228,5+($B185-1)*Setup!$B$13+$D185-1-4),""))</f>
        <v/>
      </c>
      <c r="O185" s="35" t="str">
        <f>IF($G185="","",IFERROR(INDEX('Match Entry'!$K$5:$K$228,5+($B185-1)*Setup!$B$13+$D185-1-4),""))</f>
        <v/>
      </c>
      <c r="P185" s="34" t="str">
        <f>IF($G185="","",IFERROR(INDEX('Match Entry'!$L$5:$L$228,5+($B185-1)*Setup!$B$13+$D185-1-4),""))</f>
        <v/>
      </c>
      <c r="Q185" s="35" t="str">
        <f>IF($G185="","",IFERROR(INDEX('Match Entry'!$M$5:$M$228,5+($B185-1)*Setup!$B$13+$D185-1-4),""))</f>
        <v/>
      </c>
      <c r="R185" s="34" t="str">
        <f>IF($G185="","",IFERROR(INDEX('Match Entry'!$N$5:$N$228,5+($B185-1)*Setup!$B$13+$D185-1-4),""))</f>
        <v/>
      </c>
      <c r="S185" s="35" t="str">
        <f>IF($G185="","",IFERROR(INDEX('Match Entry'!$O$5:$O$228,5+($B185-1)*Setup!$B$13+$D185-1-4),""))</f>
        <v/>
      </c>
      <c r="T185" s="33" t="str">
        <f t="shared" si="22"/>
        <v/>
      </c>
      <c r="U185" s="33" t="str">
        <f t="shared" si="23"/>
        <v/>
      </c>
      <c r="V185" s="33" t="str">
        <f t="shared" si="24"/>
        <v/>
      </c>
      <c r="W185" s="33" t="str">
        <f t="shared" si="25"/>
        <v/>
      </c>
      <c r="X185" s="30" t="str">
        <f>IF(OR($G185="",$I185=""),"",IF(OR($T185&gt;=Setup!$B$8,$U185&gt;=Setup!$B$8),1,""))</f>
        <v/>
      </c>
      <c r="Y185" s="30" t="str">
        <f t="shared" si="26"/>
        <v/>
      </c>
      <c r="Z185" s="33" t="str">
        <f>IF($X185=1,IF($T185&gt;$U185,Setup!$B$9,Setup!$B$10),"")</f>
        <v/>
      </c>
      <c r="AA185" s="33" t="str">
        <f>IF($X185=1,IF($U185&gt;$T185,Setup!$B$9,Setup!$B$10),"")</f>
        <v/>
      </c>
      <c r="AB185" s="30" t="str">
        <f t="shared" si="27"/>
        <v/>
      </c>
      <c r="AC185" s="30" t="str">
        <f t="shared" si="28"/>
        <v/>
      </c>
      <c r="AD185" s="30" t="str">
        <f t="shared" si="29"/>
        <v/>
      </c>
    </row>
    <row r="186" spans="1:30">
      <c r="A186" s="29">
        <v>185</v>
      </c>
      <c r="B186" s="29" t="str">
        <f>IF(INT(($A186-1)/28)+1&lt;=Setup!$B$5,INT(($A186-1)/28)+1,"")</f>
        <v/>
      </c>
      <c r="C186" s="29" t="str">
        <f t="shared" si="20"/>
        <v/>
      </c>
      <c r="D186" s="29">
        <f t="shared" si="21"/>
        <v>17</v>
      </c>
      <c r="E186" s="29" t="str">
        <f>IF($B186="","",IFERROR(INDEX('Fixture Library'!$C$2:$C$200,MATCH(Setup!$B$6*100+$D186,'Fixture Library'!$F$2:$F$200,0)),""))</f>
        <v/>
      </c>
      <c r="F186" s="30" t="str">
        <f>IF($B186="","",IFERROR(INDEX('Fixture Library'!$D$2:$D$200,MATCH(Setup!$B$6*100+$D186,'Fixture Library'!$F$2:$F$200,0)),""))</f>
        <v/>
      </c>
      <c r="G186" s="30" t="str">
        <f>IF($F186="","",INDEX(Teams!$E$2:$E$65,($B186-1)*8+$F186))</f>
        <v/>
      </c>
      <c r="H186" s="30" t="str">
        <f>IF($B186="","",IFERROR(INDEX('Fixture Library'!$E$2:$E$200,MATCH(Setup!$B$6*100+$D186,'Fixture Library'!$F$2:$F$200,0)),""))</f>
        <v/>
      </c>
      <c r="I186" s="30" t="str">
        <f>IF($H186="","",INDEX(Teams!$E$2:$E$65,($B186-1)*8+$H186))</f>
        <v/>
      </c>
      <c r="J186" s="34" t="str">
        <f>IF($G186="","",IFERROR(INDEX('Match Entry'!$F$5:$F$228,5+($B186-1)*Setup!$B$13+$D186-1-4),""))</f>
        <v/>
      </c>
      <c r="K186" s="35" t="str">
        <f>IF($G186="","",IFERROR(INDEX('Match Entry'!$G$5:$G$228,5+($B186-1)*Setup!$B$13+$D186-1-4),""))</f>
        <v/>
      </c>
      <c r="L186" s="34" t="str">
        <f>IF($G186="","",IFERROR(INDEX('Match Entry'!$H$5:$H$228,5+($B186-1)*Setup!$B$13+$D186-1-4),""))</f>
        <v/>
      </c>
      <c r="M186" s="35" t="str">
        <f>IF($G186="","",IFERROR(INDEX('Match Entry'!$I$5:$I$228,5+($B186-1)*Setup!$B$13+$D186-1-4),""))</f>
        <v/>
      </c>
      <c r="N186" s="34" t="str">
        <f>IF($G186="","",IFERROR(INDEX('Match Entry'!$J$5:$J$228,5+($B186-1)*Setup!$B$13+$D186-1-4),""))</f>
        <v/>
      </c>
      <c r="O186" s="35" t="str">
        <f>IF($G186="","",IFERROR(INDEX('Match Entry'!$K$5:$K$228,5+($B186-1)*Setup!$B$13+$D186-1-4),""))</f>
        <v/>
      </c>
      <c r="P186" s="34" t="str">
        <f>IF($G186="","",IFERROR(INDEX('Match Entry'!$L$5:$L$228,5+($B186-1)*Setup!$B$13+$D186-1-4),""))</f>
        <v/>
      </c>
      <c r="Q186" s="35" t="str">
        <f>IF($G186="","",IFERROR(INDEX('Match Entry'!$M$5:$M$228,5+($B186-1)*Setup!$B$13+$D186-1-4),""))</f>
        <v/>
      </c>
      <c r="R186" s="34" t="str">
        <f>IF($G186="","",IFERROR(INDEX('Match Entry'!$N$5:$N$228,5+($B186-1)*Setup!$B$13+$D186-1-4),""))</f>
        <v/>
      </c>
      <c r="S186" s="35" t="str">
        <f>IF($G186="","",IFERROR(INDEX('Match Entry'!$O$5:$O$228,5+($B186-1)*Setup!$B$13+$D186-1-4),""))</f>
        <v/>
      </c>
      <c r="T186" s="33" t="str">
        <f t="shared" si="22"/>
        <v/>
      </c>
      <c r="U186" s="33" t="str">
        <f t="shared" si="23"/>
        <v/>
      </c>
      <c r="V186" s="33" t="str">
        <f t="shared" si="24"/>
        <v/>
      </c>
      <c r="W186" s="33" t="str">
        <f t="shared" si="25"/>
        <v/>
      </c>
      <c r="X186" s="30" t="str">
        <f>IF(OR($G186="",$I186=""),"",IF(OR($T186&gt;=Setup!$B$8,$U186&gt;=Setup!$B$8),1,""))</f>
        <v/>
      </c>
      <c r="Y186" s="30" t="str">
        <f t="shared" si="26"/>
        <v/>
      </c>
      <c r="Z186" s="33" t="str">
        <f>IF($X186=1,IF($T186&gt;$U186,Setup!$B$9,Setup!$B$10),"")</f>
        <v/>
      </c>
      <c r="AA186" s="33" t="str">
        <f>IF($X186=1,IF($U186&gt;$T186,Setup!$B$9,Setup!$B$10),"")</f>
        <v/>
      </c>
      <c r="AB186" s="30" t="str">
        <f t="shared" si="27"/>
        <v/>
      </c>
      <c r="AC186" s="30" t="str">
        <f t="shared" si="28"/>
        <v/>
      </c>
      <c r="AD186" s="30" t="str">
        <f t="shared" si="29"/>
        <v/>
      </c>
    </row>
    <row r="187" spans="1:30">
      <c r="A187" s="29">
        <v>186</v>
      </c>
      <c r="B187" s="29" t="str">
        <f>IF(INT(($A187-1)/28)+1&lt;=Setup!$B$5,INT(($A187-1)/28)+1,"")</f>
        <v/>
      </c>
      <c r="C187" s="29" t="str">
        <f t="shared" si="20"/>
        <v/>
      </c>
      <c r="D187" s="29">
        <f t="shared" si="21"/>
        <v>18</v>
      </c>
      <c r="E187" s="29" t="str">
        <f>IF($B187="","",IFERROR(INDEX('Fixture Library'!$C$2:$C$200,MATCH(Setup!$B$6*100+$D187,'Fixture Library'!$F$2:$F$200,0)),""))</f>
        <v/>
      </c>
      <c r="F187" s="30" t="str">
        <f>IF($B187="","",IFERROR(INDEX('Fixture Library'!$D$2:$D$200,MATCH(Setup!$B$6*100+$D187,'Fixture Library'!$F$2:$F$200,0)),""))</f>
        <v/>
      </c>
      <c r="G187" s="30" t="str">
        <f>IF($F187="","",INDEX(Teams!$E$2:$E$65,($B187-1)*8+$F187))</f>
        <v/>
      </c>
      <c r="H187" s="30" t="str">
        <f>IF($B187="","",IFERROR(INDEX('Fixture Library'!$E$2:$E$200,MATCH(Setup!$B$6*100+$D187,'Fixture Library'!$F$2:$F$200,0)),""))</f>
        <v/>
      </c>
      <c r="I187" s="30" t="str">
        <f>IF($H187="","",INDEX(Teams!$E$2:$E$65,($B187-1)*8+$H187))</f>
        <v/>
      </c>
      <c r="J187" s="34" t="str">
        <f>IF($G187="","",IFERROR(INDEX('Match Entry'!$F$5:$F$228,5+($B187-1)*Setup!$B$13+$D187-1-4),""))</f>
        <v/>
      </c>
      <c r="K187" s="35" t="str">
        <f>IF($G187="","",IFERROR(INDEX('Match Entry'!$G$5:$G$228,5+($B187-1)*Setup!$B$13+$D187-1-4),""))</f>
        <v/>
      </c>
      <c r="L187" s="34" t="str">
        <f>IF($G187="","",IFERROR(INDEX('Match Entry'!$H$5:$H$228,5+($B187-1)*Setup!$B$13+$D187-1-4),""))</f>
        <v/>
      </c>
      <c r="M187" s="35" t="str">
        <f>IF($G187="","",IFERROR(INDEX('Match Entry'!$I$5:$I$228,5+($B187-1)*Setup!$B$13+$D187-1-4),""))</f>
        <v/>
      </c>
      <c r="N187" s="34" t="str">
        <f>IF($G187="","",IFERROR(INDEX('Match Entry'!$J$5:$J$228,5+($B187-1)*Setup!$B$13+$D187-1-4),""))</f>
        <v/>
      </c>
      <c r="O187" s="35" t="str">
        <f>IF($G187="","",IFERROR(INDEX('Match Entry'!$K$5:$K$228,5+($B187-1)*Setup!$B$13+$D187-1-4),""))</f>
        <v/>
      </c>
      <c r="P187" s="34" t="str">
        <f>IF($G187="","",IFERROR(INDEX('Match Entry'!$L$5:$L$228,5+($B187-1)*Setup!$B$13+$D187-1-4),""))</f>
        <v/>
      </c>
      <c r="Q187" s="35" t="str">
        <f>IF($G187="","",IFERROR(INDEX('Match Entry'!$M$5:$M$228,5+($B187-1)*Setup!$B$13+$D187-1-4),""))</f>
        <v/>
      </c>
      <c r="R187" s="34" t="str">
        <f>IF($G187="","",IFERROR(INDEX('Match Entry'!$N$5:$N$228,5+($B187-1)*Setup!$B$13+$D187-1-4),""))</f>
        <v/>
      </c>
      <c r="S187" s="35" t="str">
        <f>IF($G187="","",IFERROR(INDEX('Match Entry'!$O$5:$O$228,5+($B187-1)*Setup!$B$13+$D187-1-4),""))</f>
        <v/>
      </c>
      <c r="T187" s="33" t="str">
        <f t="shared" si="22"/>
        <v/>
      </c>
      <c r="U187" s="33" t="str">
        <f t="shared" si="23"/>
        <v/>
      </c>
      <c r="V187" s="33" t="str">
        <f t="shared" si="24"/>
        <v/>
      </c>
      <c r="W187" s="33" t="str">
        <f t="shared" si="25"/>
        <v/>
      </c>
      <c r="X187" s="30" t="str">
        <f>IF(OR($G187="",$I187=""),"",IF(OR($T187&gt;=Setup!$B$8,$U187&gt;=Setup!$B$8),1,""))</f>
        <v/>
      </c>
      <c r="Y187" s="30" t="str">
        <f t="shared" si="26"/>
        <v/>
      </c>
      <c r="Z187" s="33" t="str">
        <f>IF($X187=1,IF($T187&gt;$U187,Setup!$B$9,Setup!$B$10),"")</f>
        <v/>
      </c>
      <c r="AA187" s="33" t="str">
        <f>IF($X187=1,IF($U187&gt;$T187,Setup!$B$9,Setup!$B$10),"")</f>
        <v/>
      </c>
      <c r="AB187" s="30" t="str">
        <f t="shared" si="27"/>
        <v/>
      </c>
      <c r="AC187" s="30" t="str">
        <f t="shared" si="28"/>
        <v/>
      </c>
      <c r="AD187" s="30" t="str">
        <f t="shared" si="29"/>
        <v/>
      </c>
    </row>
    <row r="188" spans="1:30">
      <c r="A188" s="29">
        <v>187</v>
      </c>
      <c r="B188" s="29" t="str">
        <f>IF(INT(($A188-1)/28)+1&lt;=Setup!$B$5,INT(($A188-1)/28)+1,"")</f>
        <v/>
      </c>
      <c r="C188" s="29" t="str">
        <f t="shared" si="20"/>
        <v/>
      </c>
      <c r="D188" s="29">
        <f t="shared" si="21"/>
        <v>19</v>
      </c>
      <c r="E188" s="29" t="str">
        <f>IF($B188="","",IFERROR(INDEX('Fixture Library'!$C$2:$C$200,MATCH(Setup!$B$6*100+$D188,'Fixture Library'!$F$2:$F$200,0)),""))</f>
        <v/>
      </c>
      <c r="F188" s="30" t="str">
        <f>IF($B188="","",IFERROR(INDEX('Fixture Library'!$D$2:$D$200,MATCH(Setup!$B$6*100+$D188,'Fixture Library'!$F$2:$F$200,0)),""))</f>
        <v/>
      </c>
      <c r="G188" s="30" t="str">
        <f>IF($F188="","",INDEX(Teams!$E$2:$E$65,($B188-1)*8+$F188))</f>
        <v/>
      </c>
      <c r="H188" s="30" t="str">
        <f>IF($B188="","",IFERROR(INDEX('Fixture Library'!$E$2:$E$200,MATCH(Setup!$B$6*100+$D188,'Fixture Library'!$F$2:$F$200,0)),""))</f>
        <v/>
      </c>
      <c r="I188" s="30" t="str">
        <f>IF($H188="","",INDEX(Teams!$E$2:$E$65,($B188-1)*8+$H188))</f>
        <v/>
      </c>
      <c r="J188" s="34" t="str">
        <f>IF($G188="","",IFERROR(INDEX('Match Entry'!$F$5:$F$228,5+($B188-1)*Setup!$B$13+$D188-1-4),""))</f>
        <v/>
      </c>
      <c r="K188" s="35" t="str">
        <f>IF($G188="","",IFERROR(INDEX('Match Entry'!$G$5:$G$228,5+($B188-1)*Setup!$B$13+$D188-1-4),""))</f>
        <v/>
      </c>
      <c r="L188" s="34" t="str">
        <f>IF($G188="","",IFERROR(INDEX('Match Entry'!$H$5:$H$228,5+($B188-1)*Setup!$B$13+$D188-1-4),""))</f>
        <v/>
      </c>
      <c r="M188" s="35" t="str">
        <f>IF($G188="","",IFERROR(INDEX('Match Entry'!$I$5:$I$228,5+($B188-1)*Setup!$B$13+$D188-1-4),""))</f>
        <v/>
      </c>
      <c r="N188" s="34" t="str">
        <f>IF($G188="","",IFERROR(INDEX('Match Entry'!$J$5:$J$228,5+($B188-1)*Setup!$B$13+$D188-1-4),""))</f>
        <v/>
      </c>
      <c r="O188" s="35" t="str">
        <f>IF($G188="","",IFERROR(INDEX('Match Entry'!$K$5:$K$228,5+($B188-1)*Setup!$B$13+$D188-1-4),""))</f>
        <v/>
      </c>
      <c r="P188" s="34" t="str">
        <f>IF($G188="","",IFERROR(INDEX('Match Entry'!$L$5:$L$228,5+($B188-1)*Setup!$B$13+$D188-1-4),""))</f>
        <v/>
      </c>
      <c r="Q188" s="35" t="str">
        <f>IF($G188="","",IFERROR(INDEX('Match Entry'!$M$5:$M$228,5+($B188-1)*Setup!$B$13+$D188-1-4),""))</f>
        <v/>
      </c>
      <c r="R188" s="34" t="str">
        <f>IF($G188="","",IFERROR(INDEX('Match Entry'!$N$5:$N$228,5+($B188-1)*Setup!$B$13+$D188-1-4),""))</f>
        <v/>
      </c>
      <c r="S188" s="35" t="str">
        <f>IF($G188="","",IFERROR(INDEX('Match Entry'!$O$5:$O$228,5+($B188-1)*Setup!$B$13+$D188-1-4),""))</f>
        <v/>
      </c>
      <c r="T188" s="33" t="str">
        <f t="shared" si="22"/>
        <v/>
      </c>
      <c r="U188" s="33" t="str">
        <f t="shared" si="23"/>
        <v/>
      </c>
      <c r="V188" s="33" t="str">
        <f t="shared" si="24"/>
        <v/>
      </c>
      <c r="W188" s="33" t="str">
        <f t="shared" si="25"/>
        <v/>
      </c>
      <c r="X188" s="30" t="str">
        <f>IF(OR($G188="",$I188=""),"",IF(OR($T188&gt;=Setup!$B$8,$U188&gt;=Setup!$B$8),1,""))</f>
        <v/>
      </c>
      <c r="Y188" s="30" t="str">
        <f t="shared" si="26"/>
        <v/>
      </c>
      <c r="Z188" s="33" t="str">
        <f>IF($X188=1,IF($T188&gt;$U188,Setup!$B$9,Setup!$B$10),"")</f>
        <v/>
      </c>
      <c r="AA188" s="33" t="str">
        <f>IF($X188=1,IF($U188&gt;$T188,Setup!$B$9,Setup!$B$10),"")</f>
        <v/>
      </c>
      <c r="AB188" s="30" t="str">
        <f t="shared" si="27"/>
        <v/>
      </c>
      <c r="AC188" s="30" t="str">
        <f t="shared" si="28"/>
        <v/>
      </c>
      <c r="AD188" s="30" t="str">
        <f t="shared" si="29"/>
        <v/>
      </c>
    </row>
    <row r="189" spans="1:30">
      <c r="A189" s="29">
        <v>188</v>
      </c>
      <c r="B189" s="29" t="str">
        <f>IF(INT(($A189-1)/28)+1&lt;=Setup!$B$5,INT(($A189-1)/28)+1,"")</f>
        <v/>
      </c>
      <c r="C189" s="29" t="str">
        <f t="shared" si="20"/>
        <v/>
      </c>
      <c r="D189" s="29">
        <f t="shared" si="21"/>
        <v>20</v>
      </c>
      <c r="E189" s="29" t="str">
        <f>IF($B189="","",IFERROR(INDEX('Fixture Library'!$C$2:$C$200,MATCH(Setup!$B$6*100+$D189,'Fixture Library'!$F$2:$F$200,0)),""))</f>
        <v/>
      </c>
      <c r="F189" s="30" t="str">
        <f>IF($B189="","",IFERROR(INDEX('Fixture Library'!$D$2:$D$200,MATCH(Setup!$B$6*100+$D189,'Fixture Library'!$F$2:$F$200,0)),""))</f>
        <v/>
      </c>
      <c r="G189" s="30" t="str">
        <f>IF($F189="","",INDEX(Teams!$E$2:$E$65,($B189-1)*8+$F189))</f>
        <v/>
      </c>
      <c r="H189" s="30" t="str">
        <f>IF($B189="","",IFERROR(INDEX('Fixture Library'!$E$2:$E$200,MATCH(Setup!$B$6*100+$D189,'Fixture Library'!$F$2:$F$200,0)),""))</f>
        <v/>
      </c>
      <c r="I189" s="30" t="str">
        <f>IF($H189="","",INDEX(Teams!$E$2:$E$65,($B189-1)*8+$H189))</f>
        <v/>
      </c>
      <c r="J189" s="34" t="str">
        <f>IF($G189="","",IFERROR(INDEX('Match Entry'!$F$5:$F$228,5+($B189-1)*Setup!$B$13+$D189-1-4),""))</f>
        <v/>
      </c>
      <c r="K189" s="35" t="str">
        <f>IF($G189="","",IFERROR(INDEX('Match Entry'!$G$5:$G$228,5+($B189-1)*Setup!$B$13+$D189-1-4),""))</f>
        <v/>
      </c>
      <c r="L189" s="34" t="str">
        <f>IF($G189="","",IFERROR(INDEX('Match Entry'!$H$5:$H$228,5+($B189-1)*Setup!$B$13+$D189-1-4),""))</f>
        <v/>
      </c>
      <c r="M189" s="35" t="str">
        <f>IF($G189="","",IFERROR(INDEX('Match Entry'!$I$5:$I$228,5+($B189-1)*Setup!$B$13+$D189-1-4),""))</f>
        <v/>
      </c>
      <c r="N189" s="34" t="str">
        <f>IF($G189="","",IFERROR(INDEX('Match Entry'!$J$5:$J$228,5+($B189-1)*Setup!$B$13+$D189-1-4),""))</f>
        <v/>
      </c>
      <c r="O189" s="35" t="str">
        <f>IF($G189="","",IFERROR(INDEX('Match Entry'!$K$5:$K$228,5+($B189-1)*Setup!$B$13+$D189-1-4),""))</f>
        <v/>
      </c>
      <c r="P189" s="34" t="str">
        <f>IF($G189="","",IFERROR(INDEX('Match Entry'!$L$5:$L$228,5+($B189-1)*Setup!$B$13+$D189-1-4),""))</f>
        <v/>
      </c>
      <c r="Q189" s="35" t="str">
        <f>IF($G189="","",IFERROR(INDEX('Match Entry'!$M$5:$M$228,5+($B189-1)*Setup!$B$13+$D189-1-4),""))</f>
        <v/>
      </c>
      <c r="R189" s="34" t="str">
        <f>IF($G189="","",IFERROR(INDEX('Match Entry'!$N$5:$N$228,5+($B189-1)*Setup!$B$13+$D189-1-4),""))</f>
        <v/>
      </c>
      <c r="S189" s="35" t="str">
        <f>IF($G189="","",IFERROR(INDEX('Match Entry'!$O$5:$O$228,5+($B189-1)*Setup!$B$13+$D189-1-4),""))</f>
        <v/>
      </c>
      <c r="T189" s="33" t="str">
        <f t="shared" si="22"/>
        <v/>
      </c>
      <c r="U189" s="33" t="str">
        <f t="shared" si="23"/>
        <v/>
      </c>
      <c r="V189" s="33" t="str">
        <f t="shared" si="24"/>
        <v/>
      </c>
      <c r="W189" s="33" t="str">
        <f t="shared" si="25"/>
        <v/>
      </c>
      <c r="X189" s="30" t="str">
        <f>IF(OR($G189="",$I189=""),"",IF(OR($T189&gt;=Setup!$B$8,$U189&gt;=Setup!$B$8),1,""))</f>
        <v/>
      </c>
      <c r="Y189" s="30" t="str">
        <f t="shared" si="26"/>
        <v/>
      </c>
      <c r="Z189" s="33" t="str">
        <f>IF($X189=1,IF($T189&gt;$U189,Setup!$B$9,Setup!$B$10),"")</f>
        <v/>
      </c>
      <c r="AA189" s="33" t="str">
        <f>IF($X189=1,IF($U189&gt;$T189,Setup!$B$9,Setup!$B$10),"")</f>
        <v/>
      </c>
      <c r="AB189" s="30" t="str">
        <f t="shared" si="27"/>
        <v/>
      </c>
      <c r="AC189" s="30" t="str">
        <f t="shared" si="28"/>
        <v/>
      </c>
      <c r="AD189" s="30" t="str">
        <f t="shared" si="29"/>
        <v/>
      </c>
    </row>
    <row r="190" spans="1:30">
      <c r="A190" s="29">
        <v>189</v>
      </c>
      <c r="B190" s="29" t="str">
        <f>IF(INT(($A190-1)/28)+1&lt;=Setup!$B$5,INT(($A190-1)/28)+1,"")</f>
        <v/>
      </c>
      <c r="C190" s="29" t="str">
        <f t="shared" si="20"/>
        <v/>
      </c>
      <c r="D190" s="29">
        <f t="shared" si="21"/>
        <v>21</v>
      </c>
      <c r="E190" s="29" t="str">
        <f>IF($B190="","",IFERROR(INDEX('Fixture Library'!$C$2:$C$200,MATCH(Setup!$B$6*100+$D190,'Fixture Library'!$F$2:$F$200,0)),""))</f>
        <v/>
      </c>
      <c r="F190" s="30" t="str">
        <f>IF($B190="","",IFERROR(INDEX('Fixture Library'!$D$2:$D$200,MATCH(Setup!$B$6*100+$D190,'Fixture Library'!$F$2:$F$200,0)),""))</f>
        <v/>
      </c>
      <c r="G190" s="30" t="str">
        <f>IF($F190="","",INDEX(Teams!$E$2:$E$65,($B190-1)*8+$F190))</f>
        <v/>
      </c>
      <c r="H190" s="30" t="str">
        <f>IF($B190="","",IFERROR(INDEX('Fixture Library'!$E$2:$E$200,MATCH(Setup!$B$6*100+$D190,'Fixture Library'!$F$2:$F$200,0)),""))</f>
        <v/>
      </c>
      <c r="I190" s="30" t="str">
        <f>IF($H190="","",INDEX(Teams!$E$2:$E$65,($B190-1)*8+$H190))</f>
        <v/>
      </c>
      <c r="J190" s="34" t="str">
        <f>IF($G190="","",IFERROR(INDEX('Match Entry'!$F$5:$F$228,5+($B190-1)*Setup!$B$13+$D190-1-4),""))</f>
        <v/>
      </c>
      <c r="K190" s="35" t="str">
        <f>IF($G190="","",IFERROR(INDEX('Match Entry'!$G$5:$G$228,5+($B190-1)*Setup!$B$13+$D190-1-4),""))</f>
        <v/>
      </c>
      <c r="L190" s="34" t="str">
        <f>IF($G190="","",IFERROR(INDEX('Match Entry'!$H$5:$H$228,5+($B190-1)*Setup!$B$13+$D190-1-4),""))</f>
        <v/>
      </c>
      <c r="M190" s="35" t="str">
        <f>IF($G190="","",IFERROR(INDEX('Match Entry'!$I$5:$I$228,5+($B190-1)*Setup!$B$13+$D190-1-4),""))</f>
        <v/>
      </c>
      <c r="N190" s="34" t="str">
        <f>IF($G190="","",IFERROR(INDEX('Match Entry'!$J$5:$J$228,5+($B190-1)*Setup!$B$13+$D190-1-4),""))</f>
        <v/>
      </c>
      <c r="O190" s="35" t="str">
        <f>IF($G190="","",IFERROR(INDEX('Match Entry'!$K$5:$K$228,5+($B190-1)*Setup!$B$13+$D190-1-4),""))</f>
        <v/>
      </c>
      <c r="P190" s="34" t="str">
        <f>IF($G190="","",IFERROR(INDEX('Match Entry'!$L$5:$L$228,5+($B190-1)*Setup!$B$13+$D190-1-4),""))</f>
        <v/>
      </c>
      <c r="Q190" s="35" t="str">
        <f>IF($G190="","",IFERROR(INDEX('Match Entry'!$M$5:$M$228,5+($B190-1)*Setup!$B$13+$D190-1-4),""))</f>
        <v/>
      </c>
      <c r="R190" s="34" t="str">
        <f>IF($G190="","",IFERROR(INDEX('Match Entry'!$N$5:$N$228,5+($B190-1)*Setup!$B$13+$D190-1-4),""))</f>
        <v/>
      </c>
      <c r="S190" s="35" t="str">
        <f>IF($G190="","",IFERROR(INDEX('Match Entry'!$O$5:$O$228,5+($B190-1)*Setup!$B$13+$D190-1-4),""))</f>
        <v/>
      </c>
      <c r="T190" s="33" t="str">
        <f t="shared" si="22"/>
        <v/>
      </c>
      <c r="U190" s="33" t="str">
        <f t="shared" si="23"/>
        <v/>
      </c>
      <c r="V190" s="33" t="str">
        <f t="shared" si="24"/>
        <v/>
      </c>
      <c r="W190" s="33" t="str">
        <f t="shared" si="25"/>
        <v/>
      </c>
      <c r="X190" s="30" t="str">
        <f>IF(OR($G190="",$I190=""),"",IF(OR($T190&gt;=Setup!$B$8,$U190&gt;=Setup!$B$8),1,""))</f>
        <v/>
      </c>
      <c r="Y190" s="30" t="str">
        <f t="shared" si="26"/>
        <v/>
      </c>
      <c r="Z190" s="33" t="str">
        <f>IF($X190=1,IF($T190&gt;$U190,Setup!$B$9,Setup!$B$10),"")</f>
        <v/>
      </c>
      <c r="AA190" s="33" t="str">
        <f>IF($X190=1,IF($U190&gt;$T190,Setup!$B$9,Setup!$B$10),"")</f>
        <v/>
      </c>
      <c r="AB190" s="30" t="str">
        <f t="shared" si="27"/>
        <v/>
      </c>
      <c r="AC190" s="30" t="str">
        <f t="shared" si="28"/>
        <v/>
      </c>
      <c r="AD190" s="30" t="str">
        <f t="shared" si="29"/>
        <v/>
      </c>
    </row>
    <row r="191" spans="1:30">
      <c r="A191" s="29">
        <v>190</v>
      </c>
      <c r="B191" s="29" t="str">
        <f>IF(INT(($A191-1)/28)+1&lt;=Setup!$B$5,INT(($A191-1)/28)+1,"")</f>
        <v/>
      </c>
      <c r="C191" s="29" t="str">
        <f t="shared" si="20"/>
        <v/>
      </c>
      <c r="D191" s="29">
        <f t="shared" si="21"/>
        <v>22</v>
      </c>
      <c r="E191" s="29" t="str">
        <f>IF($B191="","",IFERROR(INDEX('Fixture Library'!$C$2:$C$200,MATCH(Setup!$B$6*100+$D191,'Fixture Library'!$F$2:$F$200,0)),""))</f>
        <v/>
      </c>
      <c r="F191" s="30" t="str">
        <f>IF($B191="","",IFERROR(INDEX('Fixture Library'!$D$2:$D$200,MATCH(Setup!$B$6*100+$D191,'Fixture Library'!$F$2:$F$200,0)),""))</f>
        <v/>
      </c>
      <c r="G191" s="30" t="str">
        <f>IF($F191="","",INDEX(Teams!$E$2:$E$65,($B191-1)*8+$F191))</f>
        <v/>
      </c>
      <c r="H191" s="30" t="str">
        <f>IF($B191="","",IFERROR(INDEX('Fixture Library'!$E$2:$E$200,MATCH(Setup!$B$6*100+$D191,'Fixture Library'!$F$2:$F$200,0)),""))</f>
        <v/>
      </c>
      <c r="I191" s="30" t="str">
        <f>IF($H191="","",INDEX(Teams!$E$2:$E$65,($B191-1)*8+$H191))</f>
        <v/>
      </c>
      <c r="J191" s="34" t="str">
        <f>IF($G191="","",IFERROR(INDEX('Match Entry'!$F$5:$F$228,5+($B191-1)*Setup!$B$13+$D191-1-4),""))</f>
        <v/>
      </c>
      <c r="K191" s="35" t="str">
        <f>IF($G191="","",IFERROR(INDEX('Match Entry'!$G$5:$G$228,5+($B191-1)*Setup!$B$13+$D191-1-4),""))</f>
        <v/>
      </c>
      <c r="L191" s="34" t="str">
        <f>IF($G191="","",IFERROR(INDEX('Match Entry'!$H$5:$H$228,5+($B191-1)*Setup!$B$13+$D191-1-4),""))</f>
        <v/>
      </c>
      <c r="M191" s="35" t="str">
        <f>IF($G191="","",IFERROR(INDEX('Match Entry'!$I$5:$I$228,5+($B191-1)*Setup!$B$13+$D191-1-4),""))</f>
        <v/>
      </c>
      <c r="N191" s="34" t="str">
        <f>IF($G191="","",IFERROR(INDEX('Match Entry'!$J$5:$J$228,5+($B191-1)*Setup!$B$13+$D191-1-4),""))</f>
        <v/>
      </c>
      <c r="O191" s="35" t="str">
        <f>IF($G191="","",IFERROR(INDEX('Match Entry'!$K$5:$K$228,5+($B191-1)*Setup!$B$13+$D191-1-4),""))</f>
        <v/>
      </c>
      <c r="P191" s="34" t="str">
        <f>IF($G191="","",IFERROR(INDEX('Match Entry'!$L$5:$L$228,5+($B191-1)*Setup!$B$13+$D191-1-4),""))</f>
        <v/>
      </c>
      <c r="Q191" s="35" t="str">
        <f>IF($G191="","",IFERROR(INDEX('Match Entry'!$M$5:$M$228,5+($B191-1)*Setup!$B$13+$D191-1-4),""))</f>
        <v/>
      </c>
      <c r="R191" s="34" t="str">
        <f>IF($G191="","",IFERROR(INDEX('Match Entry'!$N$5:$N$228,5+($B191-1)*Setup!$B$13+$D191-1-4),""))</f>
        <v/>
      </c>
      <c r="S191" s="35" t="str">
        <f>IF($G191="","",IFERROR(INDEX('Match Entry'!$O$5:$O$228,5+($B191-1)*Setup!$B$13+$D191-1-4),""))</f>
        <v/>
      </c>
      <c r="T191" s="33" t="str">
        <f t="shared" si="22"/>
        <v/>
      </c>
      <c r="U191" s="33" t="str">
        <f t="shared" si="23"/>
        <v/>
      </c>
      <c r="V191" s="33" t="str">
        <f t="shared" si="24"/>
        <v/>
      </c>
      <c r="W191" s="33" t="str">
        <f t="shared" si="25"/>
        <v/>
      </c>
      <c r="X191" s="30" t="str">
        <f>IF(OR($G191="",$I191=""),"",IF(OR($T191&gt;=Setup!$B$8,$U191&gt;=Setup!$B$8),1,""))</f>
        <v/>
      </c>
      <c r="Y191" s="30" t="str">
        <f t="shared" si="26"/>
        <v/>
      </c>
      <c r="Z191" s="33" t="str">
        <f>IF($X191=1,IF($T191&gt;$U191,Setup!$B$9,Setup!$B$10),"")</f>
        <v/>
      </c>
      <c r="AA191" s="33" t="str">
        <f>IF($X191=1,IF($U191&gt;$T191,Setup!$B$9,Setup!$B$10),"")</f>
        <v/>
      </c>
      <c r="AB191" s="30" t="str">
        <f t="shared" si="27"/>
        <v/>
      </c>
      <c r="AC191" s="30" t="str">
        <f t="shared" si="28"/>
        <v/>
      </c>
      <c r="AD191" s="30" t="str">
        <f t="shared" si="29"/>
        <v/>
      </c>
    </row>
    <row r="192" spans="1:30">
      <c r="A192" s="29">
        <v>191</v>
      </c>
      <c r="B192" s="29" t="str">
        <f>IF(INT(($A192-1)/28)+1&lt;=Setup!$B$5,INT(($A192-1)/28)+1,"")</f>
        <v/>
      </c>
      <c r="C192" s="29" t="str">
        <f t="shared" si="20"/>
        <v/>
      </c>
      <c r="D192" s="29">
        <f t="shared" si="21"/>
        <v>23</v>
      </c>
      <c r="E192" s="29" t="str">
        <f>IF($B192="","",IFERROR(INDEX('Fixture Library'!$C$2:$C$200,MATCH(Setup!$B$6*100+$D192,'Fixture Library'!$F$2:$F$200,0)),""))</f>
        <v/>
      </c>
      <c r="F192" s="30" t="str">
        <f>IF($B192="","",IFERROR(INDEX('Fixture Library'!$D$2:$D$200,MATCH(Setup!$B$6*100+$D192,'Fixture Library'!$F$2:$F$200,0)),""))</f>
        <v/>
      </c>
      <c r="G192" s="30" t="str">
        <f>IF($F192="","",INDEX(Teams!$E$2:$E$65,($B192-1)*8+$F192))</f>
        <v/>
      </c>
      <c r="H192" s="30" t="str">
        <f>IF($B192="","",IFERROR(INDEX('Fixture Library'!$E$2:$E$200,MATCH(Setup!$B$6*100+$D192,'Fixture Library'!$F$2:$F$200,0)),""))</f>
        <v/>
      </c>
      <c r="I192" s="30" t="str">
        <f>IF($H192="","",INDEX(Teams!$E$2:$E$65,($B192-1)*8+$H192))</f>
        <v/>
      </c>
      <c r="J192" s="34" t="str">
        <f>IF($G192="","",IFERROR(INDEX('Match Entry'!$F$5:$F$228,5+($B192-1)*Setup!$B$13+$D192-1-4),""))</f>
        <v/>
      </c>
      <c r="K192" s="35" t="str">
        <f>IF($G192="","",IFERROR(INDEX('Match Entry'!$G$5:$G$228,5+($B192-1)*Setup!$B$13+$D192-1-4),""))</f>
        <v/>
      </c>
      <c r="L192" s="34" t="str">
        <f>IF($G192="","",IFERROR(INDEX('Match Entry'!$H$5:$H$228,5+($B192-1)*Setup!$B$13+$D192-1-4),""))</f>
        <v/>
      </c>
      <c r="M192" s="35" t="str">
        <f>IF($G192="","",IFERROR(INDEX('Match Entry'!$I$5:$I$228,5+($B192-1)*Setup!$B$13+$D192-1-4),""))</f>
        <v/>
      </c>
      <c r="N192" s="34" t="str">
        <f>IF($G192="","",IFERROR(INDEX('Match Entry'!$J$5:$J$228,5+($B192-1)*Setup!$B$13+$D192-1-4),""))</f>
        <v/>
      </c>
      <c r="O192" s="35" t="str">
        <f>IF($G192="","",IFERROR(INDEX('Match Entry'!$K$5:$K$228,5+($B192-1)*Setup!$B$13+$D192-1-4),""))</f>
        <v/>
      </c>
      <c r="P192" s="34" t="str">
        <f>IF($G192="","",IFERROR(INDEX('Match Entry'!$L$5:$L$228,5+($B192-1)*Setup!$B$13+$D192-1-4),""))</f>
        <v/>
      </c>
      <c r="Q192" s="35" t="str">
        <f>IF($G192="","",IFERROR(INDEX('Match Entry'!$M$5:$M$228,5+($B192-1)*Setup!$B$13+$D192-1-4),""))</f>
        <v/>
      </c>
      <c r="R192" s="34" t="str">
        <f>IF($G192="","",IFERROR(INDEX('Match Entry'!$N$5:$N$228,5+($B192-1)*Setup!$B$13+$D192-1-4),""))</f>
        <v/>
      </c>
      <c r="S192" s="35" t="str">
        <f>IF($G192="","",IFERROR(INDEX('Match Entry'!$O$5:$O$228,5+($B192-1)*Setup!$B$13+$D192-1-4),""))</f>
        <v/>
      </c>
      <c r="T192" s="33" t="str">
        <f t="shared" si="22"/>
        <v/>
      </c>
      <c r="U192" s="33" t="str">
        <f t="shared" si="23"/>
        <v/>
      </c>
      <c r="V192" s="33" t="str">
        <f t="shared" si="24"/>
        <v/>
      </c>
      <c r="W192" s="33" t="str">
        <f t="shared" si="25"/>
        <v/>
      </c>
      <c r="X192" s="30" t="str">
        <f>IF(OR($G192="",$I192=""),"",IF(OR($T192&gt;=Setup!$B$8,$U192&gt;=Setup!$B$8),1,""))</f>
        <v/>
      </c>
      <c r="Y192" s="30" t="str">
        <f t="shared" si="26"/>
        <v/>
      </c>
      <c r="Z192" s="33" t="str">
        <f>IF($X192=1,IF($T192&gt;$U192,Setup!$B$9,Setup!$B$10),"")</f>
        <v/>
      </c>
      <c r="AA192" s="33" t="str">
        <f>IF($X192=1,IF($U192&gt;$T192,Setup!$B$9,Setup!$B$10),"")</f>
        <v/>
      </c>
      <c r="AB192" s="30" t="str">
        <f t="shared" si="27"/>
        <v/>
      </c>
      <c r="AC192" s="30" t="str">
        <f t="shared" si="28"/>
        <v/>
      </c>
      <c r="AD192" s="30" t="str">
        <f t="shared" si="29"/>
        <v/>
      </c>
    </row>
    <row r="193" spans="1:30">
      <c r="A193" s="29">
        <v>192</v>
      </c>
      <c r="B193" s="29" t="str">
        <f>IF(INT(($A193-1)/28)+1&lt;=Setup!$B$5,INT(($A193-1)/28)+1,"")</f>
        <v/>
      </c>
      <c r="C193" s="29" t="str">
        <f t="shared" si="20"/>
        <v/>
      </c>
      <c r="D193" s="29">
        <f t="shared" si="21"/>
        <v>24</v>
      </c>
      <c r="E193" s="29" t="str">
        <f>IF($B193="","",IFERROR(INDEX('Fixture Library'!$C$2:$C$200,MATCH(Setup!$B$6*100+$D193,'Fixture Library'!$F$2:$F$200,0)),""))</f>
        <v/>
      </c>
      <c r="F193" s="30" t="str">
        <f>IF($B193="","",IFERROR(INDEX('Fixture Library'!$D$2:$D$200,MATCH(Setup!$B$6*100+$D193,'Fixture Library'!$F$2:$F$200,0)),""))</f>
        <v/>
      </c>
      <c r="G193" s="30" t="str">
        <f>IF($F193="","",INDEX(Teams!$E$2:$E$65,($B193-1)*8+$F193))</f>
        <v/>
      </c>
      <c r="H193" s="30" t="str">
        <f>IF($B193="","",IFERROR(INDEX('Fixture Library'!$E$2:$E$200,MATCH(Setup!$B$6*100+$D193,'Fixture Library'!$F$2:$F$200,0)),""))</f>
        <v/>
      </c>
      <c r="I193" s="30" t="str">
        <f>IF($H193="","",INDEX(Teams!$E$2:$E$65,($B193-1)*8+$H193))</f>
        <v/>
      </c>
      <c r="J193" s="34" t="str">
        <f>IF($G193="","",IFERROR(INDEX('Match Entry'!$F$5:$F$228,5+($B193-1)*Setup!$B$13+$D193-1-4),""))</f>
        <v/>
      </c>
      <c r="K193" s="35" t="str">
        <f>IF($G193="","",IFERROR(INDEX('Match Entry'!$G$5:$G$228,5+($B193-1)*Setup!$B$13+$D193-1-4),""))</f>
        <v/>
      </c>
      <c r="L193" s="34" t="str">
        <f>IF($G193="","",IFERROR(INDEX('Match Entry'!$H$5:$H$228,5+($B193-1)*Setup!$B$13+$D193-1-4),""))</f>
        <v/>
      </c>
      <c r="M193" s="35" t="str">
        <f>IF($G193="","",IFERROR(INDEX('Match Entry'!$I$5:$I$228,5+($B193-1)*Setup!$B$13+$D193-1-4),""))</f>
        <v/>
      </c>
      <c r="N193" s="34" t="str">
        <f>IF($G193="","",IFERROR(INDEX('Match Entry'!$J$5:$J$228,5+($B193-1)*Setup!$B$13+$D193-1-4),""))</f>
        <v/>
      </c>
      <c r="O193" s="35" t="str">
        <f>IF($G193="","",IFERROR(INDEX('Match Entry'!$K$5:$K$228,5+($B193-1)*Setup!$B$13+$D193-1-4),""))</f>
        <v/>
      </c>
      <c r="P193" s="34" t="str">
        <f>IF($G193="","",IFERROR(INDEX('Match Entry'!$L$5:$L$228,5+($B193-1)*Setup!$B$13+$D193-1-4),""))</f>
        <v/>
      </c>
      <c r="Q193" s="35" t="str">
        <f>IF($G193="","",IFERROR(INDEX('Match Entry'!$M$5:$M$228,5+($B193-1)*Setup!$B$13+$D193-1-4),""))</f>
        <v/>
      </c>
      <c r="R193" s="34" t="str">
        <f>IF($G193="","",IFERROR(INDEX('Match Entry'!$N$5:$N$228,5+($B193-1)*Setup!$B$13+$D193-1-4),""))</f>
        <v/>
      </c>
      <c r="S193" s="35" t="str">
        <f>IF($G193="","",IFERROR(INDEX('Match Entry'!$O$5:$O$228,5+($B193-1)*Setup!$B$13+$D193-1-4),""))</f>
        <v/>
      </c>
      <c r="T193" s="33" t="str">
        <f t="shared" si="22"/>
        <v/>
      </c>
      <c r="U193" s="33" t="str">
        <f t="shared" si="23"/>
        <v/>
      </c>
      <c r="V193" s="33" t="str">
        <f t="shared" si="24"/>
        <v/>
      </c>
      <c r="W193" s="33" t="str">
        <f t="shared" si="25"/>
        <v/>
      </c>
      <c r="X193" s="30" t="str">
        <f>IF(OR($G193="",$I193=""),"",IF(OR($T193&gt;=Setup!$B$8,$U193&gt;=Setup!$B$8),1,""))</f>
        <v/>
      </c>
      <c r="Y193" s="30" t="str">
        <f t="shared" si="26"/>
        <v/>
      </c>
      <c r="Z193" s="33" t="str">
        <f>IF($X193=1,IF($T193&gt;$U193,Setup!$B$9,Setup!$B$10),"")</f>
        <v/>
      </c>
      <c r="AA193" s="33" t="str">
        <f>IF($X193=1,IF($U193&gt;$T193,Setup!$B$9,Setup!$B$10),"")</f>
        <v/>
      </c>
      <c r="AB193" s="30" t="str">
        <f t="shared" si="27"/>
        <v/>
      </c>
      <c r="AC193" s="30" t="str">
        <f t="shared" si="28"/>
        <v/>
      </c>
      <c r="AD193" s="30" t="str">
        <f t="shared" si="29"/>
        <v/>
      </c>
    </row>
    <row r="194" spans="1:30">
      <c r="A194" s="29">
        <v>193</v>
      </c>
      <c r="B194" s="29" t="str">
        <f>IF(INT(($A194-1)/28)+1&lt;=Setup!$B$5,INT(($A194-1)/28)+1,"")</f>
        <v/>
      </c>
      <c r="C194" s="29" t="str">
        <f t="shared" ref="C194:C225" si="30">IF($B194="","",CHAR(64+$B194))</f>
        <v/>
      </c>
      <c r="D194" s="29">
        <f t="shared" ref="D194:D225" si="31">MOD($A194-1,28)+1</f>
        <v>25</v>
      </c>
      <c r="E194" s="29" t="str">
        <f>IF($B194="","",IFERROR(INDEX('Fixture Library'!$C$2:$C$200,MATCH(Setup!$B$6*100+$D194,'Fixture Library'!$F$2:$F$200,0)),""))</f>
        <v/>
      </c>
      <c r="F194" s="30" t="str">
        <f>IF($B194="","",IFERROR(INDEX('Fixture Library'!$D$2:$D$200,MATCH(Setup!$B$6*100+$D194,'Fixture Library'!$F$2:$F$200,0)),""))</f>
        <v/>
      </c>
      <c r="G194" s="30" t="str">
        <f>IF($F194="","",INDEX(Teams!$E$2:$E$65,($B194-1)*8+$F194))</f>
        <v/>
      </c>
      <c r="H194" s="30" t="str">
        <f>IF($B194="","",IFERROR(INDEX('Fixture Library'!$E$2:$E$200,MATCH(Setup!$B$6*100+$D194,'Fixture Library'!$F$2:$F$200,0)),""))</f>
        <v/>
      </c>
      <c r="I194" s="30" t="str">
        <f>IF($H194="","",INDEX(Teams!$E$2:$E$65,($B194-1)*8+$H194))</f>
        <v/>
      </c>
      <c r="J194" s="34" t="str">
        <f>IF($G194="","",IFERROR(INDEX('Match Entry'!$F$5:$F$228,5+($B194-1)*Setup!$B$13+$D194-1-4),""))</f>
        <v/>
      </c>
      <c r="K194" s="35" t="str">
        <f>IF($G194="","",IFERROR(INDEX('Match Entry'!$G$5:$G$228,5+($B194-1)*Setup!$B$13+$D194-1-4),""))</f>
        <v/>
      </c>
      <c r="L194" s="34" t="str">
        <f>IF($G194="","",IFERROR(INDEX('Match Entry'!$H$5:$H$228,5+($B194-1)*Setup!$B$13+$D194-1-4),""))</f>
        <v/>
      </c>
      <c r="M194" s="35" t="str">
        <f>IF($G194="","",IFERROR(INDEX('Match Entry'!$I$5:$I$228,5+($B194-1)*Setup!$B$13+$D194-1-4),""))</f>
        <v/>
      </c>
      <c r="N194" s="34" t="str">
        <f>IF($G194="","",IFERROR(INDEX('Match Entry'!$J$5:$J$228,5+($B194-1)*Setup!$B$13+$D194-1-4),""))</f>
        <v/>
      </c>
      <c r="O194" s="35" t="str">
        <f>IF($G194="","",IFERROR(INDEX('Match Entry'!$K$5:$K$228,5+($B194-1)*Setup!$B$13+$D194-1-4),""))</f>
        <v/>
      </c>
      <c r="P194" s="34" t="str">
        <f>IF($G194="","",IFERROR(INDEX('Match Entry'!$L$5:$L$228,5+($B194-1)*Setup!$B$13+$D194-1-4),""))</f>
        <v/>
      </c>
      <c r="Q194" s="35" t="str">
        <f>IF($G194="","",IFERROR(INDEX('Match Entry'!$M$5:$M$228,5+($B194-1)*Setup!$B$13+$D194-1-4),""))</f>
        <v/>
      </c>
      <c r="R194" s="34" t="str">
        <f>IF($G194="","",IFERROR(INDEX('Match Entry'!$N$5:$N$228,5+($B194-1)*Setup!$B$13+$D194-1-4),""))</f>
        <v/>
      </c>
      <c r="S194" s="35" t="str">
        <f>IF($G194="","",IFERROR(INDEX('Match Entry'!$O$5:$O$228,5+($B194-1)*Setup!$B$13+$D194-1-4),""))</f>
        <v/>
      </c>
      <c r="T194" s="33" t="str">
        <f t="shared" ref="T194:T225" si="32">IF(OR($G194="",$I194=""),"",IF(AND(ISNUMBER($J194),ISNUMBER($K194),$J194&gt;$K194),1,0)+IF(AND(ISNUMBER($L194),ISNUMBER($M194),$L194&gt;$M194),1,0)+IF(AND(ISNUMBER($N194),ISNUMBER($O194),$N194&gt;$O194),1,0)+IF(AND(ISNUMBER($P194),ISNUMBER($Q194),$P194&gt;$Q194),1,0)+IF(AND(ISNUMBER($R194),ISNUMBER($S194),$R194&gt;$S194),1,0))</f>
        <v/>
      </c>
      <c r="U194" s="33" t="str">
        <f t="shared" ref="U194:U225" si="33">IF(OR($G194="",$I194=""),"",IF(AND(ISNUMBER($J194),ISNUMBER($K194),$K194&gt;$J194),1,0)+IF(AND(ISNUMBER($L194),ISNUMBER($M194),$M194&gt;$L194),1,0)+IF(AND(ISNUMBER($N194),ISNUMBER($O194),$O194&gt;$N194),1,0)+IF(AND(ISNUMBER($P194),ISNUMBER($Q194),$Q194&gt;$P194),1,0)+IF(AND(ISNUMBER($R194),ISNUMBER($S194),$S194&gt;$R194),1,0))</f>
        <v/>
      </c>
      <c r="V194" s="33" t="str">
        <f t="shared" ref="V194:V225" si="34">IF(OR($G194="",$I194=""),"",SUM($J194,$L194,$N194,$P194,$R194))</f>
        <v/>
      </c>
      <c r="W194" s="33" t="str">
        <f t="shared" ref="W194:W225" si="35">IF(OR($G194="",$I194=""),"",SUM($K194,$M194,$O194,$Q194,$S194))</f>
        <v/>
      </c>
      <c r="X194" s="30" t="str">
        <f>IF(OR($G194="",$I194=""),"",IF(OR($T194&gt;=Setup!$B$8,$U194&gt;=Setup!$B$8),1,""))</f>
        <v/>
      </c>
      <c r="Y194" s="30" t="str">
        <f t="shared" ref="Y194:Y225" si="36">IF($X194=1,IF($T194&gt;$U194,$G194,$I194),"")</f>
        <v/>
      </c>
      <c r="Z194" s="33" t="str">
        <f>IF($X194=1,IF($T194&gt;$U194,Setup!$B$9,Setup!$B$10),"")</f>
        <v/>
      </c>
      <c r="AA194" s="33" t="str">
        <f>IF($X194=1,IF($U194&gt;$T194,Setup!$B$9,Setup!$B$10),"")</f>
        <v/>
      </c>
      <c r="AB194" s="30" t="str">
        <f t="shared" ref="AB194:AB225" si="37">IF($G194="","",$B194*100+$F194)</f>
        <v/>
      </c>
      <c r="AC194" s="30" t="str">
        <f t="shared" ref="AC194:AC225" si="38">IF($I194="","",$B194*100+$H194)</f>
        <v/>
      </c>
      <c r="AD194" s="30" t="str">
        <f t="shared" ref="AD194:AD225" si="39">IF($X194=1,IF($T194&gt;$U194,$AB194,$AC194),"")</f>
        <v/>
      </c>
    </row>
    <row r="195" spans="1:30">
      <c r="A195" s="29">
        <v>194</v>
      </c>
      <c r="B195" s="29" t="str">
        <f>IF(INT(($A195-1)/28)+1&lt;=Setup!$B$5,INT(($A195-1)/28)+1,"")</f>
        <v/>
      </c>
      <c r="C195" s="29" t="str">
        <f t="shared" si="30"/>
        <v/>
      </c>
      <c r="D195" s="29">
        <f t="shared" si="31"/>
        <v>26</v>
      </c>
      <c r="E195" s="29" t="str">
        <f>IF($B195="","",IFERROR(INDEX('Fixture Library'!$C$2:$C$200,MATCH(Setup!$B$6*100+$D195,'Fixture Library'!$F$2:$F$200,0)),""))</f>
        <v/>
      </c>
      <c r="F195" s="30" t="str">
        <f>IF($B195="","",IFERROR(INDEX('Fixture Library'!$D$2:$D$200,MATCH(Setup!$B$6*100+$D195,'Fixture Library'!$F$2:$F$200,0)),""))</f>
        <v/>
      </c>
      <c r="G195" s="30" t="str">
        <f>IF($F195="","",INDEX(Teams!$E$2:$E$65,($B195-1)*8+$F195))</f>
        <v/>
      </c>
      <c r="H195" s="30" t="str">
        <f>IF($B195="","",IFERROR(INDEX('Fixture Library'!$E$2:$E$200,MATCH(Setup!$B$6*100+$D195,'Fixture Library'!$F$2:$F$200,0)),""))</f>
        <v/>
      </c>
      <c r="I195" s="30" t="str">
        <f>IF($H195="","",INDEX(Teams!$E$2:$E$65,($B195-1)*8+$H195))</f>
        <v/>
      </c>
      <c r="J195" s="34" t="str">
        <f>IF($G195="","",IFERROR(INDEX('Match Entry'!$F$5:$F$228,5+($B195-1)*Setup!$B$13+$D195-1-4),""))</f>
        <v/>
      </c>
      <c r="K195" s="35" t="str">
        <f>IF($G195="","",IFERROR(INDEX('Match Entry'!$G$5:$G$228,5+($B195-1)*Setup!$B$13+$D195-1-4),""))</f>
        <v/>
      </c>
      <c r="L195" s="34" t="str">
        <f>IF($G195="","",IFERROR(INDEX('Match Entry'!$H$5:$H$228,5+($B195-1)*Setup!$B$13+$D195-1-4),""))</f>
        <v/>
      </c>
      <c r="M195" s="35" t="str">
        <f>IF($G195="","",IFERROR(INDEX('Match Entry'!$I$5:$I$228,5+($B195-1)*Setup!$B$13+$D195-1-4),""))</f>
        <v/>
      </c>
      <c r="N195" s="34" t="str">
        <f>IF($G195="","",IFERROR(INDEX('Match Entry'!$J$5:$J$228,5+($B195-1)*Setup!$B$13+$D195-1-4),""))</f>
        <v/>
      </c>
      <c r="O195" s="35" t="str">
        <f>IF($G195="","",IFERROR(INDEX('Match Entry'!$K$5:$K$228,5+($B195-1)*Setup!$B$13+$D195-1-4),""))</f>
        <v/>
      </c>
      <c r="P195" s="34" t="str">
        <f>IF($G195="","",IFERROR(INDEX('Match Entry'!$L$5:$L$228,5+($B195-1)*Setup!$B$13+$D195-1-4),""))</f>
        <v/>
      </c>
      <c r="Q195" s="35" t="str">
        <f>IF($G195="","",IFERROR(INDEX('Match Entry'!$M$5:$M$228,5+($B195-1)*Setup!$B$13+$D195-1-4),""))</f>
        <v/>
      </c>
      <c r="R195" s="34" t="str">
        <f>IF($G195="","",IFERROR(INDEX('Match Entry'!$N$5:$N$228,5+($B195-1)*Setup!$B$13+$D195-1-4),""))</f>
        <v/>
      </c>
      <c r="S195" s="35" t="str">
        <f>IF($G195="","",IFERROR(INDEX('Match Entry'!$O$5:$O$228,5+($B195-1)*Setup!$B$13+$D195-1-4),""))</f>
        <v/>
      </c>
      <c r="T195" s="33" t="str">
        <f t="shared" si="32"/>
        <v/>
      </c>
      <c r="U195" s="33" t="str">
        <f t="shared" si="33"/>
        <v/>
      </c>
      <c r="V195" s="33" t="str">
        <f t="shared" si="34"/>
        <v/>
      </c>
      <c r="W195" s="33" t="str">
        <f t="shared" si="35"/>
        <v/>
      </c>
      <c r="X195" s="30" t="str">
        <f>IF(OR($G195="",$I195=""),"",IF(OR($T195&gt;=Setup!$B$8,$U195&gt;=Setup!$B$8),1,""))</f>
        <v/>
      </c>
      <c r="Y195" s="30" t="str">
        <f t="shared" si="36"/>
        <v/>
      </c>
      <c r="Z195" s="33" t="str">
        <f>IF($X195=1,IF($T195&gt;$U195,Setup!$B$9,Setup!$B$10),"")</f>
        <v/>
      </c>
      <c r="AA195" s="33" t="str">
        <f>IF($X195=1,IF($U195&gt;$T195,Setup!$B$9,Setup!$B$10),"")</f>
        <v/>
      </c>
      <c r="AB195" s="30" t="str">
        <f t="shared" si="37"/>
        <v/>
      </c>
      <c r="AC195" s="30" t="str">
        <f t="shared" si="38"/>
        <v/>
      </c>
      <c r="AD195" s="30" t="str">
        <f t="shared" si="39"/>
        <v/>
      </c>
    </row>
    <row r="196" spans="1:30">
      <c r="A196" s="29">
        <v>195</v>
      </c>
      <c r="B196" s="29" t="str">
        <f>IF(INT(($A196-1)/28)+1&lt;=Setup!$B$5,INT(($A196-1)/28)+1,"")</f>
        <v/>
      </c>
      <c r="C196" s="29" t="str">
        <f t="shared" si="30"/>
        <v/>
      </c>
      <c r="D196" s="29">
        <f t="shared" si="31"/>
        <v>27</v>
      </c>
      <c r="E196" s="29" t="str">
        <f>IF($B196="","",IFERROR(INDEX('Fixture Library'!$C$2:$C$200,MATCH(Setup!$B$6*100+$D196,'Fixture Library'!$F$2:$F$200,0)),""))</f>
        <v/>
      </c>
      <c r="F196" s="30" t="str">
        <f>IF($B196="","",IFERROR(INDEX('Fixture Library'!$D$2:$D$200,MATCH(Setup!$B$6*100+$D196,'Fixture Library'!$F$2:$F$200,0)),""))</f>
        <v/>
      </c>
      <c r="G196" s="30" t="str">
        <f>IF($F196="","",INDEX(Teams!$E$2:$E$65,($B196-1)*8+$F196))</f>
        <v/>
      </c>
      <c r="H196" s="30" t="str">
        <f>IF($B196="","",IFERROR(INDEX('Fixture Library'!$E$2:$E$200,MATCH(Setup!$B$6*100+$D196,'Fixture Library'!$F$2:$F$200,0)),""))</f>
        <v/>
      </c>
      <c r="I196" s="30" t="str">
        <f>IF($H196="","",INDEX(Teams!$E$2:$E$65,($B196-1)*8+$H196))</f>
        <v/>
      </c>
      <c r="J196" s="34" t="str">
        <f>IF($G196="","",IFERROR(INDEX('Match Entry'!$F$5:$F$228,5+($B196-1)*Setup!$B$13+$D196-1-4),""))</f>
        <v/>
      </c>
      <c r="K196" s="35" t="str">
        <f>IF($G196="","",IFERROR(INDEX('Match Entry'!$G$5:$G$228,5+($B196-1)*Setup!$B$13+$D196-1-4),""))</f>
        <v/>
      </c>
      <c r="L196" s="34" t="str">
        <f>IF($G196="","",IFERROR(INDEX('Match Entry'!$H$5:$H$228,5+($B196-1)*Setup!$B$13+$D196-1-4),""))</f>
        <v/>
      </c>
      <c r="M196" s="35" t="str">
        <f>IF($G196="","",IFERROR(INDEX('Match Entry'!$I$5:$I$228,5+($B196-1)*Setup!$B$13+$D196-1-4),""))</f>
        <v/>
      </c>
      <c r="N196" s="34" t="str">
        <f>IF($G196="","",IFERROR(INDEX('Match Entry'!$J$5:$J$228,5+($B196-1)*Setup!$B$13+$D196-1-4),""))</f>
        <v/>
      </c>
      <c r="O196" s="35" t="str">
        <f>IF($G196="","",IFERROR(INDEX('Match Entry'!$K$5:$K$228,5+($B196-1)*Setup!$B$13+$D196-1-4),""))</f>
        <v/>
      </c>
      <c r="P196" s="34" t="str">
        <f>IF($G196="","",IFERROR(INDEX('Match Entry'!$L$5:$L$228,5+($B196-1)*Setup!$B$13+$D196-1-4),""))</f>
        <v/>
      </c>
      <c r="Q196" s="35" t="str">
        <f>IF($G196="","",IFERROR(INDEX('Match Entry'!$M$5:$M$228,5+($B196-1)*Setup!$B$13+$D196-1-4),""))</f>
        <v/>
      </c>
      <c r="R196" s="34" t="str">
        <f>IF($G196="","",IFERROR(INDEX('Match Entry'!$N$5:$N$228,5+($B196-1)*Setup!$B$13+$D196-1-4),""))</f>
        <v/>
      </c>
      <c r="S196" s="35" t="str">
        <f>IF($G196="","",IFERROR(INDEX('Match Entry'!$O$5:$O$228,5+($B196-1)*Setup!$B$13+$D196-1-4),""))</f>
        <v/>
      </c>
      <c r="T196" s="33" t="str">
        <f t="shared" si="32"/>
        <v/>
      </c>
      <c r="U196" s="33" t="str">
        <f t="shared" si="33"/>
        <v/>
      </c>
      <c r="V196" s="33" t="str">
        <f t="shared" si="34"/>
        <v/>
      </c>
      <c r="W196" s="33" t="str">
        <f t="shared" si="35"/>
        <v/>
      </c>
      <c r="X196" s="30" t="str">
        <f>IF(OR($G196="",$I196=""),"",IF(OR($T196&gt;=Setup!$B$8,$U196&gt;=Setup!$B$8),1,""))</f>
        <v/>
      </c>
      <c r="Y196" s="30" t="str">
        <f t="shared" si="36"/>
        <v/>
      </c>
      <c r="Z196" s="33" t="str">
        <f>IF($X196=1,IF($T196&gt;$U196,Setup!$B$9,Setup!$B$10),"")</f>
        <v/>
      </c>
      <c r="AA196" s="33" t="str">
        <f>IF($X196=1,IF($U196&gt;$T196,Setup!$B$9,Setup!$B$10),"")</f>
        <v/>
      </c>
      <c r="AB196" s="30" t="str">
        <f t="shared" si="37"/>
        <v/>
      </c>
      <c r="AC196" s="30" t="str">
        <f t="shared" si="38"/>
        <v/>
      </c>
      <c r="AD196" s="30" t="str">
        <f t="shared" si="39"/>
        <v/>
      </c>
    </row>
    <row r="197" spans="1:30">
      <c r="A197" s="29">
        <v>196</v>
      </c>
      <c r="B197" s="29" t="str">
        <f>IF(INT(($A197-1)/28)+1&lt;=Setup!$B$5,INT(($A197-1)/28)+1,"")</f>
        <v/>
      </c>
      <c r="C197" s="29" t="str">
        <f t="shared" si="30"/>
        <v/>
      </c>
      <c r="D197" s="29">
        <f t="shared" si="31"/>
        <v>28</v>
      </c>
      <c r="E197" s="29" t="str">
        <f>IF($B197="","",IFERROR(INDEX('Fixture Library'!$C$2:$C$200,MATCH(Setup!$B$6*100+$D197,'Fixture Library'!$F$2:$F$200,0)),""))</f>
        <v/>
      </c>
      <c r="F197" s="30" t="str">
        <f>IF($B197="","",IFERROR(INDEX('Fixture Library'!$D$2:$D$200,MATCH(Setup!$B$6*100+$D197,'Fixture Library'!$F$2:$F$200,0)),""))</f>
        <v/>
      </c>
      <c r="G197" s="30" t="str">
        <f>IF($F197="","",INDEX(Teams!$E$2:$E$65,($B197-1)*8+$F197))</f>
        <v/>
      </c>
      <c r="H197" s="30" t="str">
        <f>IF($B197="","",IFERROR(INDEX('Fixture Library'!$E$2:$E$200,MATCH(Setup!$B$6*100+$D197,'Fixture Library'!$F$2:$F$200,0)),""))</f>
        <v/>
      </c>
      <c r="I197" s="30" t="str">
        <f>IF($H197="","",INDEX(Teams!$E$2:$E$65,($B197-1)*8+$H197))</f>
        <v/>
      </c>
      <c r="J197" s="34" t="str">
        <f>IF($G197="","",IFERROR(INDEX('Match Entry'!$F$5:$F$228,5+($B197-1)*Setup!$B$13+$D197-1-4),""))</f>
        <v/>
      </c>
      <c r="K197" s="35" t="str">
        <f>IF($G197="","",IFERROR(INDEX('Match Entry'!$G$5:$G$228,5+($B197-1)*Setup!$B$13+$D197-1-4),""))</f>
        <v/>
      </c>
      <c r="L197" s="34" t="str">
        <f>IF($G197="","",IFERROR(INDEX('Match Entry'!$H$5:$H$228,5+($B197-1)*Setup!$B$13+$D197-1-4),""))</f>
        <v/>
      </c>
      <c r="M197" s="35" t="str">
        <f>IF($G197="","",IFERROR(INDEX('Match Entry'!$I$5:$I$228,5+($B197-1)*Setup!$B$13+$D197-1-4),""))</f>
        <v/>
      </c>
      <c r="N197" s="34" t="str">
        <f>IF($G197="","",IFERROR(INDEX('Match Entry'!$J$5:$J$228,5+($B197-1)*Setup!$B$13+$D197-1-4),""))</f>
        <v/>
      </c>
      <c r="O197" s="35" t="str">
        <f>IF($G197="","",IFERROR(INDEX('Match Entry'!$K$5:$K$228,5+($B197-1)*Setup!$B$13+$D197-1-4),""))</f>
        <v/>
      </c>
      <c r="P197" s="34" t="str">
        <f>IF($G197="","",IFERROR(INDEX('Match Entry'!$L$5:$L$228,5+($B197-1)*Setup!$B$13+$D197-1-4),""))</f>
        <v/>
      </c>
      <c r="Q197" s="35" t="str">
        <f>IF($G197="","",IFERROR(INDEX('Match Entry'!$M$5:$M$228,5+($B197-1)*Setup!$B$13+$D197-1-4),""))</f>
        <v/>
      </c>
      <c r="R197" s="34" t="str">
        <f>IF($G197="","",IFERROR(INDEX('Match Entry'!$N$5:$N$228,5+($B197-1)*Setup!$B$13+$D197-1-4),""))</f>
        <v/>
      </c>
      <c r="S197" s="35" t="str">
        <f>IF($G197="","",IFERROR(INDEX('Match Entry'!$O$5:$O$228,5+($B197-1)*Setup!$B$13+$D197-1-4),""))</f>
        <v/>
      </c>
      <c r="T197" s="33" t="str">
        <f t="shared" si="32"/>
        <v/>
      </c>
      <c r="U197" s="33" t="str">
        <f t="shared" si="33"/>
        <v/>
      </c>
      <c r="V197" s="33" t="str">
        <f t="shared" si="34"/>
        <v/>
      </c>
      <c r="W197" s="33" t="str">
        <f t="shared" si="35"/>
        <v/>
      </c>
      <c r="X197" s="30" t="str">
        <f>IF(OR($G197="",$I197=""),"",IF(OR($T197&gt;=Setup!$B$8,$U197&gt;=Setup!$B$8),1,""))</f>
        <v/>
      </c>
      <c r="Y197" s="30" t="str">
        <f t="shared" si="36"/>
        <v/>
      </c>
      <c r="Z197" s="33" t="str">
        <f>IF($X197=1,IF($T197&gt;$U197,Setup!$B$9,Setup!$B$10),"")</f>
        <v/>
      </c>
      <c r="AA197" s="33" t="str">
        <f>IF($X197=1,IF($U197&gt;$T197,Setup!$B$9,Setup!$B$10),"")</f>
        <v/>
      </c>
      <c r="AB197" s="30" t="str">
        <f t="shared" si="37"/>
        <v/>
      </c>
      <c r="AC197" s="30" t="str">
        <f t="shared" si="38"/>
        <v/>
      </c>
      <c r="AD197" s="30" t="str">
        <f t="shared" si="39"/>
        <v/>
      </c>
    </row>
    <row r="198" spans="1:30">
      <c r="A198" s="29">
        <v>197</v>
      </c>
      <c r="B198" s="29" t="str">
        <f>IF(INT(($A198-1)/28)+1&lt;=Setup!$B$5,INT(($A198-1)/28)+1,"")</f>
        <v/>
      </c>
      <c r="C198" s="29" t="str">
        <f t="shared" si="30"/>
        <v/>
      </c>
      <c r="D198" s="29">
        <f t="shared" si="31"/>
        <v>1</v>
      </c>
      <c r="E198" s="29" t="str">
        <f>IF($B198="","",IFERROR(INDEX('Fixture Library'!$C$2:$C$200,MATCH(Setup!$B$6*100+$D198,'Fixture Library'!$F$2:$F$200,0)),""))</f>
        <v/>
      </c>
      <c r="F198" s="30" t="str">
        <f>IF($B198="","",IFERROR(INDEX('Fixture Library'!$D$2:$D$200,MATCH(Setup!$B$6*100+$D198,'Fixture Library'!$F$2:$F$200,0)),""))</f>
        <v/>
      </c>
      <c r="G198" s="30" t="str">
        <f>IF($F198="","",INDEX(Teams!$E$2:$E$65,($B198-1)*8+$F198))</f>
        <v/>
      </c>
      <c r="H198" s="30" t="str">
        <f>IF($B198="","",IFERROR(INDEX('Fixture Library'!$E$2:$E$200,MATCH(Setup!$B$6*100+$D198,'Fixture Library'!$F$2:$F$200,0)),""))</f>
        <v/>
      </c>
      <c r="I198" s="30" t="str">
        <f>IF($H198="","",INDEX(Teams!$E$2:$E$65,($B198-1)*8+$H198))</f>
        <v/>
      </c>
      <c r="J198" s="34" t="str">
        <f>IF($G198="","",IFERROR(INDEX('Match Entry'!$F$5:$F$228,5+($B198-1)*Setup!$B$13+$D198-1-4),""))</f>
        <v/>
      </c>
      <c r="K198" s="35" t="str">
        <f>IF($G198="","",IFERROR(INDEX('Match Entry'!$G$5:$G$228,5+($B198-1)*Setup!$B$13+$D198-1-4),""))</f>
        <v/>
      </c>
      <c r="L198" s="34" t="str">
        <f>IF($G198="","",IFERROR(INDEX('Match Entry'!$H$5:$H$228,5+($B198-1)*Setup!$B$13+$D198-1-4),""))</f>
        <v/>
      </c>
      <c r="M198" s="35" t="str">
        <f>IF($G198="","",IFERROR(INDEX('Match Entry'!$I$5:$I$228,5+($B198-1)*Setup!$B$13+$D198-1-4),""))</f>
        <v/>
      </c>
      <c r="N198" s="34" t="str">
        <f>IF($G198="","",IFERROR(INDEX('Match Entry'!$J$5:$J$228,5+($B198-1)*Setup!$B$13+$D198-1-4),""))</f>
        <v/>
      </c>
      <c r="O198" s="35" t="str">
        <f>IF($G198="","",IFERROR(INDEX('Match Entry'!$K$5:$K$228,5+($B198-1)*Setup!$B$13+$D198-1-4),""))</f>
        <v/>
      </c>
      <c r="P198" s="34" t="str">
        <f>IF($G198="","",IFERROR(INDEX('Match Entry'!$L$5:$L$228,5+($B198-1)*Setup!$B$13+$D198-1-4),""))</f>
        <v/>
      </c>
      <c r="Q198" s="35" t="str">
        <f>IF($G198="","",IFERROR(INDEX('Match Entry'!$M$5:$M$228,5+($B198-1)*Setup!$B$13+$D198-1-4),""))</f>
        <v/>
      </c>
      <c r="R198" s="34" t="str">
        <f>IF($G198="","",IFERROR(INDEX('Match Entry'!$N$5:$N$228,5+($B198-1)*Setup!$B$13+$D198-1-4),""))</f>
        <v/>
      </c>
      <c r="S198" s="35" t="str">
        <f>IF($G198="","",IFERROR(INDEX('Match Entry'!$O$5:$O$228,5+($B198-1)*Setup!$B$13+$D198-1-4),""))</f>
        <v/>
      </c>
      <c r="T198" s="33" t="str">
        <f t="shared" si="32"/>
        <v/>
      </c>
      <c r="U198" s="33" t="str">
        <f t="shared" si="33"/>
        <v/>
      </c>
      <c r="V198" s="33" t="str">
        <f t="shared" si="34"/>
        <v/>
      </c>
      <c r="W198" s="33" t="str">
        <f t="shared" si="35"/>
        <v/>
      </c>
      <c r="X198" s="30" t="str">
        <f>IF(OR($G198="",$I198=""),"",IF(OR($T198&gt;=Setup!$B$8,$U198&gt;=Setup!$B$8),1,""))</f>
        <v/>
      </c>
      <c r="Y198" s="30" t="str">
        <f t="shared" si="36"/>
        <v/>
      </c>
      <c r="Z198" s="33" t="str">
        <f>IF($X198=1,IF($T198&gt;$U198,Setup!$B$9,Setup!$B$10),"")</f>
        <v/>
      </c>
      <c r="AA198" s="33" t="str">
        <f>IF($X198=1,IF($U198&gt;$T198,Setup!$B$9,Setup!$B$10),"")</f>
        <v/>
      </c>
      <c r="AB198" s="30" t="str">
        <f t="shared" si="37"/>
        <v/>
      </c>
      <c r="AC198" s="30" t="str">
        <f t="shared" si="38"/>
        <v/>
      </c>
      <c r="AD198" s="30" t="str">
        <f t="shared" si="39"/>
        <v/>
      </c>
    </row>
    <row r="199" spans="1:30">
      <c r="A199" s="29">
        <v>198</v>
      </c>
      <c r="B199" s="29" t="str">
        <f>IF(INT(($A199-1)/28)+1&lt;=Setup!$B$5,INT(($A199-1)/28)+1,"")</f>
        <v/>
      </c>
      <c r="C199" s="29" t="str">
        <f t="shared" si="30"/>
        <v/>
      </c>
      <c r="D199" s="29">
        <f t="shared" si="31"/>
        <v>2</v>
      </c>
      <c r="E199" s="29" t="str">
        <f>IF($B199="","",IFERROR(INDEX('Fixture Library'!$C$2:$C$200,MATCH(Setup!$B$6*100+$D199,'Fixture Library'!$F$2:$F$200,0)),""))</f>
        <v/>
      </c>
      <c r="F199" s="30" t="str">
        <f>IF($B199="","",IFERROR(INDEX('Fixture Library'!$D$2:$D$200,MATCH(Setup!$B$6*100+$D199,'Fixture Library'!$F$2:$F$200,0)),""))</f>
        <v/>
      </c>
      <c r="G199" s="30" t="str">
        <f>IF($F199="","",INDEX(Teams!$E$2:$E$65,($B199-1)*8+$F199))</f>
        <v/>
      </c>
      <c r="H199" s="30" t="str">
        <f>IF($B199="","",IFERROR(INDEX('Fixture Library'!$E$2:$E$200,MATCH(Setup!$B$6*100+$D199,'Fixture Library'!$F$2:$F$200,0)),""))</f>
        <v/>
      </c>
      <c r="I199" s="30" t="str">
        <f>IF($H199="","",INDEX(Teams!$E$2:$E$65,($B199-1)*8+$H199))</f>
        <v/>
      </c>
      <c r="J199" s="34" t="str">
        <f>IF($G199="","",IFERROR(INDEX('Match Entry'!$F$5:$F$228,5+($B199-1)*Setup!$B$13+$D199-1-4),""))</f>
        <v/>
      </c>
      <c r="K199" s="35" t="str">
        <f>IF($G199="","",IFERROR(INDEX('Match Entry'!$G$5:$G$228,5+($B199-1)*Setup!$B$13+$D199-1-4),""))</f>
        <v/>
      </c>
      <c r="L199" s="34" t="str">
        <f>IF($G199="","",IFERROR(INDEX('Match Entry'!$H$5:$H$228,5+($B199-1)*Setup!$B$13+$D199-1-4),""))</f>
        <v/>
      </c>
      <c r="M199" s="35" t="str">
        <f>IF($G199="","",IFERROR(INDEX('Match Entry'!$I$5:$I$228,5+($B199-1)*Setup!$B$13+$D199-1-4),""))</f>
        <v/>
      </c>
      <c r="N199" s="34" t="str">
        <f>IF($G199="","",IFERROR(INDEX('Match Entry'!$J$5:$J$228,5+($B199-1)*Setup!$B$13+$D199-1-4),""))</f>
        <v/>
      </c>
      <c r="O199" s="35" t="str">
        <f>IF($G199="","",IFERROR(INDEX('Match Entry'!$K$5:$K$228,5+($B199-1)*Setup!$B$13+$D199-1-4),""))</f>
        <v/>
      </c>
      <c r="P199" s="34" t="str">
        <f>IF($G199="","",IFERROR(INDEX('Match Entry'!$L$5:$L$228,5+($B199-1)*Setup!$B$13+$D199-1-4),""))</f>
        <v/>
      </c>
      <c r="Q199" s="35" t="str">
        <f>IF($G199="","",IFERROR(INDEX('Match Entry'!$M$5:$M$228,5+($B199-1)*Setup!$B$13+$D199-1-4),""))</f>
        <v/>
      </c>
      <c r="R199" s="34" t="str">
        <f>IF($G199="","",IFERROR(INDEX('Match Entry'!$N$5:$N$228,5+($B199-1)*Setup!$B$13+$D199-1-4),""))</f>
        <v/>
      </c>
      <c r="S199" s="35" t="str">
        <f>IF($G199="","",IFERROR(INDEX('Match Entry'!$O$5:$O$228,5+($B199-1)*Setup!$B$13+$D199-1-4),""))</f>
        <v/>
      </c>
      <c r="T199" s="33" t="str">
        <f t="shared" si="32"/>
        <v/>
      </c>
      <c r="U199" s="33" t="str">
        <f t="shared" si="33"/>
        <v/>
      </c>
      <c r="V199" s="33" t="str">
        <f t="shared" si="34"/>
        <v/>
      </c>
      <c r="W199" s="33" t="str">
        <f t="shared" si="35"/>
        <v/>
      </c>
      <c r="X199" s="30" t="str">
        <f>IF(OR($G199="",$I199=""),"",IF(OR($T199&gt;=Setup!$B$8,$U199&gt;=Setup!$B$8),1,""))</f>
        <v/>
      </c>
      <c r="Y199" s="30" t="str">
        <f t="shared" si="36"/>
        <v/>
      </c>
      <c r="Z199" s="33" t="str">
        <f>IF($X199=1,IF($T199&gt;$U199,Setup!$B$9,Setup!$B$10),"")</f>
        <v/>
      </c>
      <c r="AA199" s="33" t="str">
        <f>IF($X199=1,IF($U199&gt;$T199,Setup!$B$9,Setup!$B$10),"")</f>
        <v/>
      </c>
      <c r="AB199" s="30" t="str">
        <f t="shared" si="37"/>
        <v/>
      </c>
      <c r="AC199" s="30" t="str">
        <f t="shared" si="38"/>
        <v/>
      </c>
      <c r="AD199" s="30" t="str">
        <f t="shared" si="39"/>
        <v/>
      </c>
    </row>
    <row r="200" spans="1:30">
      <c r="A200" s="29">
        <v>199</v>
      </c>
      <c r="B200" s="29" t="str">
        <f>IF(INT(($A200-1)/28)+1&lt;=Setup!$B$5,INT(($A200-1)/28)+1,"")</f>
        <v/>
      </c>
      <c r="C200" s="29" t="str">
        <f t="shared" si="30"/>
        <v/>
      </c>
      <c r="D200" s="29">
        <f t="shared" si="31"/>
        <v>3</v>
      </c>
      <c r="E200" s="29" t="str">
        <f>IF($B200="","",IFERROR(INDEX('Fixture Library'!$C$2:$C$200,MATCH(Setup!$B$6*100+$D200,'Fixture Library'!$F$2:$F$200,0)),""))</f>
        <v/>
      </c>
      <c r="F200" s="30" t="str">
        <f>IF($B200="","",IFERROR(INDEX('Fixture Library'!$D$2:$D$200,MATCH(Setup!$B$6*100+$D200,'Fixture Library'!$F$2:$F$200,0)),""))</f>
        <v/>
      </c>
      <c r="G200" s="30" t="str">
        <f>IF($F200="","",INDEX(Teams!$E$2:$E$65,($B200-1)*8+$F200))</f>
        <v/>
      </c>
      <c r="H200" s="30" t="str">
        <f>IF($B200="","",IFERROR(INDEX('Fixture Library'!$E$2:$E$200,MATCH(Setup!$B$6*100+$D200,'Fixture Library'!$F$2:$F$200,0)),""))</f>
        <v/>
      </c>
      <c r="I200" s="30" t="str">
        <f>IF($H200="","",INDEX(Teams!$E$2:$E$65,($B200-1)*8+$H200))</f>
        <v/>
      </c>
      <c r="J200" s="34" t="str">
        <f>IF($G200="","",IFERROR(INDEX('Match Entry'!$F$5:$F$228,5+($B200-1)*Setup!$B$13+$D200-1-4),""))</f>
        <v/>
      </c>
      <c r="K200" s="35" t="str">
        <f>IF($G200="","",IFERROR(INDEX('Match Entry'!$G$5:$G$228,5+($B200-1)*Setup!$B$13+$D200-1-4),""))</f>
        <v/>
      </c>
      <c r="L200" s="34" t="str">
        <f>IF($G200="","",IFERROR(INDEX('Match Entry'!$H$5:$H$228,5+($B200-1)*Setup!$B$13+$D200-1-4),""))</f>
        <v/>
      </c>
      <c r="M200" s="35" t="str">
        <f>IF($G200="","",IFERROR(INDEX('Match Entry'!$I$5:$I$228,5+($B200-1)*Setup!$B$13+$D200-1-4),""))</f>
        <v/>
      </c>
      <c r="N200" s="34" t="str">
        <f>IF($G200="","",IFERROR(INDEX('Match Entry'!$J$5:$J$228,5+($B200-1)*Setup!$B$13+$D200-1-4),""))</f>
        <v/>
      </c>
      <c r="O200" s="35" t="str">
        <f>IF($G200="","",IFERROR(INDEX('Match Entry'!$K$5:$K$228,5+($B200-1)*Setup!$B$13+$D200-1-4),""))</f>
        <v/>
      </c>
      <c r="P200" s="34" t="str">
        <f>IF($G200="","",IFERROR(INDEX('Match Entry'!$L$5:$L$228,5+($B200-1)*Setup!$B$13+$D200-1-4),""))</f>
        <v/>
      </c>
      <c r="Q200" s="35" t="str">
        <f>IF($G200="","",IFERROR(INDEX('Match Entry'!$M$5:$M$228,5+($B200-1)*Setup!$B$13+$D200-1-4),""))</f>
        <v/>
      </c>
      <c r="R200" s="34" t="str">
        <f>IF($G200="","",IFERROR(INDEX('Match Entry'!$N$5:$N$228,5+($B200-1)*Setup!$B$13+$D200-1-4),""))</f>
        <v/>
      </c>
      <c r="S200" s="35" t="str">
        <f>IF($G200="","",IFERROR(INDEX('Match Entry'!$O$5:$O$228,5+($B200-1)*Setup!$B$13+$D200-1-4),""))</f>
        <v/>
      </c>
      <c r="T200" s="33" t="str">
        <f t="shared" si="32"/>
        <v/>
      </c>
      <c r="U200" s="33" t="str">
        <f t="shared" si="33"/>
        <v/>
      </c>
      <c r="V200" s="33" t="str">
        <f t="shared" si="34"/>
        <v/>
      </c>
      <c r="W200" s="33" t="str">
        <f t="shared" si="35"/>
        <v/>
      </c>
      <c r="X200" s="30" t="str">
        <f>IF(OR($G200="",$I200=""),"",IF(OR($T200&gt;=Setup!$B$8,$U200&gt;=Setup!$B$8),1,""))</f>
        <v/>
      </c>
      <c r="Y200" s="30" t="str">
        <f t="shared" si="36"/>
        <v/>
      </c>
      <c r="Z200" s="33" t="str">
        <f>IF($X200=1,IF($T200&gt;$U200,Setup!$B$9,Setup!$B$10),"")</f>
        <v/>
      </c>
      <c r="AA200" s="33" t="str">
        <f>IF($X200=1,IF($U200&gt;$T200,Setup!$B$9,Setup!$B$10),"")</f>
        <v/>
      </c>
      <c r="AB200" s="30" t="str">
        <f t="shared" si="37"/>
        <v/>
      </c>
      <c r="AC200" s="30" t="str">
        <f t="shared" si="38"/>
        <v/>
      </c>
      <c r="AD200" s="30" t="str">
        <f t="shared" si="39"/>
        <v/>
      </c>
    </row>
    <row r="201" spans="1:30">
      <c r="A201" s="29">
        <v>200</v>
      </c>
      <c r="B201" s="29" t="str">
        <f>IF(INT(($A201-1)/28)+1&lt;=Setup!$B$5,INT(($A201-1)/28)+1,"")</f>
        <v/>
      </c>
      <c r="C201" s="29" t="str">
        <f t="shared" si="30"/>
        <v/>
      </c>
      <c r="D201" s="29">
        <f t="shared" si="31"/>
        <v>4</v>
      </c>
      <c r="E201" s="29" t="str">
        <f>IF($B201="","",IFERROR(INDEX('Fixture Library'!$C$2:$C$200,MATCH(Setup!$B$6*100+$D201,'Fixture Library'!$F$2:$F$200,0)),""))</f>
        <v/>
      </c>
      <c r="F201" s="30" t="str">
        <f>IF($B201="","",IFERROR(INDEX('Fixture Library'!$D$2:$D$200,MATCH(Setup!$B$6*100+$D201,'Fixture Library'!$F$2:$F$200,0)),""))</f>
        <v/>
      </c>
      <c r="G201" s="30" t="str">
        <f>IF($F201="","",INDEX(Teams!$E$2:$E$65,($B201-1)*8+$F201))</f>
        <v/>
      </c>
      <c r="H201" s="30" t="str">
        <f>IF($B201="","",IFERROR(INDEX('Fixture Library'!$E$2:$E$200,MATCH(Setup!$B$6*100+$D201,'Fixture Library'!$F$2:$F$200,0)),""))</f>
        <v/>
      </c>
      <c r="I201" s="30" t="str">
        <f>IF($H201="","",INDEX(Teams!$E$2:$E$65,($B201-1)*8+$H201))</f>
        <v/>
      </c>
      <c r="J201" s="34" t="str">
        <f>IF($G201="","",IFERROR(INDEX('Match Entry'!$F$5:$F$228,5+($B201-1)*Setup!$B$13+$D201-1-4),""))</f>
        <v/>
      </c>
      <c r="K201" s="35" t="str">
        <f>IF($G201="","",IFERROR(INDEX('Match Entry'!$G$5:$G$228,5+($B201-1)*Setup!$B$13+$D201-1-4),""))</f>
        <v/>
      </c>
      <c r="L201" s="34" t="str">
        <f>IF($G201="","",IFERROR(INDEX('Match Entry'!$H$5:$H$228,5+($B201-1)*Setup!$B$13+$D201-1-4),""))</f>
        <v/>
      </c>
      <c r="M201" s="35" t="str">
        <f>IF($G201="","",IFERROR(INDEX('Match Entry'!$I$5:$I$228,5+($B201-1)*Setup!$B$13+$D201-1-4),""))</f>
        <v/>
      </c>
      <c r="N201" s="34" t="str">
        <f>IF($G201="","",IFERROR(INDEX('Match Entry'!$J$5:$J$228,5+($B201-1)*Setup!$B$13+$D201-1-4),""))</f>
        <v/>
      </c>
      <c r="O201" s="35" t="str">
        <f>IF($G201="","",IFERROR(INDEX('Match Entry'!$K$5:$K$228,5+($B201-1)*Setup!$B$13+$D201-1-4),""))</f>
        <v/>
      </c>
      <c r="P201" s="34" t="str">
        <f>IF($G201="","",IFERROR(INDEX('Match Entry'!$L$5:$L$228,5+($B201-1)*Setup!$B$13+$D201-1-4),""))</f>
        <v/>
      </c>
      <c r="Q201" s="35" t="str">
        <f>IF($G201="","",IFERROR(INDEX('Match Entry'!$M$5:$M$228,5+($B201-1)*Setup!$B$13+$D201-1-4),""))</f>
        <v/>
      </c>
      <c r="R201" s="34" t="str">
        <f>IF($G201="","",IFERROR(INDEX('Match Entry'!$N$5:$N$228,5+($B201-1)*Setup!$B$13+$D201-1-4),""))</f>
        <v/>
      </c>
      <c r="S201" s="35" t="str">
        <f>IF($G201="","",IFERROR(INDEX('Match Entry'!$O$5:$O$228,5+($B201-1)*Setup!$B$13+$D201-1-4),""))</f>
        <v/>
      </c>
      <c r="T201" s="33" t="str">
        <f t="shared" si="32"/>
        <v/>
      </c>
      <c r="U201" s="33" t="str">
        <f t="shared" si="33"/>
        <v/>
      </c>
      <c r="V201" s="33" t="str">
        <f t="shared" si="34"/>
        <v/>
      </c>
      <c r="W201" s="33" t="str">
        <f t="shared" si="35"/>
        <v/>
      </c>
      <c r="X201" s="30" t="str">
        <f>IF(OR($G201="",$I201=""),"",IF(OR($T201&gt;=Setup!$B$8,$U201&gt;=Setup!$B$8),1,""))</f>
        <v/>
      </c>
      <c r="Y201" s="30" t="str">
        <f t="shared" si="36"/>
        <v/>
      </c>
      <c r="Z201" s="33" t="str">
        <f>IF($X201=1,IF($T201&gt;$U201,Setup!$B$9,Setup!$B$10),"")</f>
        <v/>
      </c>
      <c r="AA201" s="33" t="str">
        <f>IF($X201=1,IF($U201&gt;$T201,Setup!$B$9,Setup!$B$10),"")</f>
        <v/>
      </c>
      <c r="AB201" s="30" t="str">
        <f t="shared" si="37"/>
        <v/>
      </c>
      <c r="AC201" s="30" t="str">
        <f t="shared" si="38"/>
        <v/>
      </c>
      <c r="AD201" s="30" t="str">
        <f t="shared" si="39"/>
        <v/>
      </c>
    </row>
    <row r="202" spans="1:30">
      <c r="A202" s="29">
        <v>201</v>
      </c>
      <c r="B202" s="29" t="str">
        <f>IF(INT(($A202-1)/28)+1&lt;=Setup!$B$5,INT(($A202-1)/28)+1,"")</f>
        <v/>
      </c>
      <c r="C202" s="29" t="str">
        <f t="shared" si="30"/>
        <v/>
      </c>
      <c r="D202" s="29">
        <f t="shared" si="31"/>
        <v>5</v>
      </c>
      <c r="E202" s="29" t="str">
        <f>IF($B202="","",IFERROR(INDEX('Fixture Library'!$C$2:$C$200,MATCH(Setup!$B$6*100+$D202,'Fixture Library'!$F$2:$F$200,0)),""))</f>
        <v/>
      </c>
      <c r="F202" s="30" t="str">
        <f>IF($B202="","",IFERROR(INDEX('Fixture Library'!$D$2:$D$200,MATCH(Setup!$B$6*100+$D202,'Fixture Library'!$F$2:$F$200,0)),""))</f>
        <v/>
      </c>
      <c r="G202" s="30" t="str">
        <f>IF($F202="","",INDEX(Teams!$E$2:$E$65,($B202-1)*8+$F202))</f>
        <v/>
      </c>
      <c r="H202" s="30" t="str">
        <f>IF($B202="","",IFERROR(INDEX('Fixture Library'!$E$2:$E$200,MATCH(Setup!$B$6*100+$D202,'Fixture Library'!$F$2:$F$200,0)),""))</f>
        <v/>
      </c>
      <c r="I202" s="30" t="str">
        <f>IF($H202="","",INDEX(Teams!$E$2:$E$65,($B202-1)*8+$H202))</f>
        <v/>
      </c>
      <c r="J202" s="34" t="str">
        <f>IF($G202="","",IFERROR(INDEX('Match Entry'!$F$5:$F$228,5+($B202-1)*Setup!$B$13+$D202-1-4),""))</f>
        <v/>
      </c>
      <c r="K202" s="35" t="str">
        <f>IF($G202="","",IFERROR(INDEX('Match Entry'!$G$5:$G$228,5+($B202-1)*Setup!$B$13+$D202-1-4),""))</f>
        <v/>
      </c>
      <c r="L202" s="34" t="str">
        <f>IF($G202="","",IFERROR(INDEX('Match Entry'!$H$5:$H$228,5+($B202-1)*Setup!$B$13+$D202-1-4),""))</f>
        <v/>
      </c>
      <c r="M202" s="35" t="str">
        <f>IF($G202="","",IFERROR(INDEX('Match Entry'!$I$5:$I$228,5+($B202-1)*Setup!$B$13+$D202-1-4),""))</f>
        <v/>
      </c>
      <c r="N202" s="34" t="str">
        <f>IF($G202="","",IFERROR(INDEX('Match Entry'!$J$5:$J$228,5+($B202-1)*Setup!$B$13+$D202-1-4),""))</f>
        <v/>
      </c>
      <c r="O202" s="35" t="str">
        <f>IF($G202="","",IFERROR(INDEX('Match Entry'!$K$5:$K$228,5+($B202-1)*Setup!$B$13+$D202-1-4),""))</f>
        <v/>
      </c>
      <c r="P202" s="34" t="str">
        <f>IF($G202="","",IFERROR(INDEX('Match Entry'!$L$5:$L$228,5+($B202-1)*Setup!$B$13+$D202-1-4),""))</f>
        <v/>
      </c>
      <c r="Q202" s="35" t="str">
        <f>IF($G202="","",IFERROR(INDEX('Match Entry'!$M$5:$M$228,5+($B202-1)*Setup!$B$13+$D202-1-4),""))</f>
        <v/>
      </c>
      <c r="R202" s="34" t="str">
        <f>IF($G202="","",IFERROR(INDEX('Match Entry'!$N$5:$N$228,5+($B202-1)*Setup!$B$13+$D202-1-4),""))</f>
        <v/>
      </c>
      <c r="S202" s="35" t="str">
        <f>IF($G202="","",IFERROR(INDEX('Match Entry'!$O$5:$O$228,5+($B202-1)*Setup!$B$13+$D202-1-4),""))</f>
        <v/>
      </c>
      <c r="T202" s="33" t="str">
        <f t="shared" si="32"/>
        <v/>
      </c>
      <c r="U202" s="33" t="str">
        <f t="shared" si="33"/>
        <v/>
      </c>
      <c r="V202" s="33" t="str">
        <f t="shared" si="34"/>
        <v/>
      </c>
      <c r="W202" s="33" t="str">
        <f t="shared" si="35"/>
        <v/>
      </c>
      <c r="X202" s="30" t="str">
        <f>IF(OR($G202="",$I202=""),"",IF(OR($T202&gt;=Setup!$B$8,$U202&gt;=Setup!$B$8),1,""))</f>
        <v/>
      </c>
      <c r="Y202" s="30" t="str">
        <f t="shared" si="36"/>
        <v/>
      </c>
      <c r="Z202" s="33" t="str">
        <f>IF($X202=1,IF($T202&gt;$U202,Setup!$B$9,Setup!$B$10),"")</f>
        <v/>
      </c>
      <c r="AA202" s="33" t="str">
        <f>IF($X202=1,IF($U202&gt;$T202,Setup!$B$9,Setup!$B$10),"")</f>
        <v/>
      </c>
      <c r="AB202" s="30" t="str">
        <f t="shared" si="37"/>
        <v/>
      </c>
      <c r="AC202" s="30" t="str">
        <f t="shared" si="38"/>
        <v/>
      </c>
      <c r="AD202" s="30" t="str">
        <f t="shared" si="39"/>
        <v/>
      </c>
    </row>
    <row r="203" spans="1:30">
      <c r="A203" s="29">
        <v>202</v>
      </c>
      <c r="B203" s="29" t="str">
        <f>IF(INT(($A203-1)/28)+1&lt;=Setup!$B$5,INT(($A203-1)/28)+1,"")</f>
        <v/>
      </c>
      <c r="C203" s="29" t="str">
        <f t="shared" si="30"/>
        <v/>
      </c>
      <c r="D203" s="29">
        <f t="shared" si="31"/>
        <v>6</v>
      </c>
      <c r="E203" s="29" t="str">
        <f>IF($B203="","",IFERROR(INDEX('Fixture Library'!$C$2:$C$200,MATCH(Setup!$B$6*100+$D203,'Fixture Library'!$F$2:$F$200,0)),""))</f>
        <v/>
      </c>
      <c r="F203" s="30" t="str">
        <f>IF($B203="","",IFERROR(INDEX('Fixture Library'!$D$2:$D$200,MATCH(Setup!$B$6*100+$D203,'Fixture Library'!$F$2:$F$200,0)),""))</f>
        <v/>
      </c>
      <c r="G203" s="30" t="str">
        <f>IF($F203="","",INDEX(Teams!$E$2:$E$65,($B203-1)*8+$F203))</f>
        <v/>
      </c>
      <c r="H203" s="30" t="str">
        <f>IF($B203="","",IFERROR(INDEX('Fixture Library'!$E$2:$E$200,MATCH(Setup!$B$6*100+$D203,'Fixture Library'!$F$2:$F$200,0)),""))</f>
        <v/>
      </c>
      <c r="I203" s="30" t="str">
        <f>IF($H203="","",INDEX(Teams!$E$2:$E$65,($B203-1)*8+$H203))</f>
        <v/>
      </c>
      <c r="J203" s="34" t="str">
        <f>IF($G203="","",IFERROR(INDEX('Match Entry'!$F$5:$F$228,5+($B203-1)*Setup!$B$13+$D203-1-4),""))</f>
        <v/>
      </c>
      <c r="K203" s="35" t="str">
        <f>IF($G203="","",IFERROR(INDEX('Match Entry'!$G$5:$G$228,5+($B203-1)*Setup!$B$13+$D203-1-4),""))</f>
        <v/>
      </c>
      <c r="L203" s="34" t="str">
        <f>IF($G203="","",IFERROR(INDEX('Match Entry'!$H$5:$H$228,5+($B203-1)*Setup!$B$13+$D203-1-4),""))</f>
        <v/>
      </c>
      <c r="M203" s="35" t="str">
        <f>IF($G203="","",IFERROR(INDEX('Match Entry'!$I$5:$I$228,5+($B203-1)*Setup!$B$13+$D203-1-4),""))</f>
        <v/>
      </c>
      <c r="N203" s="34" t="str">
        <f>IF($G203="","",IFERROR(INDEX('Match Entry'!$J$5:$J$228,5+($B203-1)*Setup!$B$13+$D203-1-4),""))</f>
        <v/>
      </c>
      <c r="O203" s="35" t="str">
        <f>IF($G203="","",IFERROR(INDEX('Match Entry'!$K$5:$K$228,5+($B203-1)*Setup!$B$13+$D203-1-4),""))</f>
        <v/>
      </c>
      <c r="P203" s="34" t="str">
        <f>IF($G203="","",IFERROR(INDEX('Match Entry'!$L$5:$L$228,5+($B203-1)*Setup!$B$13+$D203-1-4),""))</f>
        <v/>
      </c>
      <c r="Q203" s="35" t="str">
        <f>IF($G203="","",IFERROR(INDEX('Match Entry'!$M$5:$M$228,5+($B203-1)*Setup!$B$13+$D203-1-4),""))</f>
        <v/>
      </c>
      <c r="R203" s="34" t="str">
        <f>IF($G203="","",IFERROR(INDEX('Match Entry'!$N$5:$N$228,5+($B203-1)*Setup!$B$13+$D203-1-4),""))</f>
        <v/>
      </c>
      <c r="S203" s="35" t="str">
        <f>IF($G203="","",IFERROR(INDEX('Match Entry'!$O$5:$O$228,5+($B203-1)*Setup!$B$13+$D203-1-4),""))</f>
        <v/>
      </c>
      <c r="T203" s="33" t="str">
        <f t="shared" si="32"/>
        <v/>
      </c>
      <c r="U203" s="33" t="str">
        <f t="shared" si="33"/>
        <v/>
      </c>
      <c r="V203" s="33" t="str">
        <f t="shared" si="34"/>
        <v/>
      </c>
      <c r="W203" s="33" t="str">
        <f t="shared" si="35"/>
        <v/>
      </c>
      <c r="X203" s="30" t="str">
        <f>IF(OR($G203="",$I203=""),"",IF(OR($T203&gt;=Setup!$B$8,$U203&gt;=Setup!$B$8),1,""))</f>
        <v/>
      </c>
      <c r="Y203" s="30" t="str">
        <f t="shared" si="36"/>
        <v/>
      </c>
      <c r="Z203" s="33" t="str">
        <f>IF($X203=1,IF($T203&gt;$U203,Setup!$B$9,Setup!$B$10),"")</f>
        <v/>
      </c>
      <c r="AA203" s="33" t="str">
        <f>IF($X203=1,IF($U203&gt;$T203,Setup!$B$9,Setup!$B$10),"")</f>
        <v/>
      </c>
      <c r="AB203" s="30" t="str">
        <f t="shared" si="37"/>
        <v/>
      </c>
      <c r="AC203" s="30" t="str">
        <f t="shared" si="38"/>
        <v/>
      </c>
      <c r="AD203" s="30" t="str">
        <f t="shared" si="39"/>
        <v/>
      </c>
    </row>
    <row r="204" spans="1:30">
      <c r="A204" s="29">
        <v>203</v>
      </c>
      <c r="B204" s="29" t="str">
        <f>IF(INT(($A204-1)/28)+1&lt;=Setup!$B$5,INT(($A204-1)/28)+1,"")</f>
        <v/>
      </c>
      <c r="C204" s="29" t="str">
        <f t="shared" si="30"/>
        <v/>
      </c>
      <c r="D204" s="29">
        <f t="shared" si="31"/>
        <v>7</v>
      </c>
      <c r="E204" s="29" t="str">
        <f>IF($B204="","",IFERROR(INDEX('Fixture Library'!$C$2:$C$200,MATCH(Setup!$B$6*100+$D204,'Fixture Library'!$F$2:$F$200,0)),""))</f>
        <v/>
      </c>
      <c r="F204" s="30" t="str">
        <f>IF($B204="","",IFERROR(INDEX('Fixture Library'!$D$2:$D$200,MATCH(Setup!$B$6*100+$D204,'Fixture Library'!$F$2:$F$200,0)),""))</f>
        <v/>
      </c>
      <c r="G204" s="30" t="str">
        <f>IF($F204="","",INDEX(Teams!$E$2:$E$65,($B204-1)*8+$F204))</f>
        <v/>
      </c>
      <c r="H204" s="30" t="str">
        <f>IF($B204="","",IFERROR(INDEX('Fixture Library'!$E$2:$E$200,MATCH(Setup!$B$6*100+$D204,'Fixture Library'!$F$2:$F$200,0)),""))</f>
        <v/>
      </c>
      <c r="I204" s="30" t="str">
        <f>IF($H204="","",INDEX(Teams!$E$2:$E$65,($B204-1)*8+$H204))</f>
        <v/>
      </c>
      <c r="J204" s="34" t="str">
        <f>IF($G204="","",IFERROR(INDEX('Match Entry'!$F$5:$F$228,5+($B204-1)*Setup!$B$13+$D204-1-4),""))</f>
        <v/>
      </c>
      <c r="K204" s="35" t="str">
        <f>IF($G204="","",IFERROR(INDEX('Match Entry'!$G$5:$G$228,5+($B204-1)*Setup!$B$13+$D204-1-4),""))</f>
        <v/>
      </c>
      <c r="L204" s="34" t="str">
        <f>IF($G204="","",IFERROR(INDEX('Match Entry'!$H$5:$H$228,5+($B204-1)*Setup!$B$13+$D204-1-4),""))</f>
        <v/>
      </c>
      <c r="M204" s="35" t="str">
        <f>IF($G204="","",IFERROR(INDEX('Match Entry'!$I$5:$I$228,5+($B204-1)*Setup!$B$13+$D204-1-4),""))</f>
        <v/>
      </c>
      <c r="N204" s="34" t="str">
        <f>IF($G204="","",IFERROR(INDEX('Match Entry'!$J$5:$J$228,5+($B204-1)*Setup!$B$13+$D204-1-4),""))</f>
        <v/>
      </c>
      <c r="O204" s="35" t="str">
        <f>IF($G204="","",IFERROR(INDEX('Match Entry'!$K$5:$K$228,5+($B204-1)*Setup!$B$13+$D204-1-4),""))</f>
        <v/>
      </c>
      <c r="P204" s="34" t="str">
        <f>IF($G204="","",IFERROR(INDEX('Match Entry'!$L$5:$L$228,5+($B204-1)*Setup!$B$13+$D204-1-4),""))</f>
        <v/>
      </c>
      <c r="Q204" s="35" t="str">
        <f>IF($G204="","",IFERROR(INDEX('Match Entry'!$M$5:$M$228,5+($B204-1)*Setup!$B$13+$D204-1-4),""))</f>
        <v/>
      </c>
      <c r="R204" s="34" t="str">
        <f>IF($G204="","",IFERROR(INDEX('Match Entry'!$N$5:$N$228,5+($B204-1)*Setup!$B$13+$D204-1-4),""))</f>
        <v/>
      </c>
      <c r="S204" s="35" t="str">
        <f>IF($G204="","",IFERROR(INDEX('Match Entry'!$O$5:$O$228,5+($B204-1)*Setup!$B$13+$D204-1-4),""))</f>
        <v/>
      </c>
      <c r="T204" s="33" t="str">
        <f t="shared" si="32"/>
        <v/>
      </c>
      <c r="U204" s="33" t="str">
        <f t="shared" si="33"/>
        <v/>
      </c>
      <c r="V204" s="33" t="str">
        <f t="shared" si="34"/>
        <v/>
      </c>
      <c r="W204" s="33" t="str">
        <f t="shared" si="35"/>
        <v/>
      </c>
      <c r="X204" s="30" t="str">
        <f>IF(OR($G204="",$I204=""),"",IF(OR($T204&gt;=Setup!$B$8,$U204&gt;=Setup!$B$8),1,""))</f>
        <v/>
      </c>
      <c r="Y204" s="30" t="str">
        <f t="shared" si="36"/>
        <v/>
      </c>
      <c r="Z204" s="33" t="str">
        <f>IF($X204=1,IF($T204&gt;$U204,Setup!$B$9,Setup!$B$10),"")</f>
        <v/>
      </c>
      <c r="AA204" s="33" t="str">
        <f>IF($X204=1,IF($U204&gt;$T204,Setup!$B$9,Setup!$B$10),"")</f>
        <v/>
      </c>
      <c r="AB204" s="30" t="str">
        <f t="shared" si="37"/>
        <v/>
      </c>
      <c r="AC204" s="30" t="str">
        <f t="shared" si="38"/>
        <v/>
      </c>
      <c r="AD204" s="30" t="str">
        <f t="shared" si="39"/>
        <v/>
      </c>
    </row>
    <row r="205" spans="1:30">
      <c r="A205" s="29">
        <v>204</v>
      </c>
      <c r="B205" s="29" t="str">
        <f>IF(INT(($A205-1)/28)+1&lt;=Setup!$B$5,INT(($A205-1)/28)+1,"")</f>
        <v/>
      </c>
      <c r="C205" s="29" t="str">
        <f t="shared" si="30"/>
        <v/>
      </c>
      <c r="D205" s="29">
        <f t="shared" si="31"/>
        <v>8</v>
      </c>
      <c r="E205" s="29" t="str">
        <f>IF($B205="","",IFERROR(INDEX('Fixture Library'!$C$2:$C$200,MATCH(Setup!$B$6*100+$D205,'Fixture Library'!$F$2:$F$200,0)),""))</f>
        <v/>
      </c>
      <c r="F205" s="30" t="str">
        <f>IF($B205="","",IFERROR(INDEX('Fixture Library'!$D$2:$D$200,MATCH(Setup!$B$6*100+$D205,'Fixture Library'!$F$2:$F$200,0)),""))</f>
        <v/>
      </c>
      <c r="G205" s="30" t="str">
        <f>IF($F205="","",INDEX(Teams!$E$2:$E$65,($B205-1)*8+$F205))</f>
        <v/>
      </c>
      <c r="H205" s="30" t="str">
        <f>IF($B205="","",IFERROR(INDEX('Fixture Library'!$E$2:$E$200,MATCH(Setup!$B$6*100+$D205,'Fixture Library'!$F$2:$F$200,0)),""))</f>
        <v/>
      </c>
      <c r="I205" s="30" t="str">
        <f>IF($H205="","",INDEX(Teams!$E$2:$E$65,($B205-1)*8+$H205))</f>
        <v/>
      </c>
      <c r="J205" s="34" t="str">
        <f>IF($G205="","",IFERROR(INDEX('Match Entry'!$F$5:$F$228,5+($B205-1)*Setup!$B$13+$D205-1-4),""))</f>
        <v/>
      </c>
      <c r="K205" s="35" t="str">
        <f>IF($G205="","",IFERROR(INDEX('Match Entry'!$G$5:$G$228,5+($B205-1)*Setup!$B$13+$D205-1-4),""))</f>
        <v/>
      </c>
      <c r="L205" s="34" t="str">
        <f>IF($G205="","",IFERROR(INDEX('Match Entry'!$H$5:$H$228,5+($B205-1)*Setup!$B$13+$D205-1-4),""))</f>
        <v/>
      </c>
      <c r="M205" s="35" t="str">
        <f>IF($G205="","",IFERROR(INDEX('Match Entry'!$I$5:$I$228,5+($B205-1)*Setup!$B$13+$D205-1-4),""))</f>
        <v/>
      </c>
      <c r="N205" s="34" t="str">
        <f>IF($G205="","",IFERROR(INDEX('Match Entry'!$J$5:$J$228,5+($B205-1)*Setup!$B$13+$D205-1-4),""))</f>
        <v/>
      </c>
      <c r="O205" s="35" t="str">
        <f>IF($G205="","",IFERROR(INDEX('Match Entry'!$K$5:$K$228,5+($B205-1)*Setup!$B$13+$D205-1-4),""))</f>
        <v/>
      </c>
      <c r="P205" s="34" t="str">
        <f>IF($G205="","",IFERROR(INDEX('Match Entry'!$L$5:$L$228,5+($B205-1)*Setup!$B$13+$D205-1-4),""))</f>
        <v/>
      </c>
      <c r="Q205" s="35" t="str">
        <f>IF($G205="","",IFERROR(INDEX('Match Entry'!$M$5:$M$228,5+($B205-1)*Setup!$B$13+$D205-1-4),""))</f>
        <v/>
      </c>
      <c r="R205" s="34" t="str">
        <f>IF($G205="","",IFERROR(INDEX('Match Entry'!$N$5:$N$228,5+($B205-1)*Setup!$B$13+$D205-1-4),""))</f>
        <v/>
      </c>
      <c r="S205" s="35" t="str">
        <f>IF($G205="","",IFERROR(INDEX('Match Entry'!$O$5:$O$228,5+($B205-1)*Setup!$B$13+$D205-1-4),""))</f>
        <v/>
      </c>
      <c r="T205" s="33" t="str">
        <f t="shared" si="32"/>
        <v/>
      </c>
      <c r="U205" s="33" t="str">
        <f t="shared" si="33"/>
        <v/>
      </c>
      <c r="V205" s="33" t="str">
        <f t="shared" si="34"/>
        <v/>
      </c>
      <c r="W205" s="33" t="str">
        <f t="shared" si="35"/>
        <v/>
      </c>
      <c r="X205" s="30" t="str">
        <f>IF(OR($G205="",$I205=""),"",IF(OR($T205&gt;=Setup!$B$8,$U205&gt;=Setup!$B$8),1,""))</f>
        <v/>
      </c>
      <c r="Y205" s="30" t="str">
        <f t="shared" si="36"/>
        <v/>
      </c>
      <c r="Z205" s="33" t="str">
        <f>IF($X205=1,IF($T205&gt;$U205,Setup!$B$9,Setup!$B$10),"")</f>
        <v/>
      </c>
      <c r="AA205" s="33" t="str">
        <f>IF($X205=1,IF($U205&gt;$T205,Setup!$B$9,Setup!$B$10),"")</f>
        <v/>
      </c>
      <c r="AB205" s="30" t="str">
        <f t="shared" si="37"/>
        <v/>
      </c>
      <c r="AC205" s="30" t="str">
        <f t="shared" si="38"/>
        <v/>
      </c>
      <c r="AD205" s="30" t="str">
        <f t="shared" si="39"/>
        <v/>
      </c>
    </row>
    <row r="206" spans="1:30">
      <c r="A206" s="29">
        <v>205</v>
      </c>
      <c r="B206" s="29" t="str">
        <f>IF(INT(($A206-1)/28)+1&lt;=Setup!$B$5,INT(($A206-1)/28)+1,"")</f>
        <v/>
      </c>
      <c r="C206" s="29" t="str">
        <f t="shared" si="30"/>
        <v/>
      </c>
      <c r="D206" s="29">
        <f t="shared" si="31"/>
        <v>9</v>
      </c>
      <c r="E206" s="29" t="str">
        <f>IF($B206="","",IFERROR(INDEX('Fixture Library'!$C$2:$C$200,MATCH(Setup!$B$6*100+$D206,'Fixture Library'!$F$2:$F$200,0)),""))</f>
        <v/>
      </c>
      <c r="F206" s="30" t="str">
        <f>IF($B206="","",IFERROR(INDEX('Fixture Library'!$D$2:$D$200,MATCH(Setup!$B$6*100+$D206,'Fixture Library'!$F$2:$F$200,0)),""))</f>
        <v/>
      </c>
      <c r="G206" s="30" t="str">
        <f>IF($F206="","",INDEX(Teams!$E$2:$E$65,($B206-1)*8+$F206))</f>
        <v/>
      </c>
      <c r="H206" s="30" t="str">
        <f>IF($B206="","",IFERROR(INDEX('Fixture Library'!$E$2:$E$200,MATCH(Setup!$B$6*100+$D206,'Fixture Library'!$F$2:$F$200,0)),""))</f>
        <v/>
      </c>
      <c r="I206" s="30" t="str">
        <f>IF($H206="","",INDEX(Teams!$E$2:$E$65,($B206-1)*8+$H206))</f>
        <v/>
      </c>
      <c r="J206" s="34" t="str">
        <f>IF($G206="","",IFERROR(INDEX('Match Entry'!$F$5:$F$228,5+($B206-1)*Setup!$B$13+$D206-1-4),""))</f>
        <v/>
      </c>
      <c r="K206" s="35" t="str">
        <f>IF($G206="","",IFERROR(INDEX('Match Entry'!$G$5:$G$228,5+($B206-1)*Setup!$B$13+$D206-1-4),""))</f>
        <v/>
      </c>
      <c r="L206" s="34" t="str">
        <f>IF($G206="","",IFERROR(INDEX('Match Entry'!$H$5:$H$228,5+($B206-1)*Setup!$B$13+$D206-1-4),""))</f>
        <v/>
      </c>
      <c r="M206" s="35" t="str">
        <f>IF($G206="","",IFERROR(INDEX('Match Entry'!$I$5:$I$228,5+($B206-1)*Setup!$B$13+$D206-1-4),""))</f>
        <v/>
      </c>
      <c r="N206" s="34" t="str">
        <f>IF($G206="","",IFERROR(INDEX('Match Entry'!$J$5:$J$228,5+($B206-1)*Setup!$B$13+$D206-1-4),""))</f>
        <v/>
      </c>
      <c r="O206" s="35" t="str">
        <f>IF($G206="","",IFERROR(INDEX('Match Entry'!$K$5:$K$228,5+($B206-1)*Setup!$B$13+$D206-1-4),""))</f>
        <v/>
      </c>
      <c r="P206" s="34" t="str">
        <f>IF($G206="","",IFERROR(INDEX('Match Entry'!$L$5:$L$228,5+($B206-1)*Setup!$B$13+$D206-1-4),""))</f>
        <v/>
      </c>
      <c r="Q206" s="35" t="str">
        <f>IF($G206="","",IFERROR(INDEX('Match Entry'!$M$5:$M$228,5+($B206-1)*Setup!$B$13+$D206-1-4),""))</f>
        <v/>
      </c>
      <c r="R206" s="34" t="str">
        <f>IF($G206="","",IFERROR(INDEX('Match Entry'!$N$5:$N$228,5+($B206-1)*Setup!$B$13+$D206-1-4),""))</f>
        <v/>
      </c>
      <c r="S206" s="35" t="str">
        <f>IF($G206="","",IFERROR(INDEX('Match Entry'!$O$5:$O$228,5+($B206-1)*Setup!$B$13+$D206-1-4),""))</f>
        <v/>
      </c>
      <c r="T206" s="33" t="str">
        <f t="shared" si="32"/>
        <v/>
      </c>
      <c r="U206" s="33" t="str">
        <f t="shared" si="33"/>
        <v/>
      </c>
      <c r="V206" s="33" t="str">
        <f t="shared" si="34"/>
        <v/>
      </c>
      <c r="W206" s="33" t="str">
        <f t="shared" si="35"/>
        <v/>
      </c>
      <c r="X206" s="30" t="str">
        <f>IF(OR($G206="",$I206=""),"",IF(OR($T206&gt;=Setup!$B$8,$U206&gt;=Setup!$B$8),1,""))</f>
        <v/>
      </c>
      <c r="Y206" s="30" t="str">
        <f t="shared" si="36"/>
        <v/>
      </c>
      <c r="Z206" s="33" t="str">
        <f>IF($X206=1,IF($T206&gt;$U206,Setup!$B$9,Setup!$B$10),"")</f>
        <v/>
      </c>
      <c r="AA206" s="33" t="str">
        <f>IF($X206=1,IF($U206&gt;$T206,Setup!$B$9,Setup!$B$10),"")</f>
        <v/>
      </c>
      <c r="AB206" s="30" t="str">
        <f t="shared" si="37"/>
        <v/>
      </c>
      <c r="AC206" s="30" t="str">
        <f t="shared" si="38"/>
        <v/>
      </c>
      <c r="AD206" s="30" t="str">
        <f t="shared" si="39"/>
        <v/>
      </c>
    </row>
    <row r="207" spans="1:30">
      <c r="A207" s="29">
        <v>206</v>
      </c>
      <c r="B207" s="29" t="str">
        <f>IF(INT(($A207-1)/28)+1&lt;=Setup!$B$5,INT(($A207-1)/28)+1,"")</f>
        <v/>
      </c>
      <c r="C207" s="29" t="str">
        <f t="shared" si="30"/>
        <v/>
      </c>
      <c r="D207" s="29">
        <f t="shared" si="31"/>
        <v>10</v>
      </c>
      <c r="E207" s="29" t="str">
        <f>IF($B207="","",IFERROR(INDEX('Fixture Library'!$C$2:$C$200,MATCH(Setup!$B$6*100+$D207,'Fixture Library'!$F$2:$F$200,0)),""))</f>
        <v/>
      </c>
      <c r="F207" s="30" t="str">
        <f>IF($B207="","",IFERROR(INDEX('Fixture Library'!$D$2:$D$200,MATCH(Setup!$B$6*100+$D207,'Fixture Library'!$F$2:$F$200,0)),""))</f>
        <v/>
      </c>
      <c r="G207" s="30" t="str">
        <f>IF($F207="","",INDEX(Teams!$E$2:$E$65,($B207-1)*8+$F207))</f>
        <v/>
      </c>
      <c r="H207" s="30" t="str">
        <f>IF($B207="","",IFERROR(INDEX('Fixture Library'!$E$2:$E$200,MATCH(Setup!$B$6*100+$D207,'Fixture Library'!$F$2:$F$200,0)),""))</f>
        <v/>
      </c>
      <c r="I207" s="30" t="str">
        <f>IF($H207="","",INDEX(Teams!$E$2:$E$65,($B207-1)*8+$H207))</f>
        <v/>
      </c>
      <c r="J207" s="34" t="str">
        <f>IF($G207="","",IFERROR(INDEX('Match Entry'!$F$5:$F$228,5+($B207-1)*Setup!$B$13+$D207-1-4),""))</f>
        <v/>
      </c>
      <c r="K207" s="35" t="str">
        <f>IF($G207="","",IFERROR(INDEX('Match Entry'!$G$5:$G$228,5+($B207-1)*Setup!$B$13+$D207-1-4),""))</f>
        <v/>
      </c>
      <c r="L207" s="34" t="str">
        <f>IF($G207="","",IFERROR(INDEX('Match Entry'!$H$5:$H$228,5+($B207-1)*Setup!$B$13+$D207-1-4),""))</f>
        <v/>
      </c>
      <c r="M207" s="35" t="str">
        <f>IF($G207="","",IFERROR(INDEX('Match Entry'!$I$5:$I$228,5+($B207-1)*Setup!$B$13+$D207-1-4),""))</f>
        <v/>
      </c>
      <c r="N207" s="34" t="str">
        <f>IF($G207="","",IFERROR(INDEX('Match Entry'!$J$5:$J$228,5+($B207-1)*Setup!$B$13+$D207-1-4),""))</f>
        <v/>
      </c>
      <c r="O207" s="35" t="str">
        <f>IF($G207="","",IFERROR(INDEX('Match Entry'!$K$5:$K$228,5+($B207-1)*Setup!$B$13+$D207-1-4),""))</f>
        <v/>
      </c>
      <c r="P207" s="34" t="str">
        <f>IF($G207="","",IFERROR(INDEX('Match Entry'!$L$5:$L$228,5+($B207-1)*Setup!$B$13+$D207-1-4),""))</f>
        <v/>
      </c>
      <c r="Q207" s="35" t="str">
        <f>IF($G207="","",IFERROR(INDEX('Match Entry'!$M$5:$M$228,5+($B207-1)*Setup!$B$13+$D207-1-4),""))</f>
        <v/>
      </c>
      <c r="R207" s="34" t="str">
        <f>IF($G207="","",IFERROR(INDEX('Match Entry'!$N$5:$N$228,5+($B207-1)*Setup!$B$13+$D207-1-4),""))</f>
        <v/>
      </c>
      <c r="S207" s="35" t="str">
        <f>IF($G207="","",IFERROR(INDEX('Match Entry'!$O$5:$O$228,5+($B207-1)*Setup!$B$13+$D207-1-4),""))</f>
        <v/>
      </c>
      <c r="T207" s="33" t="str">
        <f t="shared" si="32"/>
        <v/>
      </c>
      <c r="U207" s="33" t="str">
        <f t="shared" si="33"/>
        <v/>
      </c>
      <c r="V207" s="33" t="str">
        <f t="shared" si="34"/>
        <v/>
      </c>
      <c r="W207" s="33" t="str">
        <f t="shared" si="35"/>
        <v/>
      </c>
      <c r="X207" s="30" t="str">
        <f>IF(OR($G207="",$I207=""),"",IF(OR($T207&gt;=Setup!$B$8,$U207&gt;=Setup!$B$8),1,""))</f>
        <v/>
      </c>
      <c r="Y207" s="30" t="str">
        <f t="shared" si="36"/>
        <v/>
      </c>
      <c r="Z207" s="33" t="str">
        <f>IF($X207=1,IF($T207&gt;$U207,Setup!$B$9,Setup!$B$10),"")</f>
        <v/>
      </c>
      <c r="AA207" s="33" t="str">
        <f>IF($X207=1,IF($U207&gt;$T207,Setup!$B$9,Setup!$B$10),"")</f>
        <v/>
      </c>
      <c r="AB207" s="30" t="str">
        <f t="shared" si="37"/>
        <v/>
      </c>
      <c r="AC207" s="30" t="str">
        <f t="shared" si="38"/>
        <v/>
      </c>
      <c r="AD207" s="30" t="str">
        <f t="shared" si="39"/>
        <v/>
      </c>
    </row>
    <row r="208" spans="1:30">
      <c r="A208" s="29">
        <v>207</v>
      </c>
      <c r="B208" s="29" t="str">
        <f>IF(INT(($A208-1)/28)+1&lt;=Setup!$B$5,INT(($A208-1)/28)+1,"")</f>
        <v/>
      </c>
      <c r="C208" s="29" t="str">
        <f t="shared" si="30"/>
        <v/>
      </c>
      <c r="D208" s="29">
        <f t="shared" si="31"/>
        <v>11</v>
      </c>
      <c r="E208" s="29" t="str">
        <f>IF($B208="","",IFERROR(INDEX('Fixture Library'!$C$2:$C$200,MATCH(Setup!$B$6*100+$D208,'Fixture Library'!$F$2:$F$200,0)),""))</f>
        <v/>
      </c>
      <c r="F208" s="30" t="str">
        <f>IF($B208="","",IFERROR(INDEX('Fixture Library'!$D$2:$D$200,MATCH(Setup!$B$6*100+$D208,'Fixture Library'!$F$2:$F$200,0)),""))</f>
        <v/>
      </c>
      <c r="G208" s="30" t="str">
        <f>IF($F208="","",INDEX(Teams!$E$2:$E$65,($B208-1)*8+$F208))</f>
        <v/>
      </c>
      <c r="H208" s="30" t="str">
        <f>IF($B208="","",IFERROR(INDEX('Fixture Library'!$E$2:$E$200,MATCH(Setup!$B$6*100+$D208,'Fixture Library'!$F$2:$F$200,0)),""))</f>
        <v/>
      </c>
      <c r="I208" s="30" t="str">
        <f>IF($H208="","",INDEX(Teams!$E$2:$E$65,($B208-1)*8+$H208))</f>
        <v/>
      </c>
      <c r="J208" s="34" t="str">
        <f>IF($G208="","",IFERROR(INDEX('Match Entry'!$F$5:$F$228,5+($B208-1)*Setup!$B$13+$D208-1-4),""))</f>
        <v/>
      </c>
      <c r="K208" s="35" t="str">
        <f>IF($G208="","",IFERROR(INDEX('Match Entry'!$G$5:$G$228,5+($B208-1)*Setup!$B$13+$D208-1-4),""))</f>
        <v/>
      </c>
      <c r="L208" s="34" t="str">
        <f>IF($G208="","",IFERROR(INDEX('Match Entry'!$H$5:$H$228,5+($B208-1)*Setup!$B$13+$D208-1-4),""))</f>
        <v/>
      </c>
      <c r="M208" s="35" t="str">
        <f>IF($G208="","",IFERROR(INDEX('Match Entry'!$I$5:$I$228,5+($B208-1)*Setup!$B$13+$D208-1-4),""))</f>
        <v/>
      </c>
      <c r="N208" s="34" t="str">
        <f>IF($G208="","",IFERROR(INDEX('Match Entry'!$J$5:$J$228,5+($B208-1)*Setup!$B$13+$D208-1-4),""))</f>
        <v/>
      </c>
      <c r="O208" s="35" t="str">
        <f>IF($G208="","",IFERROR(INDEX('Match Entry'!$K$5:$K$228,5+($B208-1)*Setup!$B$13+$D208-1-4),""))</f>
        <v/>
      </c>
      <c r="P208" s="34" t="str">
        <f>IF($G208="","",IFERROR(INDEX('Match Entry'!$L$5:$L$228,5+($B208-1)*Setup!$B$13+$D208-1-4),""))</f>
        <v/>
      </c>
      <c r="Q208" s="35" t="str">
        <f>IF($G208="","",IFERROR(INDEX('Match Entry'!$M$5:$M$228,5+($B208-1)*Setup!$B$13+$D208-1-4),""))</f>
        <v/>
      </c>
      <c r="R208" s="34" t="str">
        <f>IF($G208="","",IFERROR(INDEX('Match Entry'!$N$5:$N$228,5+($B208-1)*Setup!$B$13+$D208-1-4),""))</f>
        <v/>
      </c>
      <c r="S208" s="35" t="str">
        <f>IF($G208="","",IFERROR(INDEX('Match Entry'!$O$5:$O$228,5+($B208-1)*Setup!$B$13+$D208-1-4),""))</f>
        <v/>
      </c>
      <c r="T208" s="33" t="str">
        <f t="shared" si="32"/>
        <v/>
      </c>
      <c r="U208" s="33" t="str">
        <f t="shared" si="33"/>
        <v/>
      </c>
      <c r="V208" s="33" t="str">
        <f t="shared" si="34"/>
        <v/>
      </c>
      <c r="W208" s="33" t="str">
        <f t="shared" si="35"/>
        <v/>
      </c>
      <c r="X208" s="30" t="str">
        <f>IF(OR($G208="",$I208=""),"",IF(OR($T208&gt;=Setup!$B$8,$U208&gt;=Setup!$B$8),1,""))</f>
        <v/>
      </c>
      <c r="Y208" s="30" t="str">
        <f t="shared" si="36"/>
        <v/>
      </c>
      <c r="Z208" s="33" t="str">
        <f>IF($X208=1,IF($T208&gt;$U208,Setup!$B$9,Setup!$B$10),"")</f>
        <v/>
      </c>
      <c r="AA208" s="33" t="str">
        <f>IF($X208=1,IF($U208&gt;$T208,Setup!$B$9,Setup!$B$10),"")</f>
        <v/>
      </c>
      <c r="AB208" s="30" t="str">
        <f t="shared" si="37"/>
        <v/>
      </c>
      <c r="AC208" s="30" t="str">
        <f t="shared" si="38"/>
        <v/>
      </c>
      <c r="AD208" s="30" t="str">
        <f t="shared" si="39"/>
        <v/>
      </c>
    </row>
    <row r="209" spans="1:30">
      <c r="A209" s="29">
        <v>208</v>
      </c>
      <c r="B209" s="29" t="str">
        <f>IF(INT(($A209-1)/28)+1&lt;=Setup!$B$5,INT(($A209-1)/28)+1,"")</f>
        <v/>
      </c>
      <c r="C209" s="29" t="str">
        <f t="shared" si="30"/>
        <v/>
      </c>
      <c r="D209" s="29">
        <f t="shared" si="31"/>
        <v>12</v>
      </c>
      <c r="E209" s="29" t="str">
        <f>IF($B209="","",IFERROR(INDEX('Fixture Library'!$C$2:$C$200,MATCH(Setup!$B$6*100+$D209,'Fixture Library'!$F$2:$F$200,0)),""))</f>
        <v/>
      </c>
      <c r="F209" s="30" t="str">
        <f>IF($B209="","",IFERROR(INDEX('Fixture Library'!$D$2:$D$200,MATCH(Setup!$B$6*100+$D209,'Fixture Library'!$F$2:$F$200,0)),""))</f>
        <v/>
      </c>
      <c r="G209" s="30" t="str">
        <f>IF($F209="","",INDEX(Teams!$E$2:$E$65,($B209-1)*8+$F209))</f>
        <v/>
      </c>
      <c r="H209" s="30" t="str">
        <f>IF($B209="","",IFERROR(INDEX('Fixture Library'!$E$2:$E$200,MATCH(Setup!$B$6*100+$D209,'Fixture Library'!$F$2:$F$200,0)),""))</f>
        <v/>
      </c>
      <c r="I209" s="30" t="str">
        <f>IF($H209="","",INDEX(Teams!$E$2:$E$65,($B209-1)*8+$H209))</f>
        <v/>
      </c>
      <c r="J209" s="34" t="str">
        <f>IF($G209="","",IFERROR(INDEX('Match Entry'!$F$5:$F$228,5+($B209-1)*Setup!$B$13+$D209-1-4),""))</f>
        <v/>
      </c>
      <c r="K209" s="35" t="str">
        <f>IF($G209="","",IFERROR(INDEX('Match Entry'!$G$5:$G$228,5+($B209-1)*Setup!$B$13+$D209-1-4),""))</f>
        <v/>
      </c>
      <c r="L209" s="34" t="str">
        <f>IF($G209="","",IFERROR(INDEX('Match Entry'!$H$5:$H$228,5+($B209-1)*Setup!$B$13+$D209-1-4),""))</f>
        <v/>
      </c>
      <c r="M209" s="35" t="str">
        <f>IF($G209="","",IFERROR(INDEX('Match Entry'!$I$5:$I$228,5+($B209-1)*Setup!$B$13+$D209-1-4),""))</f>
        <v/>
      </c>
      <c r="N209" s="34" t="str">
        <f>IF($G209="","",IFERROR(INDEX('Match Entry'!$J$5:$J$228,5+($B209-1)*Setup!$B$13+$D209-1-4),""))</f>
        <v/>
      </c>
      <c r="O209" s="35" t="str">
        <f>IF($G209="","",IFERROR(INDEX('Match Entry'!$K$5:$K$228,5+($B209-1)*Setup!$B$13+$D209-1-4),""))</f>
        <v/>
      </c>
      <c r="P209" s="34" t="str">
        <f>IF($G209="","",IFERROR(INDEX('Match Entry'!$L$5:$L$228,5+($B209-1)*Setup!$B$13+$D209-1-4),""))</f>
        <v/>
      </c>
      <c r="Q209" s="35" t="str">
        <f>IF($G209="","",IFERROR(INDEX('Match Entry'!$M$5:$M$228,5+($B209-1)*Setup!$B$13+$D209-1-4),""))</f>
        <v/>
      </c>
      <c r="R209" s="34" t="str">
        <f>IF($G209="","",IFERROR(INDEX('Match Entry'!$N$5:$N$228,5+($B209-1)*Setup!$B$13+$D209-1-4),""))</f>
        <v/>
      </c>
      <c r="S209" s="35" t="str">
        <f>IF($G209="","",IFERROR(INDEX('Match Entry'!$O$5:$O$228,5+($B209-1)*Setup!$B$13+$D209-1-4),""))</f>
        <v/>
      </c>
      <c r="T209" s="33" t="str">
        <f t="shared" si="32"/>
        <v/>
      </c>
      <c r="U209" s="33" t="str">
        <f t="shared" si="33"/>
        <v/>
      </c>
      <c r="V209" s="33" t="str">
        <f t="shared" si="34"/>
        <v/>
      </c>
      <c r="W209" s="33" t="str">
        <f t="shared" si="35"/>
        <v/>
      </c>
      <c r="X209" s="30" t="str">
        <f>IF(OR($G209="",$I209=""),"",IF(OR($T209&gt;=Setup!$B$8,$U209&gt;=Setup!$B$8),1,""))</f>
        <v/>
      </c>
      <c r="Y209" s="30" t="str">
        <f t="shared" si="36"/>
        <v/>
      </c>
      <c r="Z209" s="33" t="str">
        <f>IF($X209=1,IF($T209&gt;$U209,Setup!$B$9,Setup!$B$10),"")</f>
        <v/>
      </c>
      <c r="AA209" s="33" t="str">
        <f>IF($X209=1,IF($U209&gt;$T209,Setup!$B$9,Setup!$B$10),"")</f>
        <v/>
      </c>
      <c r="AB209" s="30" t="str">
        <f t="shared" si="37"/>
        <v/>
      </c>
      <c r="AC209" s="30" t="str">
        <f t="shared" si="38"/>
        <v/>
      </c>
      <c r="AD209" s="30" t="str">
        <f t="shared" si="39"/>
        <v/>
      </c>
    </row>
    <row r="210" spans="1:30">
      <c r="A210" s="29">
        <v>209</v>
      </c>
      <c r="B210" s="29" t="str">
        <f>IF(INT(($A210-1)/28)+1&lt;=Setup!$B$5,INT(($A210-1)/28)+1,"")</f>
        <v/>
      </c>
      <c r="C210" s="29" t="str">
        <f t="shared" si="30"/>
        <v/>
      </c>
      <c r="D210" s="29">
        <f t="shared" si="31"/>
        <v>13</v>
      </c>
      <c r="E210" s="29" t="str">
        <f>IF($B210="","",IFERROR(INDEX('Fixture Library'!$C$2:$C$200,MATCH(Setup!$B$6*100+$D210,'Fixture Library'!$F$2:$F$200,0)),""))</f>
        <v/>
      </c>
      <c r="F210" s="30" t="str">
        <f>IF($B210="","",IFERROR(INDEX('Fixture Library'!$D$2:$D$200,MATCH(Setup!$B$6*100+$D210,'Fixture Library'!$F$2:$F$200,0)),""))</f>
        <v/>
      </c>
      <c r="G210" s="30" t="str">
        <f>IF($F210="","",INDEX(Teams!$E$2:$E$65,($B210-1)*8+$F210))</f>
        <v/>
      </c>
      <c r="H210" s="30" t="str">
        <f>IF($B210="","",IFERROR(INDEX('Fixture Library'!$E$2:$E$200,MATCH(Setup!$B$6*100+$D210,'Fixture Library'!$F$2:$F$200,0)),""))</f>
        <v/>
      </c>
      <c r="I210" s="30" t="str">
        <f>IF($H210="","",INDEX(Teams!$E$2:$E$65,($B210-1)*8+$H210))</f>
        <v/>
      </c>
      <c r="J210" s="34" t="str">
        <f>IF($G210="","",IFERROR(INDEX('Match Entry'!$F$5:$F$228,5+($B210-1)*Setup!$B$13+$D210-1-4),""))</f>
        <v/>
      </c>
      <c r="K210" s="35" t="str">
        <f>IF($G210="","",IFERROR(INDEX('Match Entry'!$G$5:$G$228,5+($B210-1)*Setup!$B$13+$D210-1-4),""))</f>
        <v/>
      </c>
      <c r="L210" s="34" t="str">
        <f>IF($G210="","",IFERROR(INDEX('Match Entry'!$H$5:$H$228,5+($B210-1)*Setup!$B$13+$D210-1-4),""))</f>
        <v/>
      </c>
      <c r="M210" s="35" t="str">
        <f>IF($G210="","",IFERROR(INDEX('Match Entry'!$I$5:$I$228,5+($B210-1)*Setup!$B$13+$D210-1-4),""))</f>
        <v/>
      </c>
      <c r="N210" s="34" t="str">
        <f>IF($G210="","",IFERROR(INDEX('Match Entry'!$J$5:$J$228,5+($B210-1)*Setup!$B$13+$D210-1-4),""))</f>
        <v/>
      </c>
      <c r="O210" s="35" t="str">
        <f>IF($G210="","",IFERROR(INDEX('Match Entry'!$K$5:$K$228,5+($B210-1)*Setup!$B$13+$D210-1-4),""))</f>
        <v/>
      </c>
      <c r="P210" s="34" t="str">
        <f>IF($G210="","",IFERROR(INDEX('Match Entry'!$L$5:$L$228,5+($B210-1)*Setup!$B$13+$D210-1-4),""))</f>
        <v/>
      </c>
      <c r="Q210" s="35" t="str">
        <f>IF($G210="","",IFERROR(INDEX('Match Entry'!$M$5:$M$228,5+($B210-1)*Setup!$B$13+$D210-1-4),""))</f>
        <v/>
      </c>
      <c r="R210" s="34" t="str">
        <f>IF($G210="","",IFERROR(INDEX('Match Entry'!$N$5:$N$228,5+($B210-1)*Setup!$B$13+$D210-1-4),""))</f>
        <v/>
      </c>
      <c r="S210" s="35" t="str">
        <f>IF($G210="","",IFERROR(INDEX('Match Entry'!$O$5:$O$228,5+($B210-1)*Setup!$B$13+$D210-1-4),""))</f>
        <v/>
      </c>
      <c r="T210" s="33" t="str">
        <f t="shared" si="32"/>
        <v/>
      </c>
      <c r="U210" s="33" t="str">
        <f t="shared" si="33"/>
        <v/>
      </c>
      <c r="V210" s="33" t="str">
        <f t="shared" si="34"/>
        <v/>
      </c>
      <c r="W210" s="33" t="str">
        <f t="shared" si="35"/>
        <v/>
      </c>
      <c r="X210" s="30" t="str">
        <f>IF(OR($G210="",$I210=""),"",IF(OR($T210&gt;=Setup!$B$8,$U210&gt;=Setup!$B$8),1,""))</f>
        <v/>
      </c>
      <c r="Y210" s="30" t="str">
        <f t="shared" si="36"/>
        <v/>
      </c>
      <c r="Z210" s="33" t="str">
        <f>IF($X210=1,IF($T210&gt;$U210,Setup!$B$9,Setup!$B$10),"")</f>
        <v/>
      </c>
      <c r="AA210" s="33" t="str">
        <f>IF($X210=1,IF($U210&gt;$T210,Setup!$B$9,Setup!$B$10),"")</f>
        <v/>
      </c>
      <c r="AB210" s="30" t="str">
        <f t="shared" si="37"/>
        <v/>
      </c>
      <c r="AC210" s="30" t="str">
        <f t="shared" si="38"/>
        <v/>
      </c>
      <c r="AD210" s="30" t="str">
        <f t="shared" si="39"/>
        <v/>
      </c>
    </row>
    <row r="211" spans="1:30">
      <c r="A211" s="29">
        <v>210</v>
      </c>
      <c r="B211" s="29" t="str">
        <f>IF(INT(($A211-1)/28)+1&lt;=Setup!$B$5,INT(($A211-1)/28)+1,"")</f>
        <v/>
      </c>
      <c r="C211" s="29" t="str">
        <f t="shared" si="30"/>
        <v/>
      </c>
      <c r="D211" s="29">
        <f t="shared" si="31"/>
        <v>14</v>
      </c>
      <c r="E211" s="29" t="str">
        <f>IF($B211="","",IFERROR(INDEX('Fixture Library'!$C$2:$C$200,MATCH(Setup!$B$6*100+$D211,'Fixture Library'!$F$2:$F$200,0)),""))</f>
        <v/>
      </c>
      <c r="F211" s="30" t="str">
        <f>IF($B211="","",IFERROR(INDEX('Fixture Library'!$D$2:$D$200,MATCH(Setup!$B$6*100+$D211,'Fixture Library'!$F$2:$F$200,0)),""))</f>
        <v/>
      </c>
      <c r="G211" s="30" t="str">
        <f>IF($F211="","",INDEX(Teams!$E$2:$E$65,($B211-1)*8+$F211))</f>
        <v/>
      </c>
      <c r="H211" s="30" t="str">
        <f>IF($B211="","",IFERROR(INDEX('Fixture Library'!$E$2:$E$200,MATCH(Setup!$B$6*100+$D211,'Fixture Library'!$F$2:$F$200,0)),""))</f>
        <v/>
      </c>
      <c r="I211" s="30" t="str">
        <f>IF($H211="","",INDEX(Teams!$E$2:$E$65,($B211-1)*8+$H211))</f>
        <v/>
      </c>
      <c r="J211" s="34" t="str">
        <f>IF($G211="","",IFERROR(INDEX('Match Entry'!$F$5:$F$228,5+($B211-1)*Setup!$B$13+$D211-1-4),""))</f>
        <v/>
      </c>
      <c r="K211" s="35" t="str">
        <f>IF($G211="","",IFERROR(INDEX('Match Entry'!$G$5:$G$228,5+($B211-1)*Setup!$B$13+$D211-1-4),""))</f>
        <v/>
      </c>
      <c r="L211" s="34" t="str">
        <f>IF($G211="","",IFERROR(INDEX('Match Entry'!$H$5:$H$228,5+($B211-1)*Setup!$B$13+$D211-1-4),""))</f>
        <v/>
      </c>
      <c r="M211" s="35" t="str">
        <f>IF($G211="","",IFERROR(INDEX('Match Entry'!$I$5:$I$228,5+($B211-1)*Setup!$B$13+$D211-1-4),""))</f>
        <v/>
      </c>
      <c r="N211" s="34" t="str">
        <f>IF($G211="","",IFERROR(INDEX('Match Entry'!$J$5:$J$228,5+($B211-1)*Setup!$B$13+$D211-1-4),""))</f>
        <v/>
      </c>
      <c r="O211" s="35" t="str">
        <f>IF($G211="","",IFERROR(INDEX('Match Entry'!$K$5:$K$228,5+($B211-1)*Setup!$B$13+$D211-1-4),""))</f>
        <v/>
      </c>
      <c r="P211" s="34" t="str">
        <f>IF($G211="","",IFERROR(INDEX('Match Entry'!$L$5:$L$228,5+($B211-1)*Setup!$B$13+$D211-1-4),""))</f>
        <v/>
      </c>
      <c r="Q211" s="35" t="str">
        <f>IF($G211="","",IFERROR(INDEX('Match Entry'!$M$5:$M$228,5+($B211-1)*Setup!$B$13+$D211-1-4),""))</f>
        <v/>
      </c>
      <c r="R211" s="34" t="str">
        <f>IF($G211="","",IFERROR(INDEX('Match Entry'!$N$5:$N$228,5+($B211-1)*Setup!$B$13+$D211-1-4),""))</f>
        <v/>
      </c>
      <c r="S211" s="35" t="str">
        <f>IF($G211="","",IFERROR(INDEX('Match Entry'!$O$5:$O$228,5+($B211-1)*Setup!$B$13+$D211-1-4),""))</f>
        <v/>
      </c>
      <c r="T211" s="33" t="str">
        <f t="shared" si="32"/>
        <v/>
      </c>
      <c r="U211" s="33" t="str">
        <f t="shared" si="33"/>
        <v/>
      </c>
      <c r="V211" s="33" t="str">
        <f t="shared" si="34"/>
        <v/>
      </c>
      <c r="W211" s="33" t="str">
        <f t="shared" si="35"/>
        <v/>
      </c>
      <c r="X211" s="30" t="str">
        <f>IF(OR($G211="",$I211=""),"",IF(OR($T211&gt;=Setup!$B$8,$U211&gt;=Setup!$B$8),1,""))</f>
        <v/>
      </c>
      <c r="Y211" s="30" t="str">
        <f t="shared" si="36"/>
        <v/>
      </c>
      <c r="Z211" s="33" t="str">
        <f>IF($X211=1,IF($T211&gt;$U211,Setup!$B$9,Setup!$B$10),"")</f>
        <v/>
      </c>
      <c r="AA211" s="33" t="str">
        <f>IF($X211=1,IF($U211&gt;$T211,Setup!$B$9,Setup!$B$10),"")</f>
        <v/>
      </c>
      <c r="AB211" s="30" t="str">
        <f t="shared" si="37"/>
        <v/>
      </c>
      <c r="AC211" s="30" t="str">
        <f t="shared" si="38"/>
        <v/>
      </c>
      <c r="AD211" s="30" t="str">
        <f t="shared" si="39"/>
        <v/>
      </c>
    </row>
    <row r="212" spans="1:30">
      <c r="A212" s="29">
        <v>211</v>
      </c>
      <c r="B212" s="29" t="str">
        <f>IF(INT(($A212-1)/28)+1&lt;=Setup!$B$5,INT(($A212-1)/28)+1,"")</f>
        <v/>
      </c>
      <c r="C212" s="29" t="str">
        <f t="shared" si="30"/>
        <v/>
      </c>
      <c r="D212" s="29">
        <f t="shared" si="31"/>
        <v>15</v>
      </c>
      <c r="E212" s="29" t="str">
        <f>IF($B212="","",IFERROR(INDEX('Fixture Library'!$C$2:$C$200,MATCH(Setup!$B$6*100+$D212,'Fixture Library'!$F$2:$F$200,0)),""))</f>
        <v/>
      </c>
      <c r="F212" s="30" t="str">
        <f>IF($B212="","",IFERROR(INDEX('Fixture Library'!$D$2:$D$200,MATCH(Setup!$B$6*100+$D212,'Fixture Library'!$F$2:$F$200,0)),""))</f>
        <v/>
      </c>
      <c r="G212" s="30" t="str">
        <f>IF($F212="","",INDEX(Teams!$E$2:$E$65,($B212-1)*8+$F212))</f>
        <v/>
      </c>
      <c r="H212" s="30" t="str">
        <f>IF($B212="","",IFERROR(INDEX('Fixture Library'!$E$2:$E$200,MATCH(Setup!$B$6*100+$D212,'Fixture Library'!$F$2:$F$200,0)),""))</f>
        <v/>
      </c>
      <c r="I212" s="30" t="str">
        <f>IF($H212="","",INDEX(Teams!$E$2:$E$65,($B212-1)*8+$H212))</f>
        <v/>
      </c>
      <c r="J212" s="34" t="str">
        <f>IF($G212="","",IFERROR(INDEX('Match Entry'!$F$5:$F$228,5+($B212-1)*Setup!$B$13+$D212-1-4),""))</f>
        <v/>
      </c>
      <c r="K212" s="35" t="str">
        <f>IF($G212="","",IFERROR(INDEX('Match Entry'!$G$5:$G$228,5+($B212-1)*Setup!$B$13+$D212-1-4),""))</f>
        <v/>
      </c>
      <c r="L212" s="34" t="str">
        <f>IF($G212="","",IFERROR(INDEX('Match Entry'!$H$5:$H$228,5+($B212-1)*Setup!$B$13+$D212-1-4),""))</f>
        <v/>
      </c>
      <c r="M212" s="35" t="str">
        <f>IF($G212="","",IFERROR(INDEX('Match Entry'!$I$5:$I$228,5+($B212-1)*Setup!$B$13+$D212-1-4),""))</f>
        <v/>
      </c>
      <c r="N212" s="34" t="str">
        <f>IF($G212="","",IFERROR(INDEX('Match Entry'!$J$5:$J$228,5+($B212-1)*Setup!$B$13+$D212-1-4),""))</f>
        <v/>
      </c>
      <c r="O212" s="35" t="str">
        <f>IF($G212="","",IFERROR(INDEX('Match Entry'!$K$5:$K$228,5+($B212-1)*Setup!$B$13+$D212-1-4),""))</f>
        <v/>
      </c>
      <c r="P212" s="34" t="str">
        <f>IF($G212="","",IFERROR(INDEX('Match Entry'!$L$5:$L$228,5+($B212-1)*Setup!$B$13+$D212-1-4),""))</f>
        <v/>
      </c>
      <c r="Q212" s="35" t="str">
        <f>IF($G212="","",IFERROR(INDEX('Match Entry'!$M$5:$M$228,5+($B212-1)*Setup!$B$13+$D212-1-4),""))</f>
        <v/>
      </c>
      <c r="R212" s="34" t="str">
        <f>IF($G212="","",IFERROR(INDEX('Match Entry'!$N$5:$N$228,5+($B212-1)*Setup!$B$13+$D212-1-4),""))</f>
        <v/>
      </c>
      <c r="S212" s="35" t="str">
        <f>IF($G212="","",IFERROR(INDEX('Match Entry'!$O$5:$O$228,5+($B212-1)*Setup!$B$13+$D212-1-4),""))</f>
        <v/>
      </c>
      <c r="T212" s="33" t="str">
        <f t="shared" si="32"/>
        <v/>
      </c>
      <c r="U212" s="33" t="str">
        <f t="shared" si="33"/>
        <v/>
      </c>
      <c r="V212" s="33" t="str">
        <f t="shared" si="34"/>
        <v/>
      </c>
      <c r="W212" s="33" t="str">
        <f t="shared" si="35"/>
        <v/>
      </c>
      <c r="X212" s="30" t="str">
        <f>IF(OR($G212="",$I212=""),"",IF(OR($T212&gt;=Setup!$B$8,$U212&gt;=Setup!$B$8),1,""))</f>
        <v/>
      </c>
      <c r="Y212" s="30" t="str">
        <f t="shared" si="36"/>
        <v/>
      </c>
      <c r="Z212" s="33" t="str">
        <f>IF($X212=1,IF($T212&gt;$U212,Setup!$B$9,Setup!$B$10),"")</f>
        <v/>
      </c>
      <c r="AA212" s="33" t="str">
        <f>IF($X212=1,IF($U212&gt;$T212,Setup!$B$9,Setup!$B$10),"")</f>
        <v/>
      </c>
      <c r="AB212" s="30" t="str">
        <f t="shared" si="37"/>
        <v/>
      </c>
      <c r="AC212" s="30" t="str">
        <f t="shared" si="38"/>
        <v/>
      </c>
      <c r="AD212" s="30" t="str">
        <f t="shared" si="39"/>
        <v/>
      </c>
    </row>
    <row r="213" spans="1:30">
      <c r="A213" s="29">
        <v>212</v>
      </c>
      <c r="B213" s="29" t="str">
        <f>IF(INT(($A213-1)/28)+1&lt;=Setup!$B$5,INT(($A213-1)/28)+1,"")</f>
        <v/>
      </c>
      <c r="C213" s="29" t="str">
        <f t="shared" si="30"/>
        <v/>
      </c>
      <c r="D213" s="29">
        <f t="shared" si="31"/>
        <v>16</v>
      </c>
      <c r="E213" s="29" t="str">
        <f>IF($B213="","",IFERROR(INDEX('Fixture Library'!$C$2:$C$200,MATCH(Setup!$B$6*100+$D213,'Fixture Library'!$F$2:$F$200,0)),""))</f>
        <v/>
      </c>
      <c r="F213" s="30" t="str">
        <f>IF($B213="","",IFERROR(INDEX('Fixture Library'!$D$2:$D$200,MATCH(Setup!$B$6*100+$D213,'Fixture Library'!$F$2:$F$200,0)),""))</f>
        <v/>
      </c>
      <c r="G213" s="30" t="str">
        <f>IF($F213="","",INDEX(Teams!$E$2:$E$65,($B213-1)*8+$F213))</f>
        <v/>
      </c>
      <c r="H213" s="30" t="str">
        <f>IF($B213="","",IFERROR(INDEX('Fixture Library'!$E$2:$E$200,MATCH(Setup!$B$6*100+$D213,'Fixture Library'!$F$2:$F$200,0)),""))</f>
        <v/>
      </c>
      <c r="I213" s="30" t="str">
        <f>IF($H213="","",INDEX(Teams!$E$2:$E$65,($B213-1)*8+$H213))</f>
        <v/>
      </c>
      <c r="J213" s="34" t="str">
        <f>IF($G213="","",IFERROR(INDEX('Match Entry'!$F$5:$F$228,5+($B213-1)*Setup!$B$13+$D213-1-4),""))</f>
        <v/>
      </c>
      <c r="K213" s="35" t="str">
        <f>IF($G213="","",IFERROR(INDEX('Match Entry'!$G$5:$G$228,5+($B213-1)*Setup!$B$13+$D213-1-4),""))</f>
        <v/>
      </c>
      <c r="L213" s="34" t="str">
        <f>IF($G213="","",IFERROR(INDEX('Match Entry'!$H$5:$H$228,5+($B213-1)*Setup!$B$13+$D213-1-4),""))</f>
        <v/>
      </c>
      <c r="M213" s="35" t="str">
        <f>IF($G213="","",IFERROR(INDEX('Match Entry'!$I$5:$I$228,5+($B213-1)*Setup!$B$13+$D213-1-4),""))</f>
        <v/>
      </c>
      <c r="N213" s="34" t="str">
        <f>IF($G213="","",IFERROR(INDEX('Match Entry'!$J$5:$J$228,5+($B213-1)*Setup!$B$13+$D213-1-4),""))</f>
        <v/>
      </c>
      <c r="O213" s="35" t="str">
        <f>IF($G213="","",IFERROR(INDEX('Match Entry'!$K$5:$K$228,5+($B213-1)*Setup!$B$13+$D213-1-4),""))</f>
        <v/>
      </c>
      <c r="P213" s="34" t="str">
        <f>IF($G213="","",IFERROR(INDEX('Match Entry'!$L$5:$L$228,5+($B213-1)*Setup!$B$13+$D213-1-4),""))</f>
        <v/>
      </c>
      <c r="Q213" s="35" t="str">
        <f>IF($G213="","",IFERROR(INDEX('Match Entry'!$M$5:$M$228,5+($B213-1)*Setup!$B$13+$D213-1-4),""))</f>
        <v/>
      </c>
      <c r="R213" s="34" t="str">
        <f>IF($G213="","",IFERROR(INDEX('Match Entry'!$N$5:$N$228,5+($B213-1)*Setup!$B$13+$D213-1-4),""))</f>
        <v/>
      </c>
      <c r="S213" s="35" t="str">
        <f>IF($G213="","",IFERROR(INDEX('Match Entry'!$O$5:$O$228,5+($B213-1)*Setup!$B$13+$D213-1-4),""))</f>
        <v/>
      </c>
      <c r="T213" s="33" t="str">
        <f t="shared" si="32"/>
        <v/>
      </c>
      <c r="U213" s="33" t="str">
        <f t="shared" si="33"/>
        <v/>
      </c>
      <c r="V213" s="33" t="str">
        <f t="shared" si="34"/>
        <v/>
      </c>
      <c r="W213" s="33" t="str">
        <f t="shared" si="35"/>
        <v/>
      </c>
      <c r="X213" s="30" t="str">
        <f>IF(OR($G213="",$I213=""),"",IF(OR($T213&gt;=Setup!$B$8,$U213&gt;=Setup!$B$8),1,""))</f>
        <v/>
      </c>
      <c r="Y213" s="30" t="str">
        <f t="shared" si="36"/>
        <v/>
      </c>
      <c r="Z213" s="33" t="str">
        <f>IF($X213=1,IF($T213&gt;$U213,Setup!$B$9,Setup!$B$10),"")</f>
        <v/>
      </c>
      <c r="AA213" s="33" t="str">
        <f>IF($X213=1,IF($U213&gt;$T213,Setup!$B$9,Setup!$B$10),"")</f>
        <v/>
      </c>
      <c r="AB213" s="30" t="str">
        <f t="shared" si="37"/>
        <v/>
      </c>
      <c r="AC213" s="30" t="str">
        <f t="shared" si="38"/>
        <v/>
      </c>
      <c r="AD213" s="30" t="str">
        <f t="shared" si="39"/>
        <v/>
      </c>
    </row>
    <row r="214" spans="1:30">
      <c r="A214" s="29">
        <v>213</v>
      </c>
      <c r="B214" s="29" t="str">
        <f>IF(INT(($A214-1)/28)+1&lt;=Setup!$B$5,INT(($A214-1)/28)+1,"")</f>
        <v/>
      </c>
      <c r="C214" s="29" t="str">
        <f t="shared" si="30"/>
        <v/>
      </c>
      <c r="D214" s="29">
        <f t="shared" si="31"/>
        <v>17</v>
      </c>
      <c r="E214" s="29" t="str">
        <f>IF($B214="","",IFERROR(INDEX('Fixture Library'!$C$2:$C$200,MATCH(Setup!$B$6*100+$D214,'Fixture Library'!$F$2:$F$200,0)),""))</f>
        <v/>
      </c>
      <c r="F214" s="30" t="str">
        <f>IF($B214="","",IFERROR(INDEX('Fixture Library'!$D$2:$D$200,MATCH(Setup!$B$6*100+$D214,'Fixture Library'!$F$2:$F$200,0)),""))</f>
        <v/>
      </c>
      <c r="G214" s="30" t="str">
        <f>IF($F214="","",INDEX(Teams!$E$2:$E$65,($B214-1)*8+$F214))</f>
        <v/>
      </c>
      <c r="H214" s="30" t="str">
        <f>IF($B214="","",IFERROR(INDEX('Fixture Library'!$E$2:$E$200,MATCH(Setup!$B$6*100+$D214,'Fixture Library'!$F$2:$F$200,0)),""))</f>
        <v/>
      </c>
      <c r="I214" s="30" t="str">
        <f>IF($H214="","",INDEX(Teams!$E$2:$E$65,($B214-1)*8+$H214))</f>
        <v/>
      </c>
      <c r="J214" s="34" t="str">
        <f>IF($G214="","",IFERROR(INDEX('Match Entry'!$F$5:$F$228,5+($B214-1)*Setup!$B$13+$D214-1-4),""))</f>
        <v/>
      </c>
      <c r="K214" s="35" t="str">
        <f>IF($G214="","",IFERROR(INDEX('Match Entry'!$G$5:$G$228,5+($B214-1)*Setup!$B$13+$D214-1-4),""))</f>
        <v/>
      </c>
      <c r="L214" s="34" t="str">
        <f>IF($G214="","",IFERROR(INDEX('Match Entry'!$H$5:$H$228,5+($B214-1)*Setup!$B$13+$D214-1-4),""))</f>
        <v/>
      </c>
      <c r="M214" s="35" t="str">
        <f>IF($G214="","",IFERROR(INDEX('Match Entry'!$I$5:$I$228,5+($B214-1)*Setup!$B$13+$D214-1-4),""))</f>
        <v/>
      </c>
      <c r="N214" s="34" t="str">
        <f>IF($G214="","",IFERROR(INDEX('Match Entry'!$J$5:$J$228,5+($B214-1)*Setup!$B$13+$D214-1-4),""))</f>
        <v/>
      </c>
      <c r="O214" s="35" t="str">
        <f>IF($G214="","",IFERROR(INDEX('Match Entry'!$K$5:$K$228,5+($B214-1)*Setup!$B$13+$D214-1-4),""))</f>
        <v/>
      </c>
      <c r="P214" s="34" t="str">
        <f>IF($G214="","",IFERROR(INDEX('Match Entry'!$L$5:$L$228,5+($B214-1)*Setup!$B$13+$D214-1-4),""))</f>
        <v/>
      </c>
      <c r="Q214" s="35" t="str">
        <f>IF($G214="","",IFERROR(INDEX('Match Entry'!$M$5:$M$228,5+($B214-1)*Setup!$B$13+$D214-1-4),""))</f>
        <v/>
      </c>
      <c r="R214" s="34" t="str">
        <f>IF($G214="","",IFERROR(INDEX('Match Entry'!$N$5:$N$228,5+($B214-1)*Setup!$B$13+$D214-1-4),""))</f>
        <v/>
      </c>
      <c r="S214" s="35" t="str">
        <f>IF($G214="","",IFERROR(INDEX('Match Entry'!$O$5:$O$228,5+($B214-1)*Setup!$B$13+$D214-1-4),""))</f>
        <v/>
      </c>
      <c r="T214" s="33" t="str">
        <f t="shared" si="32"/>
        <v/>
      </c>
      <c r="U214" s="33" t="str">
        <f t="shared" si="33"/>
        <v/>
      </c>
      <c r="V214" s="33" t="str">
        <f t="shared" si="34"/>
        <v/>
      </c>
      <c r="W214" s="33" t="str">
        <f t="shared" si="35"/>
        <v/>
      </c>
      <c r="X214" s="30" t="str">
        <f>IF(OR($G214="",$I214=""),"",IF(OR($T214&gt;=Setup!$B$8,$U214&gt;=Setup!$B$8),1,""))</f>
        <v/>
      </c>
      <c r="Y214" s="30" t="str">
        <f t="shared" si="36"/>
        <v/>
      </c>
      <c r="Z214" s="33" t="str">
        <f>IF($X214=1,IF($T214&gt;$U214,Setup!$B$9,Setup!$B$10),"")</f>
        <v/>
      </c>
      <c r="AA214" s="33" t="str">
        <f>IF($X214=1,IF($U214&gt;$T214,Setup!$B$9,Setup!$B$10),"")</f>
        <v/>
      </c>
      <c r="AB214" s="30" t="str">
        <f t="shared" si="37"/>
        <v/>
      </c>
      <c r="AC214" s="30" t="str">
        <f t="shared" si="38"/>
        <v/>
      </c>
      <c r="AD214" s="30" t="str">
        <f t="shared" si="39"/>
        <v/>
      </c>
    </row>
    <row r="215" spans="1:30">
      <c r="A215" s="29">
        <v>214</v>
      </c>
      <c r="B215" s="29" t="str">
        <f>IF(INT(($A215-1)/28)+1&lt;=Setup!$B$5,INT(($A215-1)/28)+1,"")</f>
        <v/>
      </c>
      <c r="C215" s="29" t="str">
        <f t="shared" si="30"/>
        <v/>
      </c>
      <c r="D215" s="29">
        <f t="shared" si="31"/>
        <v>18</v>
      </c>
      <c r="E215" s="29" t="str">
        <f>IF($B215="","",IFERROR(INDEX('Fixture Library'!$C$2:$C$200,MATCH(Setup!$B$6*100+$D215,'Fixture Library'!$F$2:$F$200,0)),""))</f>
        <v/>
      </c>
      <c r="F215" s="30" t="str">
        <f>IF($B215="","",IFERROR(INDEX('Fixture Library'!$D$2:$D$200,MATCH(Setup!$B$6*100+$D215,'Fixture Library'!$F$2:$F$200,0)),""))</f>
        <v/>
      </c>
      <c r="G215" s="30" t="str">
        <f>IF($F215="","",INDEX(Teams!$E$2:$E$65,($B215-1)*8+$F215))</f>
        <v/>
      </c>
      <c r="H215" s="30" t="str">
        <f>IF($B215="","",IFERROR(INDEX('Fixture Library'!$E$2:$E$200,MATCH(Setup!$B$6*100+$D215,'Fixture Library'!$F$2:$F$200,0)),""))</f>
        <v/>
      </c>
      <c r="I215" s="30" t="str">
        <f>IF($H215="","",INDEX(Teams!$E$2:$E$65,($B215-1)*8+$H215))</f>
        <v/>
      </c>
      <c r="J215" s="34" t="str">
        <f>IF($G215="","",IFERROR(INDEX('Match Entry'!$F$5:$F$228,5+($B215-1)*Setup!$B$13+$D215-1-4),""))</f>
        <v/>
      </c>
      <c r="K215" s="35" t="str">
        <f>IF($G215="","",IFERROR(INDEX('Match Entry'!$G$5:$G$228,5+($B215-1)*Setup!$B$13+$D215-1-4),""))</f>
        <v/>
      </c>
      <c r="L215" s="34" t="str">
        <f>IF($G215="","",IFERROR(INDEX('Match Entry'!$H$5:$H$228,5+($B215-1)*Setup!$B$13+$D215-1-4),""))</f>
        <v/>
      </c>
      <c r="M215" s="35" t="str">
        <f>IF($G215="","",IFERROR(INDEX('Match Entry'!$I$5:$I$228,5+($B215-1)*Setup!$B$13+$D215-1-4),""))</f>
        <v/>
      </c>
      <c r="N215" s="34" t="str">
        <f>IF($G215="","",IFERROR(INDEX('Match Entry'!$J$5:$J$228,5+($B215-1)*Setup!$B$13+$D215-1-4),""))</f>
        <v/>
      </c>
      <c r="O215" s="35" t="str">
        <f>IF($G215="","",IFERROR(INDEX('Match Entry'!$K$5:$K$228,5+($B215-1)*Setup!$B$13+$D215-1-4),""))</f>
        <v/>
      </c>
      <c r="P215" s="34" t="str">
        <f>IF($G215="","",IFERROR(INDEX('Match Entry'!$L$5:$L$228,5+($B215-1)*Setup!$B$13+$D215-1-4),""))</f>
        <v/>
      </c>
      <c r="Q215" s="35" t="str">
        <f>IF($G215="","",IFERROR(INDEX('Match Entry'!$M$5:$M$228,5+($B215-1)*Setup!$B$13+$D215-1-4),""))</f>
        <v/>
      </c>
      <c r="R215" s="34" t="str">
        <f>IF($G215="","",IFERROR(INDEX('Match Entry'!$N$5:$N$228,5+($B215-1)*Setup!$B$13+$D215-1-4),""))</f>
        <v/>
      </c>
      <c r="S215" s="35" t="str">
        <f>IF($G215="","",IFERROR(INDEX('Match Entry'!$O$5:$O$228,5+($B215-1)*Setup!$B$13+$D215-1-4),""))</f>
        <v/>
      </c>
      <c r="T215" s="33" t="str">
        <f t="shared" si="32"/>
        <v/>
      </c>
      <c r="U215" s="33" t="str">
        <f t="shared" si="33"/>
        <v/>
      </c>
      <c r="V215" s="33" t="str">
        <f t="shared" si="34"/>
        <v/>
      </c>
      <c r="W215" s="33" t="str">
        <f t="shared" si="35"/>
        <v/>
      </c>
      <c r="X215" s="30" t="str">
        <f>IF(OR($G215="",$I215=""),"",IF(OR($T215&gt;=Setup!$B$8,$U215&gt;=Setup!$B$8),1,""))</f>
        <v/>
      </c>
      <c r="Y215" s="30" t="str">
        <f t="shared" si="36"/>
        <v/>
      </c>
      <c r="Z215" s="33" t="str">
        <f>IF($X215=1,IF($T215&gt;$U215,Setup!$B$9,Setup!$B$10),"")</f>
        <v/>
      </c>
      <c r="AA215" s="33" t="str">
        <f>IF($X215=1,IF($U215&gt;$T215,Setup!$B$9,Setup!$B$10),"")</f>
        <v/>
      </c>
      <c r="AB215" s="30" t="str">
        <f t="shared" si="37"/>
        <v/>
      </c>
      <c r="AC215" s="30" t="str">
        <f t="shared" si="38"/>
        <v/>
      </c>
      <c r="AD215" s="30" t="str">
        <f t="shared" si="39"/>
        <v/>
      </c>
    </row>
    <row r="216" spans="1:30">
      <c r="A216" s="29">
        <v>215</v>
      </c>
      <c r="B216" s="29" t="str">
        <f>IF(INT(($A216-1)/28)+1&lt;=Setup!$B$5,INT(($A216-1)/28)+1,"")</f>
        <v/>
      </c>
      <c r="C216" s="29" t="str">
        <f t="shared" si="30"/>
        <v/>
      </c>
      <c r="D216" s="29">
        <f t="shared" si="31"/>
        <v>19</v>
      </c>
      <c r="E216" s="29" t="str">
        <f>IF($B216="","",IFERROR(INDEX('Fixture Library'!$C$2:$C$200,MATCH(Setup!$B$6*100+$D216,'Fixture Library'!$F$2:$F$200,0)),""))</f>
        <v/>
      </c>
      <c r="F216" s="30" t="str">
        <f>IF($B216="","",IFERROR(INDEX('Fixture Library'!$D$2:$D$200,MATCH(Setup!$B$6*100+$D216,'Fixture Library'!$F$2:$F$200,0)),""))</f>
        <v/>
      </c>
      <c r="G216" s="30" t="str">
        <f>IF($F216="","",INDEX(Teams!$E$2:$E$65,($B216-1)*8+$F216))</f>
        <v/>
      </c>
      <c r="H216" s="30" t="str">
        <f>IF($B216="","",IFERROR(INDEX('Fixture Library'!$E$2:$E$200,MATCH(Setup!$B$6*100+$D216,'Fixture Library'!$F$2:$F$200,0)),""))</f>
        <v/>
      </c>
      <c r="I216" s="30" t="str">
        <f>IF($H216="","",INDEX(Teams!$E$2:$E$65,($B216-1)*8+$H216))</f>
        <v/>
      </c>
      <c r="J216" s="34" t="str">
        <f>IF($G216="","",IFERROR(INDEX('Match Entry'!$F$5:$F$228,5+($B216-1)*Setup!$B$13+$D216-1-4),""))</f>
        <v/>
      </c>
      <c r="K216" s="35" t="str">
        <f>IF($G216="","",IFERROR(INDEX('Match Entry'!$G$5:$G$228,5+($B216-1)*Setup!$B$13+$D216-1-4),""))</f>
        <v/>
      </c>
      <c r="L216" s="34" t="str">
        <f>IF($G216="","",IFERROR(INDEX('Match Entry'!$H$5:$H$228,5+($B216-1)*Setup!$B$13+$D216-1-4),""))</f>
        <v/>
      </c>
      <c r="M216" s="35" t="str">
        <f>IF($G216="","",IFERROR(INDEX('Match Entry'!$I$5:$I$228,5+($B216-1)*Setup!$B$13+$D216-1-4),""))</f>
        <v/>
      </c>
      <c r="N216" s="34" t="str">
        <f>IF($G216="","",IFERROR(INDEX('Match Entry'!$J$5:$J$228,5+($B216-1)*Setup!$B$13+$D216-1-4),""))</f>
        <v/>
      </c>
      <c r="O216" s="35" t="str">
        <f>IF($G216="","",IFERROR(INDEX('Match Entry'!$K$5:$K$228,5+($B216-1)*Setup!$B$13+$D216-1-4),""))</f>
        <v/>
      </c>
      <c r="P216" s="34" t="str">
        <f>IF($G216="","",IFERROR(INDEX('Match Entry'!$L$5:$L$228,5+($B216-1)*Setup!$B$13+$D216-1-4),""))</f>
        <v/>
      </c>
      <c r="Q216" s="35" t="str">
        <f>IF($G216="","",IFERROR(INDEX('Match Entry'!$M$5:$M$228,5+($B216-1)*Setup!$B$13+$D216-1-4),""))</f>
        <v/>
      </c>
      <c r="R216" s="34" t="str">
        <f>IF($G216="","",IFERROR(INDEX('Match Entry'!$N$5:$N$228,5+($B216-1)*Setup!$B$13+$D216-1-4),""))</f>
        <v/>
      </c>
      <c r="S216" s="35" t="str">
        <f>IF($G216="","",IFERROR(INDEX('Match Entry'!$O$5:$O$228,5+($B216-1)*Setup!$B$13+$D216-1-4),""))</f>
        <v/>
      </c>
      <c r="T216" s="33" t="str">
        <f t="shared" si="32"/>
        <v/>
      </c>
      <c r="U216" s="33" t="str">
        <f t="shared" si="33"/>
        <v/>
      </c>
      <c r="V216" s="33" t="str">
        <f t="shared" si="34"/>
        <v/>
      </c>
      <c r="W216" s="33" t="str">
        <f t="shared" si="35"/>
        <v/>
      </c>
      <c r="X216" s="30" t="str">
        <f>IF(OR($G216="",$I216=""),"",IF(OR($T216&gt;=Setup!$B$8,$U216&gt;=Setup!$B$8),1,""))</f>
        <v/>
      </c>
      <c r="Y216" s="30" t="str">
        <f t="shared" si="36"/>
        <v/>
      </c>
      <c r="Z216" s="33" t="str">
        <f>IF($X216=1,IF($T216&gt;$U216,Setup!$B$9,Setup!$B$10),"")</f>
        <v/>
      </c>
      <c r="AA216" s="33" t="str">
        <f>IF($X216=1,IF($U216&gt;$T216,Setup!$B$9,Setup!$B$10),"")</f>
        <v/>
      </c>
      <c r="AB216" s="30" t="str">
        <f t="shared" si="37"/>
        <v/>
      </c>
      <c r="AC216" s="30" t="str">
        <f t="shared" si="38"/>
        <v/>
      </c>
      <c r="AD216" s="30" t="str">
        <f t="shared" si="39"/>
        <v/>
      </c>
    </row>
    <row r="217" spans="1:30">
      <c r="A217" s="29">
        <v>216</v>
      </c>
      <c r="B217" s="29" t="str">
        <f>IF(INT(($A217-1)/28)+1&lt;=Setup!$B$5,INT(($A217-1)/28)+1,"")</f>
        <v/>
      </c>
      <c r="C217" s="29" t="str">
        <f t="shared" si="30"/>
        <v/>
      </c>
      <c r="D217" s="29">
        <f t="shared" si="31"/>
        <v>20</v>
      </c>
      <c r="E217" s="29" t="str">
        <f>IF($B217="","",IFERROR(INDEX('Fixture Library'!$C$2:$C$200,MATCH(Setup!$B$6*100+$D217,'Fixture Library'!$F$2:$F$200,0)),""))</f>
        <v/>
      </c>
      <c r="F217" s="30" t="str">
        <f>IF($B217="","",IFERROR(INDEX('Fixture Library'!$D$2:$D$200,MATCH(Setup!$B$6*100+$D217,'Fixture Library'!$F$2:$F$200,0)),""))</f>
        <v/>
      </c>
      <c r="G217" s="30" t="str">
        <f>IF($F217="","",INDEX(Teams!$E$2:$E$65,($B217-1)*8+$F217))</f>
        <v/>
      </c>
      <c r="H217" s="30" t="str">
        <f>IF($B217="","",IFERROR(INDEX('Fixture Library'!$E$2:$E$200,MATCH(Setup!$B$6*100+$D217,'Fixture Library'!$F$2:$F$200,0)),""))</f>
        <v/>
      </c>
      <c r="I217" s="30" t="str">
        <f>IF($H217="","",INDEX(Teams!$E$2:$E$65,($B217-1)*8+$H217))</f>
        <v/>
      </c>
      <c r="J217" s="34" t="str">
        <f>IF($G217="","",IFERROR(INDEX('Match Entry'!$F$5:$F$228,5+($B217-1)*Setup!$B$13+$D217-1-4),""))</f>
        <v/>
      </c>
      <c r="K217" s="35" t="str">
        <f>IF($G217="","",IFERROR(INDEX('Match Entry'!$G$5:$G$228,5+($B217-1)*Setup!$B$13+$D217-1-4),""))</f>
        <v/>
      </c>
      <c r="L217" s="34" t="str">
        <f>IF($G217="","",IFERROR(INDEX('Match Entry'!$H$5:$H$228,5+($B217-1)*Setup!$B$13+$D217-1-4),""))</f>
        <v/>
      </c>
      <c r="M217" s="35" t="str">
        <f>IF($G217="","",IFERROR(INDEX('Match Entry'!$I$5:$I$228,5+($B217-1)*Setup!$B$13+$D217-1-4),""))</f>
        <v/>
      </c>
      <c r="N217" s="34" t="str">
        <f>IF($G217="","",IFERROR(INDEX('Match Entry'!$J$5:$J$228,5+($B217-1)*Setup!$B$13+$D217-1-4),""))</f>
        <v/>
      </c>
      <c r="O217" s="35" t="str">
        <f>IF($G217="","",IFERROR(INDEX('Match Entry'!$K$5:$K$228,5+($B217-1)*Setup!$B$13+$D217-1-4),""))</f>
        <v/>
      </c>
      <c r="P217" s="34" t="str">
        <f>IF($G217="","",IFERROR(INDEX('Match Entry'!$L$5:$L$228,5+($B217-1)*Setup!$B$13+$D217-1-4),""))</f>
        <v/>
      </c>
      <c r="Q217" s="35" t="str">
        <f>IF($G217="","",IFERROR(INDEX('Match Entry'!$M$5:$M$228,5+($B217-1)*Setup!$B$13+$D217-1-4),""))</f>
        <v/>
      </c>
      <c r="R217" s="34" t="str">
        <f>IF($G217="","",IFERROR(INDEX('Match Entry'!$N$5:$N$228,5+($B217-1)*Setup!$B$13+$D217-1-4),""))</f>
        <v/>
      </c>
      <c r="S217" s="35" t="str">
        <f>IF($G217="","",IFERROR(INDEX('Match Entry'!$O$5:$O$228,5+($B217-1)*Setup!$B$13+$D217-1-4),""))</f>
        <v/>
      </c>
      <c r="T217" s="33" t="str">
        <f t="shared" si="32"/>
        <v/>
      </c>
      <c r="U217" s="33" t="str">
        <f t="shared" si="33"/>
        <v/>
      </c>
      <c r="V217" s="33" t="str">
        <f t="shared" si="34"/>
        <v/>
      </c>
      <c r="W217" s="33" t="str">
        <f t="shared" si="35"/>
        <v/>
      </c>
      <c r="X217" s="30" t="str">
        <f>IF(OR($G217="",$I217=""),"",IF(OR($T217&gt;=Setup!$B$8,$U217&gt;=Setup!$B$8),1,""))</f>
        <v/>
      </c>
      <c r="Y217" s="30" t="str">
        <f t="shared" si="36"/>
        <v/>
      </c>
      <c r="Z217" s="33" t="str">
        <f>IF($X217=1,IF($T217&gt;$U217,Setup!$B$9,Setup!$B$10),"")</f>
        <v/>
      </c>
      <c r="AA217" s="33" t="str">
        <f>IF($X217=1,IF($U217&gt;$T217,Setup!$B$9,Setup!$B$10),"")</f>
        <v/>
      </c>
      <c r="AB217" s="30" t="str">
        <f t="shared" si="37"/>
        <v/>
      </c>
      <c r="AC217" s="30" t="str">
        <f t="shared" si="38"/>
        <v/>
      </c>
      <c r="AD217" s="30" t="str">
        <f t="shared" si="39"/>
        <v/>
      </c>
    </row>
    <row r="218" spans="1:30">
      <c r="A218" s="29">
        <v>217</v>
      </c>
      <c r="B218" s="29" t="str">
        <f>IF(INT(($A218-1)/28)+1&lt;=Setup!$B$5,INT(($A218-1)/28)+1,"")</f>
        <v/>
      </c>
      <c r="C218" s="29" t="str">
        <f t="shared" si="30"/>
        <v/>
      </c>
      <c r="D218" s="29">
        <f t="shared" si="31"/>
        <v>21</v>
      </c>
      <c r="E218" s="29" t="str">
        <f>IF($B218="","",IFERROR(INDEX('Fixture Library'!$C$2:$C$200,MATCH(Setup!$B$6*100+$D218,'Fixture Library'!$F$2:$F$200,0)),""))</f>
        <v/>
      </c>
      <c r="F218" s="30" t="str">
        <f>IF($B218="","",IFERROR(INDEX('Fixture Library'!$D$2:$D$200,MATCH(Setup!$B$6*100+$D218,'Fixture Library'!$F$2:$F$200,0)),""))</f>
        <v/>
      </c>
      <c r="G218" s="30" t="str">
        <f>IF($F218="","",INDEX(Teams!$E$2:$E$65,($B218-1)*8+$F218))</f>
        <v/>
      </c>
      <c r="H218" s="30" t="str">
        <f>IF($B218="","",IFERROR(INDEX('Fixture Library'!$E$2:$E$200,MATCH(Setup!$B$6*100+$D218,'Fixture Library'!$F$2:$F$200,0)),""))</f>
        <v/>
      </c>
      <c r="I218" s="30" t="str">
        <f>IF($H218="","",INDEX(Teams!$E$2:$E$65,($B218-1)*8+$H218))</f>
        <v/>
      </c>
      <c r="J218" s="34" t="str">
        <f>IF($G218="","",IFERROR(INDEX('Match Entry'!$F$5:$F$228,5+($B218-1)*Setup!$B$13+$D218-1-4),""))</f>
        <v/>
      </c>
      <c r="K218" s="35" t="str">
        <f>IF($G218="","",IFERROR(INDEX('Match Entry'!$G$5:$G$228,5+($B218-1)*Setup!$B$13+$D218-1-4),""))</f>
        <v/>
      </c>
      <c r="L218" s="34" t="str">
        <f>IF($G218="","",IFERROR(INDEX('Match Entry'!$H$5:$H$228,5+($B218-1)*Setup!$B$13+$D218-1-4),""))</f>
        <v/>
      </c>
      <c r="M218" s="35" t="str">
        <f>IF($G218="","",IFERROR(INDEX('Match Entry'!$I$5:$I$228,5+($B218-1)*Setup!$B$13+$D218-1-4),""))</f>
        <v/>
      </c>
      <c r="N218" s="34" t="str">
        <f>IF($G218="","",IFERROR(INDEX('Match Entry'!$J$5:$J$228,5+($B218-1)*Setup!$B$13+$D218-1-4),""))</f>
        <v/>
      </c>
      <c r="O218" s="35" t="str">
        <f>IF($G218="","",IFERROR(INDEX('Match Entry'!$K$5:$K$228,5+($B218-1)*Setup!$B$13+$D218-1-4),""))</f>
        <v/>
      </c>
      <c r="P218" s="34" t="str">
        <f>IF($G218="","",IFERROR(INDEX('Match Entry'!$L$5:$L$228,5+($B218-1)*Setup!$B$13+$D218-1-4),""))</f>
        <v/>
      </c>
      <c r="Q218" s="35" t="str">
        <f>IF($G218="","",IFERROR(INDEX('Match Entry'!$M$5:$M$228,5+($B218-1)*Setup!$B$13+$D218-1-4),""))</f>
        <v/>
      </c>
      <c r="R218" s="34" t="str">
        <f>IF($G218="","",IFERROR(INDEX('Match Entry'!$N$5:$N$228,5+($B218-1)*Setup!$B$13+$D218-1-4),""))</f>
        <v/>
      </c>
      <c r="S218" s="35" t="str">
        <f>IF($G218="","",IFERROR(INDEX('Match Entry'!$O$5:$O$228,5+($B218-1)*Setup!$B$13+$D218-1-4),""))</f>
        <v/>
      </c>
      <c r="T218" s="33" t="str">
        <f t="shared" si="32"/>
        <v/>
      </c>
      <c r="U218" s="33" t="str">
        <f t="shared" si="33"/>
        <v/>
      </c>
      <c r="V218" s="33" t="str">
        <f t="shared" si="34"/>
        <v/>
      </c>
      <c r="W218" s="33" t="str">
        <f t="shared" si="35"/>
        <v/>
      </c>
      <c r="X218" s="30" t="str">
        <f>IF(OR($G218="",$I218=""),"",IF(OR($T218&gt;=Setup!$B$8,$U218&gt;=Setup!$B$8),1,""))</f>
        <v/>
      </c>
      <c r="Y218" s="30" t="str">
        <f t="shared" si="36"/>
        <v/>
      </c>
      <c r="Z218" s="33" t="str">
        <f>IF($X218=1,IF($T218&gt;$U218,Setup!$B$9,Setup!$B$10),"")</f>
        <v/>
      </c>
      <c r="AA218" s="33" t="str">
        <f>IF($X218=1,IF($U218&gt;$T218,Setup!$B$9,Setup!$B$10),"")</f>
        <v/>
      </c>
      <c r="AB218" s="30" t="str">
        <f t="shared" si="37"/>
        <v/>
      </c>
      <c r="AC218" s="30" t="str">
        <f t="shared" si="38"/>
        <v/>
      </c>
      <c r="AD218" s="30" t="str">
        <f t="shared" si="39"/>
        <v/>
      </c>
    </row>
    <row r="219" spans="1:30">
      <c r="A219" s="29">
        <v>218</v>
      </c>
      <c r="B219" s="29" t="str">
        <f>IF(INT(($A219-1)/28)+1&lt;=Setup!$B$5,INT(($A219-1)/28)+1,"")</f>
        <v/>
      </c>
      <c r="C219" s="29" t="str">
        <f t="shared" si="30"/>
        <v/>
      </c>
      <c r="D219" s="29">
        <f t="shared" si="31"/>
        <v>22</v>
      </c>
      <c r="E219" s="29" t="str">
        <f>IF($B219="","",IFERROR(INDEX('Fixture Library'!$C$2:$C$200,MATCH(Setup!$B$6*100+$D219,'Fixture Library'!$F$2:$F$200,0)),""))</f>
        <v/>
      </c>
      <c r="F219" s="30" t="str">
        <f>IF($B219="","",IFERROR(INDEX('Fixture Library'!$D$2:$D$200,MATCH(Setup!$B$6*100+$D219,'Fixture Library'!$F$2:$F$200,0)),""))</f>
        <v/>
      </c>
      <c r="G219" s="30" t="str">
        <f>IF($F219="","",INDEX(Teams!$E$2:$E$65,($B219-1)*8+$F219))</f>
        <v/>
      </c>
      <c r="H219" s="30" t="str">
        <f>IF($B219="","",IFERROR(INDEX('Fixture Library'!$E$2:$E$200,MATCH(Setup!$B$6*100+$D219,'Fixture Library'!$F$2:$F$200,0)),""))</f>
        <v/>
      </c>
      <c r="I219" s="30" t="str">
        <f>IF($H219="","",INDEX(Teams!$E$2:$E$65,($B219-1)*8+$H219))</f>
        <v/>
      </c>
      <c r="J219" s="34" t="str">
        <f>IF($G219="","",IFERROR(INDEX('Match Entry'!$F$5:$F$228,5+($B219-1)*Setup!$B$13+$D219-1-4),""))</f>
        <v/>
      </c>
      <c r="K219" s="35" t="str">
        <f>IF($G219="","",IFERROR(INDEX('Match Entry'!$G$5:$G$228,5+($B219-1)*Setup!$B$13+$D219-1-4),""))</f>
        <v/>
      </c>
      <c r="L219" s="34" t="str">
        <f>IF($G219="","",IFERROR(INDEX('Match Entry'!$H$5:$H$228,5+($B219-1)*Setup!$B$13+$D219-1-4),""))</f>
        <v/>
      </c>
      <c r="M219" s="35" t="str">
        <f>IF($G219="","",IFERROR(INDEX('Match Entry'!$I$5:$I$228,5+($B219-1)*Setup!$B$13+$D219-1-4),""))</f>
        <v/>
      </c>
      <c r="N219" s="34" t="str">
        <f>IF($G219="","",IFERROR(INDEX('Match Entry'!$J$5:$J$228,5+($B219-1)*Setup!$B$13+$D219-1-4),""))</f>
        <v/>
      </c>
      <c r="O219" s="35" t="str">
        <f>IF($G219="","",IFERROR(INDEX('Match Entry'!$K$5:$K$228,5+($B219-1)*Setup!$B$13+$D219-1-4),""))</f>
        <v/>
      </c>
      <c r="P219" s="34" t="str">
        <f>IF($G219="","",IFERROR(INDEX('Match Entry'!$L$5:$L$228,5+($B219-1)*Setup!$B$13+$D219-1-4),""))</f>
        <v/>
      </c>
      <c r="Q219" s="35" t="str">
        <f>IF($G219="","",IFERROR(INDEX('Match Entry'!$M$5:$M$228,5+($B219-1)*Setup!$B$13+$D219-1-4),""))</f>
        <v/>
      </c>
      <c r="R219" s="34" t="str">
        <f>IF($G219="","",IFERROR(INDEX('Match Entry'!$N$5:$N$228,5+($B219-1)*Setup!$B$13+$D219-1-4),""))</f>
        <v/>
      </c>
      <c r="S219" s="35" t="str">
        <f>IF($G219="","",IFERROR(INDEX('Match Entry'!$O$5:$O$228,5+($B219-1)*Setup!$B$13+$D219-1-4),""))</f>
        <v/>
      </c>
      <c r="T219" s="33" t="str">
        <f t="shared" si="32"/>
        <v/>
      </c>
      <c r="U219" s="33" t="str">
        <f t="shared" si="33"/>
        <v/>
      </c>
      <c r="V219" s="33" t="str">
        <f t="shared" si="34"/>
        <v/>
      </c>
      <c r="W219" s="33" t="str">
        <f t="shared" si="35"/>
        <v/>
      </c>
      <c r="X219" s="30" t="str">
        <f>IF(OR($G219="",$I219=""),"",IF(OR($T219&gt;=Setup!$B$8,$U219&gt;=Setup!$B$8),1,""))</f>
        <v/>
      </c>
      <c r="Y219" s="30" t="str">
        <f t="shared" si="36"/>
        <v/>
      </c>
      <c r="Z219" s="33" t="str">
        <f>IF($X219=1,IF($T219&gt;$U219,Setup!$B$9,Setup!$B$10),"")</f>
        <v/>
      </c>
      <c r="AA219" s="33" t="str">
        <f>IF($X219=1,IF($U219&gt;$T219,Setup!$B$9,Setup!$B$10),"")</f>
        <v/>
      </c>
      <c r="AB219" s="30" t="str">
        <f t="shared" si="37"/>
        <v/>
      </c>
      <c r="AC219" s="30" t="str">
        <f t="shared" si="38"/>
        <v/>
      </c>
      <c r="AD219" s="30" t="str">
        <f t="shared" si="39"/>
        <v/>
      </c>
    </row>
    <row r="220" spans="1:30">
      <c r="A220" s="29">
        <v>219</v>
      </c>
      <c r="B220" s="29" t="str">
        <f>IF(INT(($A220-1)/28)+1&lt;=Setup!$B$5,INT(($A220-1)/28)+1,"")</f>
        <v/>
      </c>
      <c r="C220" s="29" t="str">
        <f t="shared" si="30"/>
        <v/>
      </c>
      <c r="D220" s="29">
        <f t="shared" si="31"/>
        <v>23</v>
      </c>
      <c r="E220" s="29" t="str">
        <f>IF($B220="","",IFERROR(INDEX('Fixture Library'!$C$2:$C$200,MATCH(Setup!$B$6*100+$D220,'Fixture Library'!$F$2:$F$200,0)),""))</f>
        <v/>
      </c>
      <c r="F220" s="30" t="str">
        <f>IF($B220="","",IFERROR(INDEX('Fixture Library'!$D$2:$D$200,MATCH(Setup!$B$6*100+$D220,'Fixture Library'!$F$2:$F$200,0)),""))</f>
        <v/>
      </c>
      <c r="G220" s="30" t="str">
        <f>IF($F220="","",INDEX(Teams!$E$2:$E$65,($B220-1)*8+$F220))</f>
        <v/>
      </c>
      <c r="H220" s="30" t="str">
        <f>IF($B220="","",IFERROR(INDEX('Fixture Library'!$E$2:$E$200,MATCH(Setup!$B$6*100+$D220,'Fixture Library'!$F$2:$F$200,0)),""))</f>
        <v/>
      </c>
      <c r="I220" s="30" t="str">
        <f>IF($H220="","",INDEX(Teams!$E$2:$E$65,($B220-1)*8+$H220))</f>
        <v/>
      </c>
      <c r="J220" s="34" t="str">
        <f>IF($G220="","",IFERROR(INDEX('Match Entry'!$F$5:$F$228,5+($B220-1)*Setup!$B$13+$D220-1-4),""))</f>
        <v/>
      </c>
      <c r="K220" s="35" t="str">
        <f>IF($G220="","",IFERROR(INDEX('Match Entry'!$G$5:$G$228,5+($B220-1)*Setup!$B$13+$D220-1-4),""))</f>
        <v/>
      </c>
      <c r="L220" s="34" t="str">
        <f>IF($G220="","",IFERROR(INDEX('Match Entry'!$H$5:$H$228,5+($B220-1)*Setup!$B$13+$D220-1-4),""))</f>
        <v/>
      </c>
      <c r="M220" s="35" t="str">
        <f>IF($G220="","",IFERROR(INDEX('Match Entry'!$I$5:$I$228,5+($B220-1)*Setup!$B$13+$D220-1-4),""))</f>
        <v/>
      </c>
      <c r="N220" s="34" t="str">
        <f>IF($G220="","",IFERROR(INDEX('Match Entry'!$J$5:$J$228,5+($B220-1)*Setup!$B$13+$D220-1-4),""))</f>
        <v/>
      </c>
      <c r="O220" s="35" t="str">
        <f>IF($G220="","",IFERROR(INDEX('Match Entry'!$K$5:$K$228,5+($B220-1)*Setup!$B$13+$D220-1-4),""))</f>
        <v/>
      </c>
      <c r="P220" s="34" t="str">
        <f>IF($G220="","",IFERROR(INDEX('Match Entry'!$L$5:$L$228,5+($B220-1)*Setup!$B$13+$D220-1-4),""))</f>
        <v/>
      </c>
      <c r="Q220" s="35" t="str">
        <f>IF($G220="","",IFERROR(INDEX('Match Entry'!$M$5:$M$228,5+($B220-1)*Setup!$B$13+$D220-1-4),""))</f>
        <v/>
      </c>
      <c r="R220" s="34" t="str">
        <f>IF($G220="","",IFERROR(INDEX('Match Entry'!$N$5:$N$228,5+($B220-1)*Setup!$B$13+$D220-1-4),""))</f>
        <v/>
      </c>
      <c r="S220" s="35" t="str">
        <f>IF($G220="","",IFERROR(INDEX('Match Entry'!$O$5:$O$228,5+($B220-1)*Setup!$B$13+$D220-1-4),""))</f>
        <v/>
      </c>
      <c r="T220" s="33" t="str">
        <f t="shared" si="32"/>
        <v/>
      </c>
      <c r="U220" s="33" t="str">
        <f t="shared" si="33"/>
        <v/>
      </c>
      <c r="V220" s="33" t="str">
        <f t="shared" si="34"/>
        <v/>
      </c>
      <c r="W220" s="33" t="str">
        <f t="shared" si="35"/>
        <v/>
      </c>
      <c r="X220" s="30" t="str">
        <f>IF(OR($G220="",$I220=""),"",IF(OR($T220&gt;=Setup!$B$8,$U220&gt;=Setup!$B$8),1,""))</f>
        <v/>
      </c>
      <c r="Y220" s="30" t="str">
        <f t="shared" si="36"/>
        <v/>
      </c>
      <c r="Z220" s="33" t="str">
        <f>IF($X220=1,IF($T220&gt;$U220,Setup!$B$9,Setup!$B$10),"")</f>
        <v/>
      </c>
      <c r="AA220" s="33" t="str">
        <f>IF($X220=1,IF($U220&gt;$T220,Setup!$B$9,Setup!$B$10),"")</f>
        <v/>
      </c>
      <c r="AB220" s="30" t="str">
        <f t="shared" si="37"/>
        <v/>
      </c>
      <c r="AC220" s="30" t="str">
        <f t="shared" si="38"/>
        <v/>
      </c>
      <c r="AD220" s="30" t="str">
        <f t="shared" si="39"/>
        <v/>
      </c>
    </row>
    <row r="221" spans="1:30">
      <c r="A221" s="29">
        <v>220</v>
      </c>
      <c r="B221" s="29" t="str">
        <f>IF(INT(($A221-1)/28)+1&lt;=Setup!$B$5,INT(($A221-1)/28)+1,"")</f>
        <v/>
      </c>
      <c r="C221" s="29" t="str">
        <f t="shared" si="30"/>
        <v/>
      </c>
      <c r="D221" s="29">
        <f t="shared" si="31"/>
        <v>24</v>
      </c>
      <c r="E221" s="29" t="str">
        <f>IF($B221="","",IFERROR(INDEX('Fixture Library'!$C$2:$C$200,MATCH(Setup!$B$6*100+$D221,'Fixture Library'!$F$2:$F$200,0)),""))</f>
        <v/>
      </c>
      <c r="F221" s="30" t="str">
        <f>IF($B221="","",IFERROR(INDEX('Fixture Library'!$D$2:$D$200,MATCH(Setup!$B$6*100+$D221,'Fixture Library'!$F$2:$F$200,0)),""))</f>
        <v/>
      </c>
      <c r="G221" s="30" t="str">
        <f>IF($F221="","",INDEX(Teams!$E$2:$E$65,($B221-1)*8+$F221))</f>
        <v/>
      </c>
      <c r="H221" s="30" t="str">
        <f>IF($B221="","",IFERROR(INDEX('Fixture Library'!$E$2:$E$200,MATCH(Setup!$B$6*100+$D221,'Fixture Library'!$F$2:$F$200,0)),""))</f>
        <v/>
      </c>
      <c r="I221" s="30" t="str">
        <f>IF($H221="","",INDEX(Teams!$E$2:$E$65,($B221-1)*8+$H221))</f>
        <v/>
      </c>
      <c r="J221" s="34" t="str">
        <f>IF($G221="","",IFERROR(INDEX('Match Entry'!$F$5:$F$228,5+($B221-1)*Setup!$B$13+$D221-1-4),""))</f>
        <v/>
      </c>
      <c r="K221" s="35" t="str">
        <f>IF($G221="","",IFERROR(INDEX('Match Entry'!$G$5:$G$228,5+($B221-1)*Setup!$B$13+$D221-1-4),""))</f>
        <v/>
      </c>
      <c r="L221" s="34" t="str">
        <f>IF($G221="","",IFERROR(INDEX('Match Entry'!$H$5:$H$228,5+($B221-1)*Setup!$B$13+$D221-1-4),""))</f>
        <v/>
      </c>
      <c r="M221" s="35" t="str">
        <f>IF($G221="","",IFERROR(INDEX('Match Entry'!$I$5:$I$228,5+($B221-1)*Setup!$B$13+$D221-1-4),""))</f>
        <v/>
      </c>
      <c r="N221" s="34" t="str">
        <f>IF($G221="","",IFERROR(INDEX('Match Entry'!$J$5:$J$228,5+($B221-1)*Setup!$B$13+$D221-1-4),""))</f>
        <v/>
      </c>
      <c r="O221" s="35" t="str">
        <f>IF($G221="","",IFERROR(INDEX('Match Entry'!$K$5:$K$228,5+($B221-1)*Setup!$B$13+$D221-1-4),""))</f>
        <v/>
      </c>
      <c r="P221" s="34" t="str">
        <f>IF($G221="","",IFERROR(INDEX('Match Entry'!$L$5:$L$228,5+($B221-1)*Setup!$B$13+$D221-1-4),""))</f>
        <v/>
      </c>
      <c r="Q221" s="35" t="str">
        <f>IF($G221="","",IFERROR(INDEX('Match Entry'!$M$5:$M$228,5+($B221-1)*Setup!$B$13+$D221-1-4),""))</f>
        <v/>
      </c>
      <c r="R221" s="34" t="str">
        <f>IF($G221="","",IFERROR(INDEX('Match Entry'!$N$5:$N$228,5+($B221-1)*Setup!$B$13+$D221-1-4),""))</f>
        <v/>
      </c>
      <c r="S221" s="35" t="str">
        <f>IF($G221="","",IFERROR(INDEX('Match Entry'!$O$5:$O$228,5+($B221-1)*Setup!$B$13+$D221-1-4),""))</f>
        <v/>
      </c>
      <c r="T221" s="33" t="str">
        <f t="shared" si="32"/>
        <v/>
      </c>
      <c r="U221" s="33" t="str">
        <f t="shared" si="33"/>
        <v/>
      </c>
      <c r="V221" s="33" t="str">
        <f t="shared" si="34"/>
        <v/>
      </c>
      <c r="W221" s="33" t="str">
        <f t="shared" si="35"/>
        <v/>
      </c>
      <c r="X221" s="30" t="str">
        <f>IF(OR($G221="",$I221=""),"",IF(OR($T221&gt;=Setup!$B$8,$U221&gt;=Setup!$B$8),1,""))</f>
        <v/>
      </c>
      <c r="Y221" s="30" t="str">
        <f t="shared" si="36"/>
        <v/>
      </c>
      <c r="Z221" s="33" t="str">
        <f>IF($X221=1,IF($T221&gt;$U221,Setup!$B$9,Setup!$B$10),"")</f>
        <v/>
      </c>
      <c r="AA221" s="33" t="str">
        <f>IF($X221=1,IF($U221&gt;$T221,Setup!$B$9,Setup!$B$10),"")</f>
        <v/>
      </c>
      <c r="AB221" s="30" t="str">
        <f t="shared" si="37"/>
        <v/>
      </c>
      <c r="AC221" s="30" t="str">
        <f t="shared" si="38"/>
        <v/>
      </c>
      <c r="AD221" s="30" t="str">
        <f t="shared" si="39"/>
        <v/>
      </c>
    </row>
    <row r="222" spans="1:30">
      <c r="A222" s="29">
        <v>221</v>
      </c>
      <c r="B222" s="29" t="str">
        <f>IF(INT(($A222-1)/28)+1&lt;=Setup!$B$5,INT(($A222-1)/28)+1,"")</f>
        <v/>
      </c>
      <c r="C222" s="29" t="str">
        <f t="shared" si="30"/>
        <v/>
      </c>
      <c r="D222" s="29">
        <f t="shared" si="31"/>
        <v>25</v>
      </c>
      <c r="E222" s="29" t="str">
        <f>IF($B222="","",IFERROR(INDEX('Fixture Library'!$C$2:$C$200,MATCH(Setup!$B$6*100+$D222,'Fixture Library'!$F$2:$F$200,0)),""))</f>
        <v/>
      </c>
      <c r="F222" s="30" t="str">
        <f>IF($B222="","",IFERROR(INDEX('Fixture Library'!$D$2:$D$200,MATCH(Setup!$B$6*100+$D222,'Fixture Library'!$F$2:$F$200,0)),""))</f>
        <v/>
      </c>
      <c r="G222" s="30" t="str">
        <f>IF($F222="","",INDEX(Teams!$E$2:$E$65,($B222-1)*8+$F222))</f>
        <v/>
      </c>
      <c r="H222" s="30" t="str">
        <f>IF($B222="","",IFERROR(INDEX('Fixture Library'!$E$2:$E$200,MATCH(Setup!$B$6*100+$D222,'Fixture Library'!$F$2:$F$200,0)),""))</f>
        <v/>
      </c>
      <c r="I222" s="30" t="str">
        <f>IF($H222="","",INDEX(Teams!$E$2:$E$65,($B222-1)*8+$H222))</f>
        <v/>
      </c>
      <c r="J222" s="34" t="str">
        <f>IF($G222="","",IFERROR(INDEX('Match Entry'!$F$5:$F$228,5+($B222-1)*Setup!$B$13+$D222-1-4),""))</f>
        <v/>
      </c>
      <c r="K222" s="35" t="str">
        <f>IF($G222="","",IFERROR(INDEX('Match Entry'!$G$5:$G$228,5+($B222-1)*Setup!$B$13+$D222-1-4),""))</f>
        <v/>
      </c>
      <c r="L222" s="34" t="str">
        <f>IF($G222="","",IFERROR(INDEX('Match Entry'!$H$5:$H$228,5+($B222-1)*Setup!$B$13+$D222-1-4),""))</f>
        <v/>
      </c>
      <c r="M222" s="35" t="str">
        <f>IF($G222="","",IFERROR(INDEX('Match Entry'!$I$5:$I$228,5+($B222-1)*Setup!$B$13+$D222-1-4),""))</f>
        <v/>
      </c>
      <c r="N222" s="34" t="str">
        <f>IF($G222="","",IFERROR(INDEX('Match Entry'!$J$5:$J$228,5+($B222-1)*Setup!$B$13+$D222-1-4),""))</f>
        <v/>
      </c>
      <c r="O222" s="35" t="str">
        <f>IF($G222="","",IFERROR(INDEX('Match Entry'!$K$5:$K$228,5+($B222-1)*Setup!$B$13+$D222-1-4),""))</f>
        <v/>
      </c>
      <c r="P222" s="34" t="str">
        <f>IF($G222="","",IFERROR(INDEX('Match Entry'!$L$5:$L$228,5+($B222-1)*Setup!$B$13+$D222-1-4),""))</f>
        <v/>
      </c>
      <c r="Q222" s="35" t="str">
        <f>IF($G222="","",IFERROR(INDEX('Match Entry'!$M$5:$M$228,5+($B222-1)*Setup!$B$13+$D222-1-4),""))</f>
        <v/>
      </c>
      <c r="R222" s="34" t="str">
        <f>IF($G222="","",IFERROR(INDEX('Match Entry'!$N$5:$N$228,5+($B222-1)*Setup!$B$13+$D222-1-4),""))</f>
        <v/>
      </c>
      <c r="S222" s="35" t="str">
        <f>IF($G222="","",IFERROR(INDEX('Match Entry'!$O$5:$O$228,5+($B222-1)*Setup!$B$13+$D222-1-4),""))</f>
        <v/>
      </c>
      <c r="T222" s="33" t="str">
        <f t="shared" si="32"/>
        <v/>
      </c>
      <c r="U222" s="33" t="str">
        <f t="shared" si="33"/>
        <v/>
      </c>
      <c r="V222" s="33" t="str">
        <f t="shared" si="34"/>
        <v/>
      </c>
      <c r="W222" s="33" t="str">
        <f t="shared" si="35"/>
        <v/>
      </c>
      <c r="X222" s="30" t="str">
        <f>IF(OR($G222="",$I222=""),"",IF(OR($T222&gt;=Setup!$B$8,$U222&gt;=Setup!$B$8),1,""))</f>
        <v/>
      </c>
      <c r="Y222" s="30" t="str">
        <f t="shared" si="36"/>
        <v/>
      </c>
      <c r="Z222" s="33" t="str">
        <f>IF($X222=1,IF($T222&gt;$U222,Setup!$B$9,Setup!$B$10),"")</f>
        <v/>
      </c>
      <c r="AA222" s="33" t="str">
        <f>IF($X222=1,IF($U222&gt;$T222,Setup!$B$9,Setup!$B$10),"")</f>
        <v/>
      </c>
      <c r="AB222" s="30" t="str">
        <f t="shared" si="37"/>
        <v/>
      </c>
      <c r="AC222" s="30" t="str">
        <f t="shared" si="38"/>
        <v/>
      </c>
      <c r="AD222" s="30" t="str">
        <f t="shared" si="39"/>
        <v/>
      </c>
    </row>
    <row r="223" spans="1:30">
      <c r="A223" s="29">
        <v>222</v>
      </c>
      <c r="B223" s="29" t="str">
        <f>IF(INT(($A223-1)/28)+1&lt;=Setup!$B$5,INT(($A223-1)/28)+1,"")</f>
        <v/>
      </c>
      <c r="C223" s="29" t="str">
        <f t="shared" si="30"/>
        <v/>
      </c>
      <c r="D223" s="29">
        <f t="shared" si="31"/>
        <v>26</v>
      </c>
      <c r="E223" s="29" t="str">
        <f>IF($B223="","",IFERROR(INDEX('Fixture Library'!$C$2:$C$200,MATCH(Setup!$B$6*100+$D223,'Fixture Library'!$F$2:$F$200,0)),""))</f>
        <v/>
      </c>
      <c r="F223" s="30" t="str">
        <f>IF($B223="","",IFERROR(INDEX('Fixture Library'!$D$2:$D$200,MATCH(Setup!$B$6*100+$D223,'Fixture Library'!$F$2:$F$200,0)),""))</f>
        <v/>
      </c>
      <c r="G223" s="30" t="str">
        <f>IF($F223="","",INDEX(Teams!$E$2:$E$65,($B223-1)*8+$F223))</f>
        <v/>
      </c>
      <c r="H223" s="30" t="str">
        <f>IF($B223="","",IFERROR(INDEX('Fixture Library'!$E$2:$E$200,MATCH(Setup!$B$6*100+$D223,'Fixture Library'!$F$2:$F$200,0)),""))</f>
        <v/>
      </c>
      <c r="I223" s="30" t="str">
        <f>IF($H223="","",INDEX(Teams!$E$2:$E$65,($B223-1)*8+$H223))</f>
        <v/>
      </c>
      <c r="J223" s="34" t="str">
        <f>IF($G223="","",IFERROR(INDEX('Match Entry'!$F$5:$F$228,5+($B223-1)*Setup!$B$13+$D223-1-4),""))</f>
        <v/>
      </c>
      <c r="K223" s="35" t="str">
        <f>IF($G223="","",IFERROR(INDEX('Match Entry'!$G$5:$G$228,5+($B223-1)*Setup!$B$13+$D223-1-4),""))</f>
        <v/>
      </c>
      <c r="L223" s="34" t="str">
        <f>IF($G223="","",IFERROR(INDEX('Match Entry'!$H$5:$H$228,5+($B223-1)*Setup!$B$13+$D223-1-4),""))</f>
        <v/>
      </c>
      <c r="M223" s="35" t="str">
        <f>IF($G223="","",IFERROR(INDEX('Match Entry'!$I$5:$I$228,5+($B223-1)*Setup!$B$13+$D223-1-4),""))</f>
        <v/>
      </c>
      <c r="N223" s="34" t="str">
        <f>IF($G223="","",IFERROR(INDEX('Match Entry'!$J$5:$J$228,5+($B223-1)*Setup!$B$13+$D223-1-4),""))</f>
        <v/>
      </c>
      <c r="O223" s="35" t="str">
        <f>IF($G223="","",IFERROR(INDEX('Match Entry'!$K$5:$K$228,5+($B223-1)*Setup!$B$13+$D223-1-4),""))</f>
        <v/>
      </c>
      <c r="P223" s="34" t="str">
        <f>IF($G223="","",IFERROR(INDEX('Match Entry'!$L$5:$L$228,5+($B223-1)*Setup!$B$13+$D223-1-4),""))</f>
        <v/>
      </c>
      <c r="Q223" s="35" t="str">
        <f>IF($G223="","",IFERROR(INDEX('Match Entry'!$M$5:$M$228,5+($B223-1)*Setup!$B$13+$D223-1-4),""))</f>
        <v/>
      </c>
      <c r="R223" s="34" t="str">
        <f>IF($G223="","",IFERROR(INDEX('Match Entry'!$N$5:$N$228,5+($B223-1)*Setup!$B$13+$D223-1-4),""))</f>
        <v/>
      </c>
      <c r="S223" s="35" t="str">
        <f>IF($G223="","",IFERROR(INDEX('Match Entry'!$O$5:$O$228,5+($B223-1)*Setup!$B$13+$D223-1-4),""))</f>
        <v/>
      </c>
      <c r="T223" s="33" t="str">
        <f t="shared" si="32"/>
        <v/>
      </c>
      <c r="U223" s="33" t="str">
        <f t="shared" si="33"/>
        <v/>
      </c>
      <c r="V223" s="33" t="str">
        <f t="shared" si="34"/>
        <v/>
      </c>
      <c r="W223" s="33" t="str">
        <f t="shared" si="35"/>
        <v/>
      </c>
      <c r="X223" s="30" t="str">
        <f>IF(OR($G223="",$I223=""),"",IF(OR($T223&gt;=Setup!$B$8,$U223&gt;=Setup!$B$8),1,""))</f>
        <v/>
      </c>
      <c r="Y223" s="30" t="str">
        <f t="shared" si="36"/>
        <v/>
      </c>
      <c r="Z223" s="33" t="str">
        <f>IF($X223=1,IF($T223&gt;$U223,Setup!$B$9,Setup!$B$10),"")</f>
        <v/>
      </c>
      <c r="AA223" s="33" t="str">
        <f>IF($X223=1,IF($U223&gt;$T223,Setup!$B$9,Setup!$B$10),"")</f>
        <v/>
      </c>
      <c r="AB223" s="30" t="str">
        <f t="shared" si="37"/>
        <v/>
      </c>
      <c r="AC223" s="30" t="str">
        <f t="shared" si="38"/>
        <v/>
      </c>
      <c r="AD223" s="30" t="str">
        <f t="shared" si="39"/>
        <v/>
      </c>
    </row>
    <row r="224" spans="1:30">
      <c r="A224" s="29">
        <v>223</v>
      </c>
      <c r="B224" s="29" t="str">
        <f>IF(INT(($A224-1)/28)+1&lt;=Setup!$B$5,INT(($A224-1)/28)+1,"")</f>
        <v/>
      </c>
      <c r="C224" s="29" t="str">
        <f t="shared" si="30"/>
        <v/>
      </c>
      <c r="D224" s="29">
        <f t="shared" si="31"/>
        <v>27</v>
      </c>
      <c r="E224" s="29" t="str">
        <f>IF($B224="","",IFERROR(INDEX('Fixture Library'!$C$2:$C$200,MATCH(Setup!$B$6*100+$D224,'Fixture Library'!$F$2:$F$200,0)),""))</f>
        <v/>
      </c>
      <c r="F224" s="30" t="str">
        <f>IF($B224="","",IFERROR(INDEX('Fixture Library'!$D$2:$D$200,MATCH(Setup!$B$6*100+$D224,'Fixture Library'!$F$2:$F$200,0)),""))</f>
        <v/>
      </c>
      <c r="G224" s="30" t="str">
        <f>IF($F224="","",INDEX(Teams!$E$2:$E$65,($B224-1)*8+$F224))</f>
        <v/>
      </c>
      <c r="H224" s="30" t="str">
        <f>IF($B224="","",IFERROR(INDEX('Fixture Library'!$E$2:$E$200,MATCH(Setup!$B$6*100+$D224,'Fixture Library'!$F$2:$F$200,0)),""))</f>
        <v/>
      </c>
      <c r="I224" s="30" t="str">
        <f>IF($H224="","",INDEX(Teams!$E$2:$E$65,($B224-1)*8+$H224))</f>
        <v/>
      </c>
      <c r="J224" s="34" t="str">
        <f>IF($G224="","",IFERROR(INDEX('Match Entry'!$F$5:$F$228,5+($B224-1)*Setup!$B$13+$D224-1-4),""))</f>
        <v/>
      </c>
      <c r="K224" s="35" t="str">
        <f>IF($G224="","",IFERROR(INDEX('Match Entry'!$G$5:$G$228,5+($B224-1)*Setup!$B$13+$D224-1-4),""))</f>
        <v/>
      </c>
      <c r="L224" s="34" t="str">
        <f>IF($G224="","",IFERROR(INDEX('Match Entry'!$H$5:$H$228,5+($B224-1)*Setup!$B$13+$D224-1-4),""))</f>
        <v/>
      </c>
      <c r="M224" s="35" t="str">
        <f>IF($G224="","",IFERROR(INDEX('Match Entry'!$I$5:$I$228,5+($B224-1)*Setup!$B$13+$D224-1-4),""))</f>
        <v/>
      </c>
      <c r="N224" s="34" t="str">
        <f>IF($G224="","",IFERROR(INDEX('Match Entry'!$J$5:$J$228,5+($B224-1)*Setup!$B$13+$D224-1-4),""))</f>
        <v/>
      </c>
      <c r="O224" s="35" t="str">
        <f>IF($G224="","",IFERROR(INDEX('Match Entry'!$K$5:$K$228,5+($B224-1)*Setup!$B$13+$D224-1-4),""))</f>
        <v/>
      </c>
      <c r="P224" s="34" t="str">
        <f>IF($G224="","",IFERROR(INDEX('Match Entry'!$L$5:$L$228,5+($B224-1)*Setup!$B$13+$D224-1-4),""))</f>
        <v/>
      </c>
      <c r="Q224" s="35" t="str">
        <f>IF($G224="","",IFERROR(INDEX('Match Entry'!$M$5:$M$228,5+($B224-1)*Setup!$B$13+$D224-1-4),""))</f>
        <v/>
      </c>
      <c r="R224" s="34" t="str">
        <f>IF($G224="","",IFERROR(INDEX('Match Entry'!$N$5:$N$228,5+($B224-1)*Setup!$B$13+$D224-1-4),""))</f>
        <v/>
      </c>
      <c r="S224" s="35" t="str">
        <f>IF($G224="","",IFERROR(INDEX('Match Entry'!$O$5:$O$228,5+($B224-1)*Setup!$B$13+$D224-1-4),""))</f>
        <v/>
      </c>
      <c r="T224" s="33" t="str">
        <f t="shared" si="32"/>
        <v/>
      </c>
      <c r="U224" s="33" t="str">
        <f t="shared" si="33"/>
        <v/>
      </c>
      <c r="V224" s="33" t="str">
        <f t="shared" si="34"/>
        <v/>
      </c>
      <c r="W224" s="33" t="str">
        <f t="shared" si="35"/>
        <v/>
      </c>
      <c r="X224" s="30" t="str">
        <f>IF(OR($G224="",$I224=""),"",IF(OR($T224&gt;=Setup!$B$8,$U224&gt;=Setup!$B$8),1,""))</f>
        <v/>
      </c>
      <c r="Y224" s="30" t="str">
        <f t="shared" si="36"/>
        <v/>
      </c>
      <c r="Z224" s="33" t="str">
        <f>IF($X224=1,IF($T224&gt;$U224,Setup!$B$9,Setup!$B$10),"")</f>
        <v/>
      </c>
      <c r="AA224" s="33" t="str">
        <f>IF($X224=1,IF($U224&gt;$T224,Setup!$B$9,Setup!$B$10),"")</f>
        <v/>
      </c>
      <c r="AB224" s="30" t="str">
        <f t="shared" si="37"/>
        <v/>
      </c>
      <c r="AC224" s="30" t="str">
        <f t="shared" si="38"/>
        <v/>
      </c>
      <c r="AD224" s="30" t="str">
        <f t="shared" si="39"/>
        <v/>
      </c>
    </row>
    <row r="225" spans="1:30">
      <c r="A225" s="29">
        <v>224</v>
      </c>
      <c r="B225" s="29" t="str">
        <f>IF(INT(($A225-1)/28)+1&lt;=Setup!$B$5,INT(($A225-1)/28)+1,"")</f>
        <v/>
      </c>
      <c r="C225" s="29" t="str">
        <f t="shared" si="30"/>
        <v/>
      </c>
      <c r="D225" s="29">
        <f t="shared" si="31"/>
        <v>28</v>
      </c>
      <c r="E225" s="29" t="str">
        <f>IF($B225="","",IFERROR(INDEX('Fixture Library'!$C$2:$C$200,MATCH(Setup!$B$6*100+$D225,'Fixture Library'!$F$2:$F$200,0)),""))</f>
        <v/>
      </c>
      <c r="F225" s="30" t="str">
        <f>IF($B225="","",IFERROR(INDEX('Fixture Library'!$D$2:$D$200,MATCH(Setup!$B$6*100+$D225,'Fixture Library'!$F$2:$F$200,0)),""))</f>
        <v/>
      </c>
      <c r="G225" s="30" t="str">
        <f>IF($F225="","",INDEX(Teams!$E$2:$E$65,($B225-1)*8+$F225))</f>
        <v/>
      </c>
      <c r="H225" s="30" t="str">
        <f>IF($B225="","",IFERROR(INDEX('Fixture Library'!$E$2:$E$200,MATCH(Setup!$B$6*100+$D225,'Fixture Library'!$F$2:$F$200,0)),""))</f>
        <v/>
      </c>
      <c r="I225" s="30" t="str">
        <f>IF($H225="","",INDEX(Teams!$E$2:$E$65,($B225-1)*8+$H225))</f>
        <v/>
      </c>
      <c r="J225" s="36" t="str">
        <f>IF($G225="","",IFERROR(INDEX('Match Entry'!$F$5:$F$228,5+($B225-1)*Setup!$B$13+$D225-1-4),""))</f>
        <v/>
      </c>
      <c r="K225" s="37" t="str">
        <f>IF($G225="","",IFERROR(INDEX('Match Entry'!$G$5:$G$228,5+($B225-1)*Setup!$B$13+$D225-1-4),""))</f>
        <v/>
      </c>
      <c r="L225" s="36" t="str">
        <f>IF($G225="","",IFERROR(INDEX('Match Entry'!$H$5:$H$228,5+($B225-1)*Setup!$B$13+$D225-1-4),""))</f>
        <v/>
      </c>
      <c r="M225" s="37" t="str">
        <f>IF($G225="","",IFERROR(INDEX('Match Entry'!$I$5:$I$228,5+($B225-1)*Setup!$B$13+$D225-1-4),""))</f>
        <v/>
      </c>
      <c r="N225" s="36" t="str">
        <f>IF($G225="","",IFERROR(INDEX('Match Entry'!$J$5:$J$228,5+($B225-1)*Setup!$B$13+$D225-1-4),""))</f>
        <v/>
      </c>
      <c r="O225" s="37" t="str">
        <f>IF($G225="","",IFERROR(INDEX('Match Entry'!$K$5:$K$228,5+($B225-1)*Setup!$B$13+$D225-1-4),""))</f>
        <v/>
      </c>
      <c r="P225" s="36" t="str">
        <f>IF($G225="","",IFERROR(INDEX('Match Entry'!$L$5:$L$228,5+($B225-1)*Setup!$B$13+$D225-1-4),""))</f>
        <v/>
      </c>
      <c r="Q225" s="37" t="str">
        <f>IF($G225="","",IFERROR(INDEX('Match Entry'!$M$5:$M$228,5+($B225-1)*Setup!$B$13+$D225-1-4),""))</f>
        <v/>
      </c>
      <c r="R225" s="36" t="str">
        <f>IF($G225="","",IFERROR(INDEX('Match Entry'!$N$5:$N$228,5+($B225-1)*Setup!$B$13+$D225-1-4),""))</f>
        <v/>
      </c>
      <c r="S225" s="37" t="str">
        <f>IF($G225="","",IFERROR(INDEX('Match Entry'!$O$5:$O$228,5+($B225-1)*Setup!$B$13+$D225-1-4),""))</f>
        <v/>
      </c>
      <c r="T225" s="33" t="str">
        <f t="shared" si="32"/>
        <v/>
      </c>
      <c r="U225" s="33" t="str">
        <f t="shared" si="33"/>
        <v/>
      </c>
      <c r="V225" s="33" t="str">
        <f t="shared" si="34"/>
        <v/>
      </c>
      <c r="W225" s="33" t="str">
        <f t="shared" si="35"/>
        <v/>
      </c>
      <c r="X225" s="30" t="str">
        <f>IF(OR($G225="",$I225=""),"",IF(OR($T225&gt;=Setup!$B$8,$U225&gt;=Setup!$B$8),1,""))</f>
        <v/>
      </c>
      <c r="Y225" s="30" t="str">
        <f t="shared" si="36"/>
        <v/>
      </c>
      <c r="Z225" s="33" t="str">
        <f>IF($X225=1,IF($T225&gt;$U225,Setup!$B$9,Setup!$B$10),"")</f>
        <v/>
      </c>
      <c r="AA225" s="33" t="str">
        <f>IF($X225=1,IF($U225&gt;$T225,Setup!$B$9,Setup!$B$10),"")</f>
        <v/>
      </c>
      <c r="AB225" s="30" t="str">
        <f t="shared" si="37"/>
        <v/>
      </c>
      <c r="AC225" s="30" t="str">
        <f t="shared" si="38"/>
        <v/>
      </c>
      <c r="AD225" s="30" t="str">
        <f t="shared" si="39"/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5"/>
  <sheetViews>
    <sheetView showGridLines="0" workbookViewId="0"/>
  </sheetViews>
  <sheetFormatPr defaultRowHeight="14.25"/>
  <cols>
    <col min="1" max="1" width="5.25" customWidth="1"/>
    <col min="2" max="2" width="5.125" customWidth="1"/>
    <col min="3" max="3" width="8" style="4" customWidth="1"/>
    <col min="4" max="4" width="8.5" style="4" customWidth="1"/>
    <col min="5" max="5" width="22.375" customWidth="1"/>
    <col min="6" max="6" width="11" customWidth="1"/>
    <col min="7" max="12" width="8" customWidth="1"/>
    <col min="13" max="14" width="11.375" customWidth="1"/>
    <col min="15" max="15" width="10.5" customWidth="1"/>
    <col min="16" max="19" width="8" customWidth="1"/>
  </cols>
  <sheetData>
    <row r="1" spans="1:19" s="1" customFormat="1" ht="52.5" customHeight="1">
      <c r="A1" s="5" t="s">
        <v>71</v>
      </c>
      <c r="B1" s="5" t="s">
        <v>72</v>
      </c>
      <c r="C1" s="5" t="s">
        <v>73</v>
      </c>
      <c r="D1" s="5" t="s">
        <v>70</v>
      </c>
      <c r="E1" s="5" t="s">
        <v>189</v>
      </c>
      <c r="F1" s="5" t="s">
        <v>75</v>
      </c>
      <c r="G1" s="5" t="s">
        <v>190</v>
      </c>
      <c r="H1" s="5" t="s">
        <v>191</v>
      </c>
      <c r="I1" s="5" t="s">
        <v>192</v>
      </c>
      <c r="J1" s="5" t="s">
        <v>193</v>
      </c>
      <c r="K1" s="5" t="s">
        <v>194</v>
      </c>
      <c r="L1" s="5" t="s">
        <v>195</v>
      </c>
      <c r="M1" s="5" t="s">
        <v>196</v>
      </c>
      <c r="N1" s="5" t="s">
        <v>197</v>
      </c>
      <c r="O1" s="5" t="s">
        <v>198</v>
      </c>
      <c r="P1" s="5" t="s">
        <v>199</v>
      </c>
      <c r="Q1" s="5" t="s">
        <v>200</v>
      </c>
      <c r="R1" s="5" t="s">
        <v>201</v>
      </c>
      <c r="S1" s="5" t="s">
        <v>202</v>
      </c>
    </row>
    <row r="2" spans="1:19">
      <c r="A2">
        <v>1</v>
      </c>
      <c r="B2" t="s">
        <v>76</v>
      </c>
      <c r="C2" s="4">
        <v>1</v>
      </c>
      <c r="D2" s="4">
        <v>101</v>
      </c>
      <c r="E2" t="str">
        <f>INDEX(Teams!$E$2:$E$65,($A2-1)*8+$C2)</f>
        <v>Pool A Team 1</v>
      </c>
      <c r="F2" t="b">
        <f>AND($A2&lt;=Setup!$B$5,$C2&lt;=Setup!$B$6)</f>
        <v>0</v>
      </c>
      <c r="G2" s="2" t="str">
        <f>IF($F2=FALSE,"",COUNTIFS(Scores!$AB$2:$AB$225,$D2,Scores!$X$2:$X$225,1)+COUNTIFS(Scores!$AC$2:$AC$225,$D2,Scores!$X$2:$X$225,1))</f>
        <v/>
      </c>
      <c r="H2" s="2" t="str">
        <f>IF($F2=FALSE,"",COUNTIFS(Scores!$AD$2:$AD$225,$D2))</f>
        <v/>
      </c>
      <c r="I2" s="2" t="str">
        <f t="shared" ref="I2:I33" si="0">IF($F2=FALSE,"",$G2-$H2)</f>
        <v/>
      </c>
      <c r="J2" s="2" t="str">
        <f>IF($F2=FALSE,"",SUMIFS(Scores!$T$2:$T$225,Scores!$AB$2:$AB$225,$D2,Scores!$X$2:$X$225,1)+SUMIFS(Scores!$U$2:$U$225,Scores!$AC$2:$AC$225,$D2,Scores!$X$2:$X$225,1))</f>
        <v/>
      </c>
      <c r="K2" s="2" t="str">
        <f>IF($F2=FALSE,"",SUMIFS(Scores!$U$2:$U$225,Scores!$AB$2:$AB$225,$D2,Scores!$X$2:$X$225,1)+SUMIFS(Scores!$T$2:$T$225,Scores!$AC$2:$AC$225,$D2,Scores!$X$2:$X$225,1))</f>
        <v/>
      </c>
      <c r="L2" s="2" t="str">
        <f t="shared" ref="L2:L33" si="1">IF($F2=FALSE,"",$J2-$K2)</f>
        <v/>
      </c>
      <c r="M2" s="2" t="str">
        <f>IF($F2=FALSE,"",SUMIFS(Scores!$V$2:$V$225,Scores!$AB$2:$AB$225,$D2,Scores!$X$2:$X$225,1)+SUMIFS(Scores!$W$2:$W$225,Scores!$AC$2:$AC$225,$D2,Scores!$X$2:$X$225,1))</f>
        <v/>
      </c>
      <c r="N2" s="2" t="str">
        <f>IF($F2=FALSE,"",SUMIFS(Scores!$W$2:$W$225,Scores!$AB$2:$AB$225,$D2,Scores!$X$2:$X$225,1)+SUMIFS(Scores!$V$2:$V$225,Scores!$AC$2:$AC$225,$D2,Scores!$X$2:$X$225,1))</f>
        <v/>
      </c>
      <c r="O2" s="2" t="str">
        <f t="shared" ref="O2:O33" si="2">IF($F2=FALSE,"",$M2-$N2)</f>
        <v/>
      </c>
      <c r="P2" s="2" t="str">
        <f>IF($F2=FALSE,"",SUMIFS(Scores!$Z$2:$Z$225,Scores!$AB$2:$AB$225,$D2,Scores!$X$2:$X$225,1)+SUMIFS(Scores!$AA$2:$AA$225,Scores!$AC$2:$AC$225,$D2,Scores!$X$2:$X$225,1))</f>
        <v/>
      </c>
      <c r="Q2" t="str">
        <f t="shared" ref="Q2:Q33" si="3">IF($F2=FALSE,"",$P2*1000000000000+$H2*10000000000+$L2*100000000+$O2*100000+$M2*100+(100-$C2))</f>
        <v/>
      </c>
      <c r="R2" t="str">
        <f t="shared" ref="R2:R33" si="4">IF($F2=FALSE,"",COUNTIFS($A$2:$A$65,$A2,$Q$2:$Q$65,"&gt;"&amp;$Q2)+1)</f>
        <v/>
      </c>
      <c r="S2" t="str">
        <f t="shared" ref="S2:S33" si="5">IF($F2=FALSE,"",$A2&amp;"|"&amp;$R2)</f>
        <v/>
      </c>
    </row>
    <row r="3" spans="1:19">
      <c r="A3">
        <v>1</v>
      </c>
      <c r="B3" t="s">
        <v>76</v>
      </c>
      <c r="C3" s="4">
        <v>2</v>
      </c>
      <c r="D3" s="4">
        <v>102</v>
      </c>
      <c r="E3" t="str">
        <f>INDEX(Teams!$E$2:$E$65,($A3-1)*8+$C3)</f>
        <v>Pool A Team 2</v>
      </c>
      <c r="F3" t="b">
        <f>AND($A3&lt;=Setup!$B$5,$C3&lt;=Setup!$B$6)</f>
        <v>0</v>
      </c>
      <c r="G3" s="2" t="str">
        <f>IF($F3=FALSE,"",COUNTIFS(Scores!$AB$2:$AB$225,$D3,Scores!$X$2:$X$225,1)+COUNTIFS(Scores!$AC$2:$AC$225,$D3,Scores!$X$2:$X$225,1))</f>
        <v/>
      </c>
      <c r="H3" s="2" t="str">
        <f>IF($F3=FALSE,"",COUNTIFS(Scores!$AD$2:$AD$225,$D3))</f>
        <v/>
      </c>
      <c r="I3" s="2" t="str">
        <f t="shared" si="0"/>
        <v/>
      </c>
      <c r="J3" s="2" t="str">
        <f>IF($F3=FALSE,"",SUMIFS(Scores!$T$2:$T$225,Scores!$AB$2:$AB$225,$D3,Scores!$X$2:$X$225,1)+SUMIFS(Scores!$U$2:$U$225,Scores!$AC$2:$AC$225,$D3,Scores!$X$2:$X$225,1))</f>
        <v/>
      </c>
      <c r="K3" s="2" t="str">
        <f>IF($F3=FALSE,"",SUMIFS(Scores!$U$2:$U$225,Scores!$AB$2:$AB$225,$D3,Scores!$X$2:$X$225,1)+SUMIFS(Scores!$T$2:$T$225,Scores!$AC$2:$AC$225,$D3,Scores!$X$2:$X$225,1))</f>
        <v/>
      </c>
      <c r="L3" s="2" t="str">
        <f t="shared" si="1"/>
        <v/>
      </c>
      <c r="M3" s="2" t="str">
        <f>IF($F3=FALSE,"",SUMIFS(Scores!$V$2:$V$225,Scores!$AB$2:$AB$225,$D3,Scores!$X$2:$X$225,1)+SUMIFS(Scores!$W$2:$W$225,Scores!$AC$2:$AC$225,$D3,Scores!$X$2:$X$225,1))</f>
        <v/>
      </c>
      <c r="N3" s="2" t="str">
        <f>IF($F3=FALSE,"",SUMIFS(Scores!$W$2:$W$225,Scores!$AB$2:$AB$225,$D3,Scores!$X$2:$X$225,1)+SUMIFS(Scores!$V$2:$V$225,Scores!$AC$2:$AC$225,$D3,Scores!$X$2:$X$225,1))</f>
        <v/>
      </c>
      <c r="O3" s="2" t="str">
        <f t="shared" si="2"/>
        <v/>
      </c>
      <c r="P3" s="2" t="str">
        <f>IF($F3=FALSE,"",SUMIFS(Scores!$Z$2:$Z$225,Scores!$AB$2:$AB$225,$D3,Scores!$X$2:$X$225,1)+SUMIFS(Scores!$AA$2:$AA$225,Scores!$AC$2:$AC$225,$D3,Scores!$X$2:$X$225,1))</f>
        <v/>
      </c>
      <c r="Q3" t="str">
        <f t="shared" si="3"/>
        <v/>
      </c>
      <c r="R3" t="str">
        <f t="shared" si="4"/>
        <v/>
      </c>
      <c r="S3" t="str">
        <f t="shared" si="5"/>
        <v/>
      </c>
    </row>
    <row r="4" spans="1:19">
      <c r="A4">
        <v>1</v>
      </c>
      <c r="B4" t="s">
        <v>76</v>
      </c>
      <c r="C4" s="4">
        <v>3</v>
      </c>
      <c r="D4" s="4">
        <v>103</v>
      </c>
      <c r="E4" t="str">
        <f>INDEX(Teams!$E$2:$E$65,($A4-1)*8+$C4)</f>
        <v>Pool A Team 3</v>
      </c>
      <c r="F4" t="b">
        <f>AND($A4&lt;=Setup!$B$5,$C4&lt;=Setup!$B$6)</f>
        <v>0</v>
      </c>
      <c r="G4" s="2" t="str">
        <f>IF($F4=FALSE,"",COUNTIFS(Scores!$AB$2:$AB$225,$D4,Scores!$X$2:$X$225,1)+COUNTIFS(Scores!$AC$2:$AC$225,$D4,Scores!$X$2:$X$225,1))</f>
        <v/>
      </c>
      <c r="H4" s="2" t="str">
        <f>IF($F4=FALSE,"",COUNTIFS(Scores!$AD$2:$AD$225,$D4))</f>
        <v/>
      </c>
      <c r="I4" s="2" t="str">
        <f t="shared" si="0"/>
        <v/>
      </c>
      <c r="J4" s="2" t="str">
        <f>IF($F4=FALSE,"",SUMIFS(Scores!$T$2:$T$225,Scores!$AB$2:$AB$225,$D4,Scores!$X$2:$X$225,1)+SUMIFS(Scores!$U$2:$U$225,Scores!$AC$2:$AC$225,$D4,Scores!$X$2:$X$225,1))</f>
        <v/>
      </c>
      <c r="K4" s="2" t="str">
        <f>IF($F4=FALSE,"",SUMIFS(Scores!$U$2:$U$225,Scores!$AB$2:$AB$225,$D4,Scores!$X$2:$X$225,1)+SUMIFS(Scores!$T$2:$T$225,Scores!$AC$2:$AC$225,$D4,Scores!$X$2:$X$225,1))</f>
        <v/>
      </c>
      <c r="L4" s="2" t="str">
        <f t="shared" si="1"/>
        <v/>
      </c>
      <c r="M4" s="2" t="str">
        <f>IF($F4=FALSE,"",SUMIFS(Scores!$V$2:$V$225,Scores!$AB$2:$AB$225,$D4,Scores!$X$2:$X$225,1)+SUMIFS(Scores!$W$2:$W$225,Scores!$AC$2:$AC$225,$D4,Scores!$X$2:$X$225,1))</f>
        <v/>
      </c>
      <c r="N4" s="2" t="str">
        <f>IF($F4=FALSE,"",SUMIFS(Scores!$W$2:$W$225,Scores!$AB$2:$AB$225,$D4,Scores!$X$2:$X$225,1)+SUMIFS(Scores!$V$2:$V$225,Scores!$AC$2:$AC$225,$D4,Scores!$X$2:$X$225,1))</f>
        <v/>
      </c>
      <c r="O4" s="2" t="str">
        <f t="shared" si="2"/>
        <v/>
      </c>
      <c r="P4" s="2" t="str">
        <f>IF($F4=FALSE,"",SUMIFS(Scores!$Z$2:$Z$225,Scores!$AB$2:$AB$225,$D4,Scores!$X$2:$X$225,1)+SUMIFS(Scores!$AA$2:$AA$225,Scores!$AC$2:$AC$225,$D4,Scores!$X$2:$X$225,1))</f>
        <v/>
      </c>
      <c r="Q4" t="str">
        <f t="shared" si="3"/>
        <v/>
      </c>
      <c r="R4" t="str">
        <f t="shared" si="4"/>
        <v/>
      </c>
      <c r="S4" t="str">
        <f t="shared" si="5"/>
        <v/>
      </c>
    </row>
    <row r="5" spans="1:19">
      <c r="A5">
        <v>1</v>
      </c>
      <c r="B5" t="s">
        <v>76</v>
      </c>
      <c r="C5" s="4">
        <v>4</v>
      </c>
      <c r="D5" s="4">
        <v>104</v>
      </c>
      <c r="E5" t="str">
        <f>INDEX(Teams!$E$2:$E$65,($A5-1)*8+$C5)</f>
        <v>Pool A Team 4</v>
      </c>
      <c r="F5" t="b">
        <f>AND($A5&lt;=Setup!$B$5,$C5&lt;=Setup!$B$6)</f>
        <v>0</v>
      </c>
      <c r="G5" s="2" t="str">
        <f>IF($F5=FALSE,"",COUNTIFS(Scores!$AB$2:$AB$225,$D5,Scores!$X$2:$X$225,1)+COUNTIFS(Scores!$AC$2:$AC$225,$D5,Scores!$X$2:$X$225,1))</f>
        <v/>
      </c>
      <c r="H5" s="2" t="str">
        <f>IF($F5=FALSE,"",COUNTIFS(Scores!$AD$2:$AD$225,$D5))</f>
        <v/>
      </c>
      <c r="I5" s="2" t="str">
        <f t="shared" si="0"/>
        <v/>
      </c>
      <c r="J5" s="2" t="str">
        <f>IF($F5=FALSE,"",SUMIFS(Scores!$T$2:$T$225,Scores!$AB$2:$AB$225,$D5,Scores!$X$2:$X$225,1)+SUMIFS(Scores!$U$2:$U$225,Scores!$AC$2:$AC$225,$D5,Scores!$X$2:$X$225,1))</f>
        <v/>
      </c>
      <c r="K5" s="2" t="str">
        <f>IF($F5=FALSE,"",SUMIFS(Scores!$U$2:$U$225,Scores!$AB$2:$AB$225,$D5,Scores!$X$2:$X$225,1)+SUMIFS(Scores!$T$2:$T$225,Scores!$AC$2:$AC$225,$D5,Scores!$X$2:$X$225,1))</f>
        <v/>
      </c>
      <c r="L5" s="2" t="str">
        <f t="shared" si="1"/>
        <v/>
      </c>
      <c r="M5" s="2" t="str">
        <f>IF($F5=FALSE,"",SUMIFS(Scores!$V$2:$V$225,Scores!$AB$2:$AB$225,$D5,Scores!$X$2:$X$225,1)+SUMIFS(Scores!$W$2:$W$225,Scores!$AC$2:$AC$225,$D5,Scores!$X$2:$X$225,1))</f>
        <v/>
      </c>
      <c r="N5" s="2" t="str">
        <f>IF($F5=FALSE,"",SUMIFS(Scores!$W$2:$W$225,Scores!$AB$2:$AB$225,$D5,Scores!$X$2:$X$225,1)+SUMIFS(Scores!$V$2:$V$225,Scores!$AC$2:$AC$225,$D5,Scores!$X$2:$X$225,1))</f>
        <v/>
      </c>
      <c r="O5" s="2" t="str">
        <f t="shared" si="2"/>
        <v/>
      </c>
      <c r="P5" s="2" t="str">
        <f>IF($F5=FALSE,"",SUMIFS(Scores!$Z$2:$Z$225,Scores!$AB$2:$AB$225,$D5,Scores!$X$2:$X$225,1)+SUMIFS(Scores!$AA$2:$AA$225,Scores!$AC$2:$AC$225,$D5,Scores!$X$2:$X$225,1))</f>
        <v/>
      </c>
      <c r="Q5" t="str">
        <f t="shared" si="3"/>
        <v/>
      </c>
      <c r="R5" t="str">
        <f t="shared" si="4"/>
        <v/>
      </c>
      <c r="S5" t="str">
        <f t="shared" si="5"/>
        <v/>
      </c>
    </row>
    <row r="6" spans="1:19">
      <c r="A6">
        <v>1</v>
      </c>
      <c r="B6" t="s">
        <v>76</v>
      </c>
      <c r="C6" s="4">
        <v>5</v>
      </c>
      <c r="D6" s="4">
        <v>105</v>
      </c>
      <c r="E6" t="str">
        <f>INDEX(Teams!$E$2:$E$65,($A6-1)*8+$C6)</f>
        <v>Pool A Team 5</v>
      </c>
      <c r="F6" t="b">
        <f>AND($A6&lt;=Setup!$B$5,$C6&lt;=Setup!$B$6)</f>
        <v>0</v>
      </c>
      <c r="G6" s="2" t="str">
        <f>IF($F6=FALSE,"",COUNTIFS(Scores!$AB$2:$AB$225,$D6,Scores!$X$2:$X$225,1)+COUNTIFS(Scores!$AC$2:$AC$225,$D6,Scores!$X$2:$X$225,1))</f>
        <v/>
      </c>
      <c r="H6" s="2" t="str">
        <f>IF($F6=FALSE,"",COUNTIFS(Scores!$AD$2:$AD$225,$D6))</f>
        <v/>
      </c>
      <c r="I6" s="2" t="str">
        <f t="shared" si="0"/>
        <v/>
      </c>
      <c r="J6" s="2" t="str">
        <f>IF($F6=FALSE,"",SUMIFS(Scores!$T$2:$T$225,Scores!$AB$2:$AB$225,$D6,Scores!$X$2:$X$225,1)+SUMIFS(Scores!$U$2:$U$225,Scores!$AC$2:$AC$225,$D6,Scores!$X$2:$X$225,1))</f>
        <v/>
      </c>
      <c r="K6" s="2" t="str">
        <f>IF($F6=FALSE,"",SUMIFS(Scores!$U$2:$U$225,Scores!$AB$2:$AB$225,$D6,Scores!$X$2:$X$225,1)+SUMIFS(Scores!$T$2:$T$225,Scores!$AC$2:$AC$225,$D6,Scores!$X$2:$X$225,1))</f>
        <v/>
      </c>
      <c r="L6" s="2" t="str">
        <f t="shared" si="1"/>
        <v/>
      </c>
      <c r="M6" s="2" t="str">
        <f>IF($F6=FALSE,"",SUMIFS(Scores!$V$2:$V$225,Scores!$AB$2:$AB$225,$D6,Scores!$X$2:$X$225,1)+SUMIFS(Scores!$W$2:$W$225,Scores!$AC$2:$AC$225,$D6,Scores!$X$2:$X$225,1))</f>
        <v/>
      </c>
      <c r="N6" s="2" t="str">
        <f>IF($F6=FALSE,"",SUMIFS(Scores!$W$2:$W$225,Scores!$AB$2:$AB$225,$D6,Scores!$X$2:$X$225,1)+SUMIFS(Scores!$V$2:$V$225,Scores!$AC$2:$AC$225,$D6,Scores!$X$2:$X$225,1))</f>
        <v/>
      </c>
      <c r="O6" s="2" t="str">
        <f t="shared" si="2"/>
        <v/>
      </c>
      <c r="P6" s="2" t="str">
        <f>IF($F6=FALSE,"",SUMIFS(Scores!$Z$2:$Z$225,Scores!$AB$2:$AB$225,$D6,Scores!$X$2:$X$225,1)+SUMIFS(Scores!$AA$2:$AA$225,Scores!$AC$2:$AC$225,$D6,Scores!$X$2:$X$225,1))</f>
        <v/>
      </c>
      <c r="Q6" t="str">
        <f t="shared" si="3"/>
        <v/>
      </c>
      <c r="R6" t="str">
        <f t="shared" si="4"/>
        <v/>
      </c>
      <c r="S6" t="str">
        <f t="shared" si="5"/>
        <v/>
      </c>
    </row>
    <row r="7" spans="1:19">
      <c r="A7">
        <v>1</v>
      </c>
      <c r="B7" t="s">
        <v>76</v>
      </c>
      <c r="C7" s="4">
        <v>6</v>
      </c>
      <c r="D7" s="4">
        <v>106</v>
      </c>
      <c r="E7" t="str">
        <f>INDEX(Teams!$E$2:$E$65,($A7-1)*8+$C7)</f>
        <v>Pool A Team 6</v>
      </c>
      <c r="F7" t="b">
        <f>AND($A7&lt;=Setup!$B$5,$C7&lt;=Setup!$B$6)</f>
        <v>0</v>
      </c>
      <c r="G7" s="2" t="str">
        <f>IF($F7=FALSE,"",COUNTIFS(Scores!$AB$2:$AB$225,$D7,Scores!$X$2:$X$225,1)+COUNTIFS(Scores!$AC$2:$AC$225,$D7,Scores!$X$2:$X$225,1))</f>
        <v/>
      </c>
      <c r="H7" s="2" t="str">
        <f>IF($F7=FALSE,"",COUNTIFS(Scores!$AD$2:$AD$225,$D7))</f>
        <v/>
      </c>
      <c r="I7" s="2" t="str">
        <f t="shared" si="0"/>
        <v/>
      </c>
      <c r="J7" s="2" t="str">
        <f>IF($F7=FALSE,"",SUMIFS(Scores!$T$2:$T$225,Scores!$AB$2:$AB$225,$D7,Scores!$X$2:$X$225,1)+SUMIFS(Scores!$U$2:$U$225,Scores!$AC$2:$AC$225,$D7,Scores!$X$2:$X$225,1))</f>
        <v/>
      </c>
      <c r="K7" s="2" t="str">
        <f>IF($F7=FALSE,"",SUMIFS(Scores!$U$2:$U$225,Scores!$AB$2:$AB$225,$D7,Scores!$X$2:$X$225,1)+SUMIFS(Scores!$T$2:$T$225,Scores!$AC$2:$AC$225,$D7,Scores!$X$2:$X$225,1))</f>
        <v/>
      </c>
      <c r="L7" s="2" t="str">
        <f t="shared" si="1"/>
        <v/>
      </c>
      <c r="M7" s="2" t="str">
        <f>IF($F7=FALSE,"",SUMIFS(Scores!$V$2:$V$225,Scores!$AB$2:$AB$225,$D7,Scores!$X$2:$X$225,1)+SUMIFS(Scores!$W$2:$W$225,Scores!$AC$2:$AC$225,$D7,Scores!$X$2:$X$225,1))</f>
        <v/>
      </c>
      <c r="N7" s="2" t="str">
        <f>IF($F7=FALSE,"",SUMIFS(Scores!$W$2:$W$225,Scores!$AB$2:$AB$225,$D7,Scores!$X$2:$X$225,1)+SUMIFS(Scores!$V$2:$V$225,Scores!$AC$2:$AC$225,$D7,Scores!$X$2:$X$225,1))</f>
        <v/>
      </c>
      <c r="O7" s="2" t="str">
        <f t="shared" si="2"/>
        <v/>
      </c>
      <c r="P7" s="2" t="str">
        <f>IF($F7=FALSE,"",SUMIFS(Scores!$Z$2:$Z$225,Scores!$AB$2:$AB$225,$D7,Scores!$X$2:$X$225,1)+SUMIFS(Scores!$AA$2:$AA$225,Scores!$AC$2:$AC$225,$D7,Scores!$X$2:$X$225,1))</f>
        <v/>
      </c>
      <c r="Q7" t="str">
        <f t="shared" si="3"/>
        <v/>
      </c>
      <c r="R7" t="str">
        <f t="shared" si="4"/>
        <v/>
      </c>
      <c r="S7" t="str">
        <f t="shared" si="5"/>
        <v/>
      </c>
    </row>
    <row r="8" spans="1:19">
      <c r="A8">
        <v>1</v>
      </c>
      <c r="B8" t="s">
        <v>76</v>
      </c>
      <c r="C8" s="4">
        <v>7</v>
      </c>
      <c r="D8" s="4">
        <v>107</v>
      </c>
      <c r="E8" t="str">
        <f>INDEX(Teams!$E$2:$E$65,($A8-1)*8+$C8)</f>
        <v>Pool A Team 7</v>
      </c>
      <c r="F8" t="b">
        <f>AND($A8&lt;=Setup!$B$5,$C8&lt;=Setup!$B$6)</f>
        <v>0</v>
      </c>
      <c r="G8" s="2" t="str">
        <f>IF($F8=FALSE,"",COUNTIFS(Scores!$AB$2:$AB$225,$D8,Scores!$X$2:$X$225,1)+COUNTIFS(Scores!$AC$2:$AC$225,$D8,Scores!$X$2:$X$225,1))</f>
        <v/>
      </c>
      <c r="H8" s="2" t="str">
        <f>IF($F8=FALSE,"",COUNTIFS(Scores!$AD$2:$AD$225,$D8))</f>
        <v/>
      </c>
      <c r="I8" s="2" t="str">
        <f t="shared" si="0"/>
        <v/>
      </c>
      <c r="J8" s="2" t="str">
        <f>IF($F8=FALSE,"",SUMIFS(Scores!$T$2:$T$225,Scores!$AB$2:$AB$225,$D8,Scores!$X$2:$X$225,1)+SUMIFS(Scores!$U$2:$U$225,Scores!$AC$2:$AC$225,$D8,Scores!$X$2:$X$225,1))</f>
        <v/>
      </c>
      <c r="K8" s="2" t="str">
        <f>IF($F8=FALSE,"",SUMIFS(Scores!$U$2:$U$225,Scores!$AB$2:$AB$225,$D8,Scores!$X$2:$X$225,1)+SUMIFS(Scores!$T$2:$T$225,Scores!$AC$2:$AC$225,$D8,Scores!$X$2:$X$225,1))</f>
        <v/>
      </c>
      <c r="L8" s="2" t="str">
        <f t="shared" si="1"/>
        <v/>
      </c>
      <c r="M8" s="2" t="str">
        <f>IF($F8=FALSE,"",SUMIFS(Scores!$V$2:$V$225,Scores!$AB$2:$AB$225,$D8,Scores!$X$2:$X$225,1)+SUMIFS(Scores!$W$2:$W$225,Scores!$AC$2:$AC$225,$D8,Scores!$X$2:$X$225,1))</f>
        <v/>
      </c>
      <c r="N8" s="2" t="str">
        <f>IF($F8=FALSE,"",SUMIFS(Scores!$W$2:$W$225,Scores!$AB$2:$AB$225,$D8,Scores!$X$2:$X$225,1)+SUMIFS(Scores!$V$2:$V$225,Scores!$AC$2:$AC$225,$D8,Scores!$X$2:$X$225,1))</f>
        <v/>
      </c>
      <c r="O8" s="2" t="str">
        <f t="shared" si="2"/>
        <v/>
      </c>
      <c r="P8" s="2" t="str">
        <f>IF($F8=FALSE,"",SUMIFS(Scores!$Z$2:$Z$225,Scores!$AB$2:$AB$225,$D8,Scores!$X$2:$X$225,1)+SUMIFS(Scores!$AA$2:$AA$225,Scores!$AC$2:$AC$225,$D8,Scores!$X$2:$X$225,1))</f>
        <v/>
      </c>
      <c r="Q8" t="str">
        <f t="shared" si="3"/>
        <v/>
      </c>
      <c r="R8" t="str">
        <f t="shared" si="4"/>
        <v/>
      </c>
      <c r="S8" t="str">
        <f t="shared" si="5"/>
        <v/>
      </c>
    </row>
    <row r="9" spans="1:19">
      <c r="A9">
        <v>1</v>
      </c>
      <c r="B9" t="s">
        <v>76</v>
      </c>
      <c r="C9" s="4">
        <v>8</v>
      </c>
      <c r="D9" s="4">
        <v>108</v>
      </c>
      <c r="E9" t="str">
        <f>INDEX(Teams!$E$2:$E$65,($A9-1)*8+$C9)</f>
        <v>Pool A Team 8</v>
      </c>
      <c r="F9" t="b">
        <f>AND($A9&lt;=Setup!$B$5,$C9&lt;=Setup!$B$6)</f>
        <v>0</v>
      </c>
      <c r="G9" s="2" t="str">
        <f>IF($F9=FALSE,"",COUNTIFS(Scores!$AB$2:$AB$225,$D9,Scores!$X$2:$X$225,1)+COUNTIFS(Scores!$AC$2:$AC$225,$D9,Scores!$X$2:$X$225,1))</f>
        <v/>
      </c>
      <c r="H9" s="2" t="str">
        <f>IF($F9=FALSE,"",COUNTIFS(Scores!$AD$2:$AD$225,$D9))</f>
        <v/>
      </c>
      <c r="I9" s="2" t="str">
        <f t="shared" si="0"/>
        <v/>
      </c>
      <c r="J9" s="2" t="str">
        <f>IF($F9=FALSE,"",SUMIFS(Scores!$T$2:$T$225,Scores!$AB$2:$AB$225,$D9,Scores!$X$2:$X$225,1)+SUMIFS(Scores!$U$2:$U$225,Scores!$AC$2:$AC$225,$D9,Scores!$X$2:$X$225,1))</f>
        <v/>
      </c>
      <c r="K9" s="2" t="str">
        <f>IF($F9=FALSE,"",SUMIFS(Scores!$U$2:$U$225,Scores!$AB$2:$AB$225,$D9,Scores!$X$2:$X$225,1)+SUMIFS(Scores!$T$2:$T$225,Scores!$AC$2:$AC$225,$D9,Scores!$X$2:$X$225,1))</f>
        <v/>
      </c>
      <c r="L9" s="2" t="str">
        <f t="shared" si="1"/>
        <v/>
      </c>
      <c r="M9" s="2" t="str">
        <f>IF($F9=FALSE,"",SUMIFS(Scores!$V$2:$V$225,Scores!$AB$2:$AB$225,$D9,Scores!$X$2:$X$225,1)+SUMIFS(Scores!$W$2:$W$225,Scores!$AC$2:$AC$225,$D9,Scores!$X$2:$X$225,1))</f>
        <v/>
      </c>
      <c r="N9" s="2" t="str">
        <f>IF($F9=FALSE,"",SUMIFS(Scores!$W$2:$W$225,Scores!$AB$2:$AB$225,$D9,Scores!$X$2:$X$225,1)+SUMIFS(Scores!$V$2:$V$225,Scores!$AC$2:$AC$225,$D9,Scores!$X$2:$X$225,1))</f>
        <v/>
      </c>
      <c r="O9" s="2" t="str">
        <f t="shared" si="2"/>
        <v/>
      </c>
      <c r="P9" s="2" t="str">
        <f>IF($F9=FALSE,"",SUMIFS(Scores!$Z$2:$Z$225,Scores!$AB$2:$AB$225,$D9,Scores!$X$2:$X$225,1)+SUMIFS(Scores!$AA$2:$AA$225,Scores!$AC$2:$AC$225,$D9,Scores!$X$2:$X$225,1))</f>
        <v/>
      </c>
      <c r="Q9" t="str">
        <f t="shared" si="3"/>
        <v/>
      </c>
      <c r="R9" t="str">
        <f t="shared" si="4"/>
        <v/>
      </c>
      <c r="S9" t="str">
        <f t="shared" si="5"/>
        <v/>
      </c>
    </row>
    <row r="10" spans="1:19">
      <c r="A10">
        <v>2</v>
      </c>
      <c r="B10" t="s">
        <v>85</v>
      </c>
      <c r="C10" s="4">
        <v>1</v>
      </c>
      <c r="D10" s="4">
        <v>201</v>
      </c>
      <c r="E10" t="str">
        <f>INDEX(Teams!$E$2:$E$65,($A10-1)*8+$C10)</f>
        <v>Pool B Team 1</v>
      </c>
      <c r="F10" t="b">
        <f>AND($A10&lt;=Setup!$B$5,$C10&lt;=Setup!$B$6)</f>
        <v>0</v>
      </c>
      <c r="G10" s="2" t="str">
        <f>IF($F10=FALSE,"",COUNTIFS(Scores!$AB$2:$AB$225,$D10,Scores!$X$2:$X$225,1)+COUNTIFS(Scores!$AC$2:$AC$225,$D10,Scores!$X$2:$X$225,1))</f>
        <v/>
      </c>
      <c r="H10" s="2" t="str">
        <f>IF($F10=FALSE,"",COUNTIFS(Scores!$AD$2:$AD$225,$D10))</f>
        <v/>
      </c>
      <c r="I10" s="2" t="str">
        <f t="shared" si="0"/>
        <v/>
      </c>
      <c r="J10" s="2" t="str">
        <f>IF($F10=FALSE,"",SUMIFS(Scores!$T$2:$T$225,Scores!$AB$2:$AB$225,$D10,Scores!$X$2:$X$225,1)+SUMIFS(Scores!$U$2:$U$225,Scores!$AC$2:$AC$225,$D10,Scores!$X$2:$X$225,1))</f>
        <v/>
      </c>
      <c r="K10" s="2" t="str">
        <f>IF($F10=FALSE,"",SUMIFS(Scores!$U$2:$U$225,Scores!$AB$2:$AB$225,$D10,Scores!$X$2:$X$225,1)+SUMIFS(Scores!$T$2:$T$225,Scores!$AC$2:$AC$225,$D10,Scores!$X$2:$X$225,1))</f>
        <v/>
      </c>
      <c r="L10" s="2" t="str">
        <f t="shared" si="1"/>
        <v/>
      </c>
      <c r="M10" s="2" t="str">
        <f>IF($F10=FALSE,"",SUMIFS(Scores!$V$2:$V$225,Scores!$AB$2:$AB$225,$D10,Scores!$X$2:$X$225,1)+SUMIFS(Scores!$W$2:$W$225,Scores!$AC$2:$AC$225,$D10,Scores!$X$2:$X$225,1))</f>
        <v/>
      </c>
      <c r="N10" s="2" t="str">
        <f>IF($F10=FALSE,"",SUMIFS(Scores!$W$2:$W$225,Scores!$AB$2:$AB$225,$D10,Scores!$X$2:$X$225,1)+SUMIFS(Scores!$V$2:$V$225,Scores!$AC$2:$AC$225,$D10,Scores!$X$2:$X$225,1))</f>
        <v/>
      </c>
      <c r="O10" s="2" t="str">
        <f t="shared" si="2"/>
        <v/>
      </c>
      <c r="P10" s="2" t="str">
        <f>IF($F10=FALSE,"",SUMIFS(Scores!$Z$2:$Z$225,Scores!$AB$2:$AB$225,$D10,Scores!$X$2:$X$225,1)+SUMIFS(Scores!$AA$2:$AA$225,Scores!$AC$2:$AC$225,$D10,Scores!$X$2:$X$225,1))</f>
        <v/>
      </c>
      <c r="Q10" t="str">
        <f t="shared" si="3"/>
        <v/>
      </c>
      <c r="R10" t="str">
        <f t="shared" si="4"/>
        <v/>
      </c>
      <c r="S10" t="str">
        <f t="shared" si="5"/>
        <v/>
      </c>
    </row>
    <row r="11" spans="1:19">
      <c r="A11">
        <v>2</v>
      </c>
      <c r="B11" t="s">
        <v>85</v>
      </c>
      <c r="C11" s="4">
        <v>2</v>
      </c>
      <c r="D11" s="4">
        <v>202</v>
      </c>
      <c r="E11" t="str">
        <f>INDEX(Teams!$E$2:$E$65,($A11-1)*8+$C11)</f>
        <v>Pool B Team 2</v>
      </c>
      <c r="F11" t="b">
        <f>AND($A11&lt;=Setup!$B$5,$C11&lt;=Setup!$B$6)</f>
        <v>0</v>
      </c>
      <c r="G11" s="2" t="str">
        <f>IF($F11=FALSE,"",COUNTIFS(Scores!$AB$2:$AB$225,$D11,Scores!$X$2:$X$225,1)+COUNTIFS(Scores!$AC$2:$AC$225,$D11,Scores!$X$2:$X$225,1))</f>
        <v/>
      </c>
      <c r="H11" s="2" t="str">
        <f>IF($F11=FALSE,"",COUNTIFS(Scores!$AD$2:$AD$225,$D11))</f>
        <v/>
      </c>
      <c r="I11" s="2" t="str">
        <f t="shared" si="0"/>
        <v/>
      </c>
      <c r="J11" s="2" t="str">
        <f>IF($F11=FALSE,"",SUMIFS(Scores!$T$2:$T$225,Scores!$AB$2:$AB$225,$D11,Scores!$X$2:$X$225,1)+SUMIFS(Scores!$U$2:$U$225,Scores!$AC$2:$AC$225,$D11,Scores!$X$2:$X$225,1))</f>
        <v/>
      </c>
      <c r="K11" s="2" t="str">
        <f>IF($F11=FALSE,"",SUMIFS(Scores!$U$2:$U$225,Scores!$AB$2:$AB$225,$D11,Scores!$X$2:$X$225,1)+SUMIFS(Scores!$T$2:$T$225,Scores!$AC$2:$AC$225,$D11,Scores!$X$2:$X$225,1))</f>
        <v/>
      </c>
      <c r="L11" s="2" t="str">
        <f t="shared" si="1"/>
        <v/>
      </c>
      <c r="M11" s="2" t="str">
        <f>IF($F11=FALSE,"",SUMIFS(Scores!$V$2:$V$225,Scores!$AB$2:$AB$225,$D11,Scores!$X$2:$X$225,1)+SUMIFS(Scores!$W$2:$W$225,Scores!$AC$2:$AC$225,$D11,Scores!$X$2:$X$225,1))</f>
        <v/>
      </c>
      <c r="N11" s="2" t="str">
        <f>IF($F11=FALSE,"",SUMIFS(Scores!$W$2:$W$225,Scores!$AB$2:$AB$225,$D11,Scores!$X$2:$X$225,1)+SUMIFS(Scores!$V$2:$V$225,Scores!$AC$2:$AC$225,$D11,Scores!$X$2:$X$225,1))</f>
        <v/>
      </c>
      <c r="O11" s="2" t="str">
        <f t="shared" si="2"/>
        <v/>
      </c>
      <c r="P11" s="2" t="str">
        <f>IF($F11=FALSE,"",SUMIFS(Scores!$Z$2:$Z$225,Scores!$AB$2:$AB$225,$D11,Scores!$X$2:$X$225,1)+SUMIFS(Scores!$AA$2:$AA$225,Scores!$AC$2:$AC$225,$D11,Scores!$X$2:$X$225,1))</f>
        <v/>
      </c>
      <c r="Q11" t="str">
        <f t="shared" si="3"/>
        <v/>
      </c>
      <c r="R11" t="str">
        <f t="shared" si="4"/>
        <v/>
      </c>
      <c r="S11" t="str">
        <f t="shared" si="5"/>
        <v/>
      </c>
    </row>
    <row r="12" spans="1:19">
      <c r="A12">
        <v>2</v>
      </c>
      <c r="B12" t="s">
        <v>85</v>
      </c>
      <c r="C12" s="4">
        <v>3</v>
      </c>
      <c r="D12" s="4">
        <v>203</v>
      </c>
      <c r="E12" t="str">
        <f>INDEX(Teams!$E$2:$E$65,($A12-1)*8+$C12)</f>
        <v>Pool B Team 3</v>
      </c>
      <c r="F12" t="b">
        <f>AND($A12&lt;=Setup!$B$5,$C12&lt;=Setup!$B$6)</f>
        <v>0</v>
      </c>
      <c r="G12" s="2" t="str">
        <f>IF($F12=FALSE,"",COUNTIFS(Scores!$AB$2:$AB$225,$D12,Scores!$X$2:$X$225,1)+COUNTIFS(Scores!$AC$2:$AC$225,$D12,Scores!$X$2:$X$225,1))</f>
        <v/>
      </c>
      <c r="H12" s="2" t="str">
        <f>IF($F12=FALSE,"",COUNTIFS(Scores!$AD$2:$AD$225,$D12))</f>
        <v/>
      </c>
      <c r="I12" s="2" t="str">
        <f t="shared" si="0"/>
        <v/>
      </c>
      <c r="J12" s="2" t="str">
        <f>IF($F12=FALSE,"",SUMIFS(Scores!$T$2:$T$225,Scores!$AB$2:$AB$225,$D12,Scores!$X$2:$X$225,1)+SUMIFS(Scores!$U$2:$U$225,Scores!$AC$2:$AC$225,$D12,Scores!$X$2:$X$225,1))</f>
        <v/>
      </c>
      <c r="K12" s="2" t="str">
        <f>IF($F12=FALSE,"",SUMIFS(Scores!$U$2:$U$225,Scores!$AB$2:$AB$225,$D12,Scores!$X$2:$X$225,1)+SUMIFS(Scores!$T$2:$T$225,Scores!$AC$2:$AC$225,$D12,Scores!$X$2:$X$225,1))</f>
        <v/>
      </c>
      <c r="L12" s="2" t="str">
        <f t="shared" si="1"/>
        <v/>
      </c>
      <c r="M12" s="2" t="str">
        <f>IF($F12=FALSE,"",SUMIFS(Scores!$V$2:$V$225,Scores!$AB$2:$AB$225,$D12,Scores!$X$2:$X$225,1)+SUMIFS(Scores!$W$2:$W$225,Scores!$AC$2:$AC$225,$D12,Scores!$X$2:$X$225,1))</f>
        <v/>
      </c>
      <c r="N12" s="2" t="str">
        <f>IF($F12=FALSE,"",SUMIFS(Scores!$W$2:$W$225,Scores!$AB$2:$AB$225,$D12,Scores!$X$2:$X$225,1)+SUMIFS(Scores!$V$2:$V$225,Scores!$AC$2:$AC$225,$D12,Scores!$X$2:$X$225,1))</f>
        <v/>
      </c>
      <c r="O12" s="2" t="str">
        <f t="shared" si="2"/>
        <v/>
      </c>
      <c r="P12" s="2" t="str">
        <f>IF($F12=FALSE,"",SUMIFS(Scores!$Z$2:$Z$225,Scores!$AB$2:$AB$225,$D12,Scores!$X$2:$X$225,1)+SUMIFS(Scores!$AA$2:$AA$225,Scores!$AC$2:$AC$225,$D12,Scores!$X$2:$X$225,1))</f>
        <v/>
      </c>
      <c r="Q12" t="str">
        <f t="shared" si="3"/>
        <v/>
      </c>
      <c r="R12" t="str">
        <f t="shared" si="4"/>
        <v/>
      </c>
      <c r="S12" t="str">
        <f t="shared" si="5"/>
        <v/>
      </c>
    </row>
    <row r="13" spans="1:19">
      <c r="A13">
        <v>2</v>
      </c>
      <c r="B13" t="s">
        <v>85</v>
      </c>
      <c r="C13" s="4">
        <v>4</v>
      </c>
      <c r="D13" s="4">
        <v>204</v>
      </c>
      <c r="E13" t="str">
        <f>INDEX(Teams!$E$2:$E$65,($A13-1)*8+$C13)</f>
        <v>Pool B Team 4</v>
      </c>
      <c r="F13" t="b">
        <f>AND($A13&lt;=Setup!$B$5,$C13&lt;=Setup!$B$6)</f>
        <v>0</v>
      </c>
      <c r="G13" s="2" t="str">
        <f>IF($F13=FALSE,"",COUNTIFS(Scores!$AB$2:$AB$225,$D13,Scores!$X$2:$X$225,1)+COUNTIFS(Scores!$AC$2:$AC$225,$D13,Scores!$X$2:$X$225,1))</f>
        <v/>
      </c>
      <c r="H13" s="2" t="str">
        <f>IF($F13=FALSE,"",COUNTIFS(Scores!$AD$2:$AD$225,$D13))</f>
        <v/>
      </c>
      <c r="I13" s="2" t="str">
        <f t="shared" si="0"/>
        <v/>
      </c>
      <c r="J13" s="2" t="str">
        <f>IF($F13=FALSE,"",SUMIFS(Scores!$T$2:$T$225,Scores!$AB$2:$AB$225,$D13,Scores!$X$2:$X$225,1)+SUMIFS(Scores!$U$2:$U$225,Scores!$AC$2:$AC$225,$D13,Scores!$X$2:$X$225,1))</f>
        <v/>
      </c>
      <c r="K13" s="2" t="str">
        <f>IF($F13=FALSE,"",SUMIFS(Scores!$U$2:$U$225,Scores!$AB$2:$AB$225,$D13,Scores!$X$2:$X$225,1)+SUMIFS(Scores!$T$2:$T$225,Scores!$AC$2:$AC$225,$D13,Scores!$X$2:$X$225,1))</f>
        <v/>
      </c>
      <c r="L13" s="2" t="str">
        <f t="shared" si="1"/>
        <v/>
      </c>
      <c r="M13" s="2" t="str">
        <f>IF($F13=FALSE,"",SUMIFS(Scores!$V$2:$V$225,Scores!$AB$2:$AB$225,$D13,Scores!$X$2:$X$225,1)+SUMIFS(Scores!$W$2:$W$225,Scores!$AC$2:$AC$225,$D13,Scores!$X$2:$X$225,1))</f>
        <v/>
      </c>
      <c r="N13" s="2" t="str">
        <f>IF($F13=FALSE,"",SUMIFS(Scores!$W$2:$W$225,Scores!$AB$2:$AB$225,$D13,Scores!$X$2:$X$225,1)+SUMIFS(Scores!$V$2:$V$225,Scores!$AC$2:$AC$225,$D13,Scores!$X$2:$X$225,1))</f>
        <v/>
      </c>
      <c r="O13" s="2" t="str">
        <f t="shared" si="2"/>
        <v/>
      </c>
      <c r="P13" s="2" t="str">
        <f>IF($F13=FALSE,"",SUMIFS(Scores!$Z$2:$Z$225,Scores!$AB$2:$AB$225,$D13,Scores!$X$2:$X$225,1)+SUMIFS(Scores!$AA$2:$AA$225,Scores!$AC$2:$AC$225,$D13,Scores!$X$2:$X$225,1))</f>
        <v/>
      </c>
      <c r="Q13" t="str">
        <f t="shared" si="3"/>
        <v/>
      </c>
      <c r="R13" t="str">
        <f t="shared" si="4"/>
        <v/>
      </c>
      <c r="S13" t="str">
        <f t="shared" si="5"/>
        <v/>
      </c>
    </row>
    <row r="14" spans="1:19">
      <c r="A14">
        <v>2</v>
      </c>
      <c r="B14" t="s">
        <v>85</v>
      </c>
      <c r="C14" s="4">
        <v>5</v>
      </c>
      <c r="D14" s="4">
        <v>205</v>
      </c>
      <c r="E14" t="str">
        <f>INDEX(Teams!$E$2:$E$65,($A14-1)*8+$C14)</f>
        <v>Pool B Team 5</v>
      </c>
      <c r="F14" t="b">
        <f>AND($A14&lt;=Setup!$B$5,$C14&lt;=Setup!$B$6)</f>
        <v>0</v>
      </c>
      <c r="G14" s="2" t="str">
        <f>IF($F14=FALSE,"",COUNTIFS(Scores!$AB$2:$AB$225,$D14,Scores!$X$2:$X$225,1)+COUNTIFS(Scores!$AC$2:$AC$225,$D14,Scores!$X$2:$X$225,1))</f>
        <v/>
      </c>
      <c r="H14" s="2" t="str">
        <f>IF($F14=FALSE,"",COUNTIFS(Scores!$AD$2:$AD$225,$D14))</f>
        <v/>
      </c>
      <c r="I14" s="2" t="str">
        <f t="shared" si="0"/>
        <v/>
      </c>
      <c r="J14" s="2" t="str">
        <f>IF($F14=FALSE,"",SUMIFS(Scores!$T$2:$T$225,Scores!$AB$2:$AB$225,$D14,Scores!$X$2:$X$225,1)+SUMIFS(Scores!$U$2:$U$225,Scores!$AC$2:$AC$225,$D14,Scores!$X$2:$X$225,1))</f>
        <v/>
      </c>
      <c r="K14" s="2" t="str">
        <f>IF($F14=FALSE,"",SUMIFS(Scores!$U$2:$U$225,Scores!$AB$2:$AB$225,$D14,Scores!$X$2:$X$225,1)+SUMIFS(Scores!$T$2:$T$225,Scores!$AC$2:$AC$225,$D14,Scores!$X$2:$X$225,1))</f>
        <v/>
      </c>
      <c r="L14" s="2" t="str">
        <f t="shared" si="1"/>
        <v/>
      </c>
      <c r="M14" s="2" t="str">
        <f>IF($F14=FALSE,"",SUMIFS(Scores!$V$2:$V$225,Scores!$AB$2:$AB$225,$D14,Scores!$X$2:$X$225,1)+SUMIFS(Scores!$W$2:$W$225,Scores!$AC$2:$AC$225,$D14,Scores!$X$2:$X$225,1))</f>
        <v/>
      </c>
      <c r="N14" s="2" t="str">
        <f>IF($F14=FALSE,"",SUMIFS(Scores!$W$2:$W$225,Scores!$AB$2:$AB$225,$D14,Scores!$X$2:$X$225,1)+SUMIFS(Scores!$V$2:$V$225,Scores!$AC$2:$AC$225,$D14,Scores!$X$2:$X$225,1))</f>
        <v/>
      </c>
      <c r="O14" s="2" t="str">
        <f t="shared" si="2"/>
        <v/>
      </c>
      <c r="P14" s="2" t="str">
        <f>IF($F14=FALSE,"",SUMIFS(Scores!$Z$2:$Z$225,Scores!$AB$2:$AB$225,$D14,Scores!$X$2:$X$225,1)+SUMIFS(Scores!$AA$2:$AA$225,Scores!$AC$2:$AC$225,$D14,Scores!$X$2:$X$225,1))</f>
        <v/>
      </c>
      <c r="Q14" t="str">
        <f t="shared" si="3"/>
        <v/>
      </c>
      <c r="R14" t="str">
        <f t="shared" si="4"/>
        <v/>
      </c>
      <c r="S14" t="str">
        <f t="shared" si="5"/>
        <v/>
      </c>
    </row>
    <row r="15" spans="1:19">
      <c r="A15">
        <v>2</v>
      </c>
      <c r="B15" t="s">
        <v>85</v>
      </c>
      <c r="C15" s="4">
        <v>6</v>
      </c>
      <c r="D15" s="4">
        <v>206</v>
      </c>
      <c r="E15" t="str">
        <f>INDEX(Teams!$E$2:$E$65,($A15-1)*8+$C15)</f>
        <v>Pool B Team 6</v>
      </c>
      <c r="F15" t="b">
        <f>AND($A15&lt;=Setup!$B$5,$C15&lt;=Setup!$B$6)</f>
        <v>0</v>
      </c>
      <c r="G15" s="2" t="str">
        <f>IF($F15=FALSE,"",COUNTIFS(Scores!$AB$2:$AB$225,$D15,Scores!$X$2:$X$225,1)+COUNTIFS(Scores!$AC$2:$AC$225,$D15,Scores!$X$2:$X$225,1))</f>
        <v/>
      </c>
      <c r="H15" s="2" t="str">
        <f>IF($F15=FALSE,"",COUNTIFS(Scores!$AD$2:$AD$225,$D15))</f>
        <v/>
      </c>
      <c r="I15" s="2" t="str">
        <f t="shared" si="0"/>
        <v/>
      </c>
      <c r="J15" s="2" t="str">
        <f>IF($F15=FALSE,"",SUMIFS(Scores!$T$2:$T$225,Scores!$AB$2:$AB$225,$D15,Scores!$X$2:$X$225,1)+SUMIFS(Scores!$U$2:$U$225,Scores!$AC$2:$AC$225,$D15,Scores!$X$2:$X$225,1))</f>
        <v/>
      </c>
      <c r="K15" s="2" t="str">
        <f>IF($F15=FALSE,"",SUMIFS(Scores!$U$2:$U$225,Scores!$AB$2:$AB$225,$D15,Scores!$X$2:$X$225,1)+SUMIFS(Scores!$T$2:$T$225,Scores!$AC$2:$AC$225,$D15,Scores!$X$2:$X$225,1))</f>
        <v/>
      </c>
      <c r="L15" s="2" t="str">
        <f t="shared" si="1"/>
        <v/>
      </c>
      <c r="M15" s="2" t="str">
        <f>IF($F15=FALSE,"",SUMIFS(Scores!$V$2:$V$225,Scores!$AB$2:$AB$225,$D15,Scores!$X$2:$X$225,1)+SUMIFS(Scores!$W$2:$W$225,Scores!$AC$2:$AC$225,$D15,Scores!$X$2:$X$225,1))</f>
        <v/>
      </c>
      <c r="N15" s="2" t="str">
        <f>IF($F15=FALSE,"",SUMIFS(Scores!$W$2:$W$225,Scores!$AB$2:$AB$225,$D15,Scores!$X$2:$X$225,1)+SUMIFS(Scores!$V$2:$V$225,Scores!$AC$2:$AC$225,$D15,Scores!$X$2:$X$225,1))</f>
        <v/>
      </c>
      <c r="O15" s="2" t="str">
        <f t="shared" si="2"/>
        <v/>
      </c>
      <c r="P15" s="2" t="str">
        <f>IF($F15=FALSE,"",SUMIFS(Scores!$Z$2:$Z$225,Scores!$AB$2:$AB$225,$D15,Scores!$X$2:$X$225,1)+SUMIFS(Scores!$AA$2:$AA$225,Scores!$AC$2:$AC$225,$D15,Scores!$X$2:$X$225,1))</f>
        <v/>
      </c>
      <c r="Q15" t="str">
        <f t="shared" si="3"/>
        <v/>
      </c>
      <c r="R15" t="str">
        <f t="shared" si="4"/>
        <v/>
      </c>
      <c r="S15" t="str">
        <f t="shared" si="5"/>
        <v/>
      </c>
    </row>
    <row r="16" spans="1:19">
      <c r="A16">
        <v>2</v>
      </c>
      <c r="B16" t="s">
        <v>85</v>
      </c>
      <c r="C16" s="4">
        <v>7</v>
      </c>
      <c r="D16" s="4">
        <v>207</v>
      </c>
      <c r="E16" t="str">
        <f>INDEX(Teams!$E$2:$E$65,($A16-1)*8+$C16)</f>
        <v>Pool B Team 7</v>
      </c>
      <c r="F16" t="b">
        <f>AND($A16&lt;=Setup!$B$5,$C16&lt;=Setup!$B$6)</f>
        <v>0</v>
      </c>
      <c r="G16" s="2" t="str">
        <f>IF($F16=FALSE,"",COUNTIFS(Scores!$AB$2:$AB$225,$D16,Scores!$X$2:$X$225,1)+COUNTIFS(Scores!$AC$2:$AC$225,$D16,Scores!$X$2:$X$225,1))</f>
        <v/>
      </c>
      <c r="H16" s="2" t="str">
        <f>IF($F16=FALSE,"",COUNTIFS(Scores!$AD$2:$AD$225,$D16))</f>
        <v/>
      </c>
      <c r="I16" s="2" t="str">
        <f t="shared" si="0"/>
        <v/>
      </c>
      <c r="J16" s="2" t="str">
        <f>IF($F16=FALSE,"",SUMIFS(Scores!$T$2:$T$225,Scores!$AB$2:$AB$225,$D16,Scores!$X$2:$X$225,1)+SUMIFS(Scores!$U$2:$U$225,Scores!$AC$2:$AC$225,$D16,Scores!$X$2:$X$225,1))</f>
        <v/>
      </c>
      <c r="K16" s="2" t="str">
        <f>IF($F16=FALSE,"",SUMIFS(Scores!$U$2:$U$225,Scores!$AB$2:$AB$225,$D16,Scores!$X$2:$X$225,1)+SUMIFS(Scores!$T$2:$T$225,Scores!$AC$2:$AC$225,$D16,Scores!$X$2:$X$225,1))</f>
        <v/>
      </c>
      <c r="L16" s="2" t="str">
        <f t="shared" si="1"/>
        <v/>
      </c>
      <c r="M16" s="2" t="str">
        <f>IF($F16=FALSE,"",SUMIFS(Scores!$V$2:$V$225,Scores!$AB$2:$AB$225,$D16,Scores!$X$2:$X$225,1)+SUMIFS(Scores!$W$2:$W$225,Scores!$AC$2:$AC$225,$D16,Scores!$X$2:$X$225,1))</f>
        <v/>
      </c>
      <c r="N16" s="2" t="str">
        <f>IF($F16=FALSE,"",SUMIFS(Scores!$W$2:$W$225,Scores!$AB$2:$AB$225,$D16,Scores!$X$2:$X$225,1)+SUMIFS(Scores!$V$2:$V$225,Scores!$AC$2:$AC$225,$D16,Scores!$X$2:$X$225,1))</f>
        <v/>
      </c>
      <c r="O16" s="2" t="str">
        <f t="shared" si="2"/>
        <v/>
      </c>
      <c r="P16" s="2" t="str">
        <f>IF($F16=FALSE,"",SUMIFS(Scores!$Z$2:$Z$225,Scores!$AB$2:$AB$225,$D16,Scores!$X$2:$X$225,1)+SUMIFS(Scores!$AA$2:$AA$225,Scores!$AC$2:$AC$225,$D16,Scores!$X$2:$X$225,1))</f>
        <v/>
      </c>
      <c r="Q16" t="str">
        <f t="shared" si="3"/>
        <v/>
      </c>
      <c r="R16" t="str">
        <f t="shared" si="4"/>
        <v/>
      </c>
      <c r="S16" t="str">
        <f t="shared" si="5"/>
        <v/>
      </c>
    </row>
    <row r="17" spans="1:19">
      <c r="A17">
        <v>2</v>
      </c>
      <c r="B17" t="s">
        <v>85</v>
      </c>
      <c r="C17" s="4">
        <v>8</v>
      </c>
      <c r="D17" s="4">
        <v>208</v>
      </c>
      <c r="E17" t="str">
        <f>INDEX(Teams!$E$2:$E$65,($A17-1)*8+$C17)</f>
        <v>Pool B Team 8</v>
      </c>
      <c r="F17" t="b">
        <f>AND($A17&lt;=Setup!$B$5,$C17&lt;=Setup!$B$6)</f>
        <v>0</v>
      </c>
      <c r="G17" s="2" t="str">
        <f>IF($F17=FALSE,"",COUNTIFS(Scores!$AB$2:$AB$225,$D17,Scores!$X$2:$X$225,1)+COUNTIFS(Scores!$AC$2:$AC$225,$D17,Scores!$X$2:$X$225,1))</f>
        <v/>
      </c>
      <c r="H17" s="2" t="str">
        <f>IF($F17=FALSE,"",COUNTIFS(Scores!$AD$2:$AD$225,$D17))</f>
        <v/>
      </c>
      <c r="I17" s="2" t="str">
        <f t="shared" si="0"/>
        <v/>
      </c>
      <c r="J17" s="2" t="str">
        <f>IF($F17=FALSE,"",SUMIFS(Scores!$T$2:$T$225,Scores!$AB$2:$AB$225,$D17,Scores!$X$2:$X$225,1)+SUMIFS(Scores!$U$2:$U$225,Scores!$AC$2:$AC$225,$D17,Scores!$X$2:$X$225,1))</f>
        <v/>
      </c>
      <c r="K17" s="2" t="str">
        <f>IF($F17=FALSE,"",SUMIFS(Scores!$U$2:$U$225,Scores!$AB$2:$AB$225,$D17,Scores!$X$2:$X$225,1)+SUMIFS(Scores!$T$2:$T$225,Scores!$AC$2:$AC$225,$D17,Scores!$X$2:$X$225,1))</f>
        <v/>
      </c>
      <c r="L17" s="2" t="str">
        <f t="shared" si="1"/>
        <v/>
      </c>
      <c r="M17" s="2" t="str">
        <f>IF($F17=FALSE,"",SUMIFS(Scores!$V$2:$V$225,Scores!$AB$2:$AB$225,$D17,Scores!$X$2:$X$225,1)+SUMIFS(Scores!$W$2:$W$225,Scores!$AC$2:$AC$225,$D17,Scores!$X$2:$X$225,1))</f>
        <v/>
      </c>
      <c r="N17" s="2" t="str">
        <f>IF($F17=FALSE,"",SUMIFS(Scores!$W$2:$W$225,Scores!$AB$2:$AB$225,$D17,Scores!$X$2:$X$225,1)+SUMIFS(Scores!$V$2:$V$225,Scores!$AC$2:$AC$225,$D17,Scores!$X$2:$X$225,1))</f>
        <v/>
      </c>
      <c r="O17" s="2" t="str">
        <f t="shared" si="2"/>
        <v/>
      </c>
      <c r="P17" s="2" t="str">
        <f>IF($F17=FALSE,"",SUMIFS(Scores!$Z$2:$Z$225,Scores!$AB$2:$AB$225,$D17,Scores!$X$2:$X$225,1)+SUMIFS(Scores!$AA$2:$AA$225,Scores!$AC$2:$AC$225,$D17,Scores!$X$2:$X$225,1))</f>
        <v/>
      </c>
      <c r="Q17" t="str">
        <f t="shared" si="3"/>
        <v/>
      </c>
      <c r="R17" t="str">
        <f t="shared" si="4"/>
        <v/>
      </c>
      <c r="S17" t="str">
        <f t="shared" si="5"/>
        <v/>
      </c>
    </row>
    <row r="18" spans="1:19">
      <c r="A18">
        <v>3</v>
      </c>
      <c r="B18" t="s">
        <v>94</v>
      </c>
      <c r="C18" s="4">
        <v>1</v>
      </c>
      <c r="D18" s="4">
        <v>301</v>
      </c>
      <c r="E18" t="str">
        <f>INDEX(Teams!$E$2:$E$65,($A18-1)*8+$C18)</f>
        <v>Pool C Team 1</v>
      </c>
      <c r="F18" t="b">
        <f>AND($A18&lt;=Setup!$B$5,$C18&lt;=Setup!$B$6)</f>
        <v>0</v>
      </c>
      <c r="G18" s="2" t="str">
        <f>IF($F18=FALSE,"",COUNTIFS(Scores!$AB$2:$AB$225,$D18,Scores!$X$2:$X$225,1)+COUNTIFS(Scores!$AC$2:$AC$225,$D18,Scores!$X$2:$X$225,1))</f>
        <v/>
      </c>
      <c r="H18" s="2" t="str">
        <f>IF($F18=FALSE,"",COUNTIFS(Scores!$AD$2:$AD$225,$D18))</f>
        <v/>
      </c>
      <c r="I18" s="2" t="str">
        <f t="shared" si="0"/>
        <v/>
      </c>
      <c r="J18" s="2" t="str">
        <f>IF($F18=FALSE,"",SUMIFS(Scores!$T$2:$T$225,Scores!$AB$2:$AB$225,$D18,Scores!$X$2:$X$225,1)+SUMIFS(Scores!$U$2:$U$225,Scores!$AC$2:$AC$225,$D18,Scores!$X$2:$X$225,1))</f>
        <v/>
      </c>
      <c r="K18" s="2" t="str">
        <f>IF($F18=FALSE,"",SUMIFS(Scores!$U$2:$U$225,Scores!$AB$2:$AB$225,$D18,Scores!$X$2:$X$225,1)+SUMIFS(Scores!$T$2:$T$225,Scores!$AC$2:$AC$225,$D18,Scores!$X$2:$X$225,1))</f>
        <v/>
      </c>
      <c r="L18" s="2" t="str">
        <f t="shared" si="1"/>
        <v/>
      </c>
      <c r="M18" s="2" t="str">
        <f>IF($F18=FALSE,"",SUMIFS(Scores!$V$2:$V$225,Scores!$AB$2:$AB$225,$D18,Scores!$X$2:$X$225,1)+SUMIFS(Scores!$W$2:$W$225,Scores!$AC$2:$AC$225,$D18,Scores!$X$2:$X$225,1))</f>
        <v/>
      </c>
      <c r="N18" s="2" t="str">
        <f>IF($F18=FALSE,"",SUMIFS(Scores!$W$2:$W$225,Scores!$AB$2:$AB$225,$D18,Scores!$X$2:$X$225,1)+SUMIFS(Scores!$V$2:$V$225,Scores!$AC$2:$AC$225,$D18,Scores!$X$2:$X$225,1))</f>
        <v/>
      </c>
      <c r="O18" s="2" t="str">
        <f t="shared" si="2"/>
        <v/>
      </c>
      <c r="P18" s="2" t="str">
        <f>IF($F18=FALSE,"",SUMIFS(Scores!$Z$2:$Z$225,Scores!$AB$2:$AB$225,$D18,Scores!$X$2:$X$225,1)+SUMIFS(Scores!$AA$2:$AA$225,Scores!$AC$2:$AC$225,$D18,Scores!$X$2:$X$225,1))</f>
        <v/>
      </c>
      <c r="Q18" t="str">
        <f t="shared" si="3"/>
        <v/>
      </c>
      <c r="R18" t="str">
        <f t="shared" si="4"/>
        <v/>
      </c>
      <c r="S18" t="str">
        <f t="shared" si="5"/>
        <v/>
      </c>
    </row>
    <row r="19" spans="1:19">
      <c r="A19">
        <v>3</v>
      </c>
      <c r="B19" t="s">
        <v>94</v>
      </c>
      <c r="C19" s="4">
        <v>2</v>
      </c>
      <c r="D19" s="4">
        <v>302</v>
      </c>
      <c r="E19" t="str">
        <f>INDEX(Teams!$E$2:$E$65,($A19-1)*8+$C19)</f>
        <v>Pool C Team 2</v>
      </c>
      <c r="F19" t="b">
        <f>AND($A19&lt;=Setup!$B$5,$C19&lt;=Setup!$B$6)</f>
        <v>0</v>
      </c>
      <c r="G19" s="2" t="str">
        <f>IF($F19=FALSE,"",COUNTIFS(Scores!$AB$2:$AB$225,$D19,Scores!$X$2:$X$225,1)+COUNTIFS(Scores!$AC$2:$AC$225,$D19,Scores!$X$2:$X$225,1))</f>
        <v/>
      </c>
      <c r="H19" s="2" t="str">
        <f>IF($F19=FALSE,"",COUNTIFS(Scores!$AD$2:$AD$225,$D19))</f>
        <v/>
      </c>
      <c r="I19" s="2" t="str">
        <f t="shared" si="0"/>
        <v/>
      </c>
      <c r="J19" s="2" t="str">
        <f>IF($F19=FALSE,"",SUMIFS(Scores!$T$2:$T$225,Scores!$AB$2:$AB$225,$D19,Scores!$X$2:$X$225,1)+SUMIFS(Scores!$U$2:$U$225,Scores!$AC$2:$AC$225,$D19,Scores!$X$2:$X$225,1))</f>
        <v/>
      </c>
      <c r="K19" s="2" t="str">
        <f>IF($F19=FALSE,"",SUMIFS(Scores!$U$2:$U$225,Scores!$AB$2:$AB$225,$D19,Scores!$X$2:$X$225,1)+SUMIFS(Scores!$T$2:$T$225,Scores!$AC$2:$AC$225,$D19,Scores!$X$2:$X$225,1))</f>
        <v/>
      </c>
      <c r="L19" s="2" t="str">
        <f t="shared" si="1"/>
        <v/>
      </c>
      <c r="M19" s="2" t="str">
        <f>IF($F19=FALSE,"",SUMIFS(Scores!$V$2:$V$225,Scores!$AB$2:$AB$225,$D19,Scores!$X$2:$X$225,1)+SUMIFS(Scores!$W$2:$W$225,Scores!$AC$2:$AC$225,$D19,Scores!$X$2:$X$225,1))</f>
        <v/>
      </c>
      <c r="N19" s="2" t="str">
        <f>IF($F19=FALSE,"",SUMIFS(Scores!$W$2:$W$225,Scores!$AB$2:$AB$225,$D19,Scores!$X$2:$X$225,1)+SUMIFS(Scores!$V$2:$V$225,Scores!$AC$2:$AC$225,$D19,Scores!$X$2:$X$225,1))</f>
        <v/>
      </c>
      <c r="O19" s="2" t="str">
        <f t="shared" si="2"/>
        <v/>
      </c>
      <c r="P19" s="2" t="str">
        <f>IF($F19=FALSE,"",SUMIFS(Scores!$Z$2:$Z$225,Scores!$AB$2:$AB$225,$D19,Scores!$X$2:$X$225,1)+SUMIFS(Scores!$AA$2:$AA$225,Scores!$AC$2:$AC$225,$D19,Scores!$X$2:$X$225,1))</f>
        <v/>
      </c>
      <c r="Q19" t="str">
        <f t="shared" si="3"/>
        <v/>
      </c>
      <c r="R19" t="str">
        <f t="shared" si="4"/>
        <v/>
      </c>
      <c r="S19" t="str">
        <f t="shared" si="5"/>
        <v/>
      </c>
    </row>
    <row r="20" spans="1:19">
      <c r="A20">
        <v>3</v>
      </c>
      <c r="B20" t="s">
        <v>94</v>
      </c>
      <c r="C20" s="4">
        <v>3</v>
      </c>
      <c r="D20" s="4">
        <v>303</v>
      </c>
      <c r="E20" t="str">
        <f>INDEX(Teams!$E$2:$E$65,($A20-1)*8+$C20)</f>
        <v>Pool C Team 3</v>
      </c>
      <c r="F20" t="b">
        <f>AND($A20&lt;=Setup!$B$5,$C20&lt;=Setup!$B$6)</f>
        <v>0</v>
      </c>
      <c r="G20" s="2" t="str">
        <f>IF($F20=FALSE,"",COUNTIFS(Scores!$AB$2:$AB$225,$D20,Scores!$X$2:$X$225,1)+COUNTIFS(Scores!$AC$2:$AC$225,$D20,Scores!$X$2:$X$225,1))</f>
        <v/>
      </c>
      <c r="H20" s="2" t="str">
        <f>IF($F20=FALSE,"",COUNTIFS(Scores!$AD$2:$AD$225,$D20))</f>
        <v/>
      </c>
      <c r="I20" s="2" t="str">
        <f t="shared" si="0"/>
        <v/>
      </c>
      <c r="J20" s="2" t="str">
        <f>IF($F20=FALSE,"",SUMIFS(Scores!$T$2:$T$225,Scores!$AB$2:$AB$225,$D20,Scores!$X$2:$X$225,1)+SUMIFS(Scores!$U$2:$U$225,Scores!$AC$2:$AC$225,$D20,Scores!$X$2:$X$225,1))</f>
        <v/>
      </c>
      <c r="K20" s="2" t="str">
        <f>IF($F20=FALSE,"",SUMIFS(Scores!$U$2:$U$225,Scores!$AB$2:$AB$225,$D20,Scores!$X$2:$X$225,1)+SUMIFS(Scores!$T$2:$T$225,Scores!$AC$2:$AC$225,$D20,Scores!$X$2:$X$225,1))</f>
        <v/>
      </c>
      <c r="L20" s="2" t="str">
        <f t="shared" si="1"/>
        <v/>
      </c>
      <c r="M20" s="2" t="str">
        <f>IF($F20=FALSE,"",SUMIFS(Scores!$V$2:$V$225,Scores!$AB$2:$AB$225,$D20,Scores!$X$2:$X$225,1)+SUMIFS(Scores!$W$2:$W$225,Scores!$AC$2:$AC$225,$D20,Scores!$X$2:$X$225,1))</f>
        <v/>
      </c>
      <c r="N20" s="2" t="str">
        <f>IF($F20=FALSE,"",SUMIFS(Scores!$W$2:$W$225,Scores!$AB$2:$AB$225,$D20,Scores!$X$2:$X$225,1)+SUMIFS(Scores!$V$2:$V$225,Scores!$AC$2:$AC$225,$D20,Scores!$X$2:$X$225,1))</f>
        <v/>
      </c>
      <c r="O20" s="2" t="str">
        <f t="shared" si="2"/>
        <v/>
      </c>
      <c r="P20" s="2" t="str">
        <f>IF($F20=FALSE,"",SUMIFS(Scores!$Z$2:$Z$225,Scores!$AB$2:$AB$225,$D20,Scores!$X$2:$X$225,1)+SUMIFS(Scores!$AA$2:$AA$225,Scores!$AC$2:$AC$225,$D20,Scores!$X$2:$X$225,1))</f>
        <v/>
      </c>
      <c r="Q20" t="str">
        <f t="shared" si="3"/>
        <v/>
      </c>
      <c r="R20" t="str">
        <f t="shared" si="4"/>
        <v/>
      </c>
      <c r="S20" t="str">
        <f t="shared" si="5"/>
        <v/>
      </c>
    </row>
    <row r="21" spans="1:19">
      <c r="A21">
        <v>3</v>
      </c>
      <c r="B21" t="s">
        <v>94</v>
      </c>
      <c r="C21" s="4">
        <v>4</v>
      </c>
      <c r="D21" s="4">
        <v>304</v>
      </c>
      <c r="E21" t="str">
        <f>INDEX(Teams!$E$2:$E$65,($A21-1)*8+$C21)</f>
        <v>Pool C Team 4</v>
      </c>
      <c r="F21" t="b">
        <f>AND($A21&lt;=Setup!$B$5,$C21&lt;=Setup!$B$6)</f>
        <v>0</v>
      </c>
      <c r="G21" s="2" t="str">
        <f>IF($F21=FALSE,"",COUNTIFS(Scores!$AB$2:$AB$225,$D21,Scores!$X$2:$X$225,1)+COUNTIFS(Scores!$AC$2:$AC$225,$D21,Scores!$X$2:$X$225,1))</f>
        <v/>
      </c>
      <c r="H21" s="2" t="str">
        <f>IF($F21=FALSE,"",COUNTIFS(Scores!$AD$2:$AD$225,$D21))</f>
        <v/>
      </c>
      <c r="I21" s="2" t="str">
        <f t="shared" si="0"/>
        <v/>
      </c>
      <c r="J21" s="2" t="str">
        <f>IF($F21=FALSE,"",SUMIFS(Scores!$T$2:$T$225,Scores!$AB$2:$AB$225,$D21,Scores!$X$2:$X$225,1)+SUMIFS(Scores!$U$2:$U$225,Scores!$AC$2:$AC$225,$D21,Scores!$X$2:$X$225,1))</f>
        <v/>
      </c>
      <c r="K21" s="2" t="str">
        <f>IF($F21=FALSE,"",SUMIFS(Scores!$U$2:$U$225,Scores!$AB$2:$AB$225,$D21,Scores!$X$2:$X$225,1)+SUMIFS(Scores!$T$2:$T$225,Scores!$AC$2:$AC$225,$D21,Scores!$X$2:$X$225,1))</f>
        <v/>
      </c>
      <c r="L21" s="2" t="str">
        <f t="shared" si="1"/>
        <v/>
      </c>
      <c r="M21" s="2" t="str">
        <f>IF($F21=FALSE,"",SUMIFS(Scores!$V$2:$V$225,Scores!$AB$2:$AB$225,$D21,Scores!$X$2:$X$225,1)+SUMIFS(Scores!$W$2:$W$225,Scores!$AC$2:$AC$225,$D21,Scores!$X$2:$X$225,1))</f>
        <v/>
      </c>
      <c r="N21" s="2" t="str">
        <f>IF($F21=FALSE,"",SUMIFS(Scores!$W$2:$W$225,Scores!$AB$2:$AB$225,$D21,Scores!$X$2:$X$225,1)+SUMIFS(Scores!$V$2:$V$225,Scores!$AC$2:$AC$225,$D21,Scores!$X$2:$X$225,1))</f>
        <v/>
      </c>
      <c r="O21" s="2" t="str">
        <f t="shared" si="2"/>
        <v/>
      </c>
      <c r="P21" s="2" t="str">
        <f>IF($F21=FALSE,"",SUMIFS(Scores!$Z$2:$Z$225,Scores!$AB$2:$AB$225,$D21,Scores!$X$2:$X$225,1)+SUMIFS(Scores!$AA$2:$AA$225,Scores!$AC$2:$AC$225,$D21,Scores!$X$2:$X$225,1))</f>
        <v/>
      </c>
      <c r="Q21" t="str">
        <f t="shared" si="3"/>
        <v/>
      </c>
      <c r="R21" t="str">
        <f t="shared" si="4"/>
        <v/>
      </c>
      <c r="S21" t="str">
        <f t="shared" si="5"/>
        <v/>
      </c>
    </row>
    <row r="22" spans="1:19">
      <c r="A22">
        <v>3</v>
      </c>
      <c r="B22" t="s">
        <v>94</v>
      </c>
      <c r="C22" s="4">
        <v>5</v>
      </c>
      <c r="D22" s="4">
        <v>305</v>
      </c>
      <c r="E22" t="str">
        <f>INDEX(Teams!$E$2:$E$65,($A22-1)*8+$C22)</f>
        <v>Pool C Team 5</v>
      </c>
      <c r="F22" t="b">
        <f>AND($A22&lt;=Setup!$B$5,$C22&lt;=Setup!$B$6)</f>
        <v>0</v>
      </c>
      <c r="G22" s="2" t="str">
        <f>IF($F22=FALSE,"",COUNTIFS(Scores!$AB$2:$AB$225,$D22,Scores!$X$2:$X$225,1)+COUNTIFS(Scores!$AC$2:$AC$225,$D22,Scores!$X$2:$X$225,1))</f>
        <v/>
      </c>
      <c r="H22" s="2" t="str">
        <f>IF($F22=FALSE,"",COUNTIFS(Scores!$AD$2:$AD$225,$D22))</f>
        <v/>
      </c>
      <c r="I22" s="2" t="str">
        <f t="shared" si="0"/>
        <v/>
      </c>
      <c r="J22" s="2" t="str">
        <f>IF($F22=FALSE,"",SUMIFS(Scores!$T$2:$T$225,Scores!$AB$2:$AB$225,$D22,Scores!$X$2:$X$225,1)+SUMIFS(Scores!$U$2:$U$225,Scores!$AC$2:$AC$225,$D22,Scores!$X$2:$X$225,1))</f>
        <v/>
      </c>
      <c r="K22" s="2" t="str">
        <f>IF($F22=FALSE,"",SUMIFS(Scores!$U$2:$U$225,Scores!$AB$2:$AB$225,$D22,Scores!$X$2:$X$225,1)+SUMIFS(Scores!$T$2:$T$225,Scores!$AC$2:$AC$225,$D22,Scores!$X$2:$X$225,1))</f>
        <v/>
      </c>
      <c r="L22" s="2" t="str">
        <f t="shared" si="1"/>
        <v/>
      </c>
      <c r="M22" s="2" t="str">
        <f>IF($F22=FALSE,"",SUMIFS(Scores!$V$2:$V$225,Scores!$AB$2:$AB$225,$D22,Scores!$X$2:$X$225,1)+SUMIFS(Scores!$W$2:$W$225,Scores!$AC$2:$AC$225,$D22,Scores!$X$2:$X$225,1))</f>
        <v/>
      </c>
      <c r="N22" s="2" t="str">
        <f>IF($F22=FALSE,"",SUMIFS(Scores!$W$2:$W$225,Scores!$AB$2:$AB$225,$D22,Scores!$X$2:$X$225,1)+SUMIFS(Scores!$V$2:$V$225,Scores!$AC$2:$AC$225,$D22,Scores!$X$2:$X$225,1))</f>
        <v/>
      </c>
      <c r="O22" s="2" t="str">
        <f t="shared" si="2"/>
        <v/>
      </c>
      <c r="P22" s="2" t="str">
        <f>IF($F22=FALSE,"",SUMIFS(Scores!$Z$2:$Z$225,Scores!$AB$2:$AB$225,$D22,Scores!$X$2:$X$225,1)+SUMIFS(Scores!$AA$2:$AA$225,Scores!$AC$2:$AC$225,$D22,Scores!$X$2:$X$225,1))</f>
        <v/>
      </c>
      <c r="Q22" t="str">
        <f t="shared" si="3"/>
        <v/>
      </c>
      <c r="R22" t="str">
        <f t="shared" si="4"/>
        <v/>
      </c>
      <c r="S22" t="str">
        <f t="shared" si="5"/>
        <v/>
      </c>
    </row>
    <row r="23" spans="1:19">
      <c r="A23">
        <v>3</v>
      </c>
      <c r="B23" t="s">
        <v>94</v>
      </c>
      <c r="C23" s="4">
        <v>6</v>
      </c>
      <c r="D23" s="4">
        <v>306</v>
      </c>
      <c r="E23" t="str">
        <f>INDEX(Teams!$E$2:$E$65,($A23-1)*8+$C23)</f>
        <v>Pool C Team 6</v>
      </c>
      <c r="F23" t="b">
        <f>AND($A23&lt;=Setup!$B$5,$C23&lt;=Setup!$B$6)</f>
        <v>0</v>
      </c>
      <c r="G23" s="2" t="str">
        <f>IF($F23=FALSE,"",COUNTIFS(Scores!$AB$2:$AB$225,$D23,Scores!$X$2:$X$225,1)+COUNTIFS(Scores!$AC$2:$AC$225,$D23,Scores!$X$2:$X$225,1))</f>
        <v/>
      </c>
      <c r="H23" s="2" t="str">
        <f>IF($F23=FALSE,"",COUNTIFS(Scores!$AD$2:$AD$225,$D23))</f>
        <v/>
      </c>
      <c r="I23" s="2" t="str">
        <f t="shared" si="0"/>
        <v/>
      </c>
      <c r="J23" s="2" t="str">
        <f>IF($F23=FALSE,"",SUMIFS(Scores!$T$2:$T$225,Scores!$AB$2:$AB$225,$D23,Scores!$X$2:$X$225,1)+SUMIFS(Scores!$U$2:$U$225,Scores!$AC$2:$AC$225,$D23,Scores!$X$2:$X$225,1))</f>
        <v/>
      </c>
      <c r="K23" s="2" t="str">
        <f>IF($F23=FALSE,"",SUMIFS(Scores!$U$2:$U$225,Scores!$AB$2:$AB$225,$D23,Scores!$X$2:$X$225,1)+SUMIFS(Scores!$T$2:$T$225,Scores!$AC$2:$AC$225,$D23,Scores!$X$2:$X$225,1))</f>
        <v/>
      </c>
      <c r="L23" s="2" t="str">
        <f t="shared" si="1"/>
        <v/>
      </c>
      <c r="M23" s="2" t="str">
        <f>IF($F23=FALSE,"",SUMIFS(Scores!$V$2:$V$225,Scores!$AB$2:$AB$225,$D23,Scores!$X$2:$X$225,1)+SUMIFS(Scores!$W$2:$W$225,Scores!$AC$2:$AC$225,$D23,Scores!$X$2:$X$225,1))</f>
        <v/>
      </c>
      <c r="N23" s="2" t="str">
        <f>IF($F23=FALSE,"",SUMIFS(Scores!$W$2:$W$225,Scores!$AB$2:$AB$225,$D23,Scores!$X$2:$X$225,1)+SUMIFS(Scores!$V$2:$V$225,Scores!$AC$2:$AC$225,$D23,Scores!$X$2:$X$225,1))</f>
        <v/>
      </c>
      <c r="O23" s="2" t="str">
        <f t="shared" si="2"/>
        <v/>
      </c>
      <c r="P23" s="2" t="str">
        <f>IF($F23=FALSE,"",SUMIFS(Scores!$Z$2:$Z$225,Scores!$AB$2:$AB$225,$D23,Scores!$X$2:$X$225,1)+SUMIFS(Scores!$AA$2:$AA$225,Scores!$AC$2:$AC$225,$D23,Scores!$X$2:$X$225,1))</f>
        <v/>
      </c>
      <c r="Q23" t="str">
        <f t="shared" si="3"/>
        <v/>
      </c>
      <c r="R23" t="str">
        <f t="shared" si="4"/>
        <v/>
      </c>
      <c r="S23" t="str">
        <f t="shared" si="5"/>
        <v/>
      </c>
    </row>
    <row r="24" spans="1:19">
      <c r="A24">
        <v>3</v>
      </c>
      <c r="B24" t="s">
        <v>94</v>
      </c>
      <c r="C24" s="4">
        <v>7</v>
      </c>
      <c r="D24" s="4">
        <v>307</v>
      </c>
      <c r="E24" t="str">
        <f>INDEX(Teams!$E$2:$E$65,($A24-1)*8+$C24)</f>
        <v>Pool C Team 7</v>
      </c>
      <c r="F24" t="b">
        <f>AND($A24&lt;=Setup!$B$5,$C24&lt;=Setup!$B$6)</f>
        <v>0</v>
      </c>
      <c r="G24" s="2" t="str">
        <f>IF($F24=FALSE,"",COUNTIFS(Scores!$AB$2:$AB$225,$D24,Scores!$X$2:$X$225,1)+COUNTIFS(Scores!$AC$2:$AC$225,$D24,Scores!$X$2:$X$225,1))</f>
        <v/>
      </c>
      <c r="H24" s="2" t="str">
        <f>IF($F24=FALSE,"",COUNTIFS(Scores!$AD$2:$AD$225,$D24))</f>
        <v/>
      </c>
      <c r="I24" s="2" t="str">
        <f t="shared" si="0"/>
        <v/>
      </c>
      <c r="J24" s="2" t="str">
        <f>IF($F24=FALSE,"",SUMIFS(Scores!$T$2:$T$225,Scores!$AB$2:$AB$225,$D24,Scores!$X$2:$X$225,1)+SUMIFS(Scores!$U$2:$U$225,Scores!$AC$2:$AC$225,$D24,Scores!$X$2:$X$225,1))</f>
        <v/>
      </c>
      <c r="K24" s="2" t="str">
        <f>IF($F24=FALSE,"",SUMIFS(Scores!$U$2:$U$225,Scores!$AB$2:$AB$225,$D24,Scores!$X$2:$X$225,1)+SUMIFS(Scores!$T$2:$T$225,Scores!$AC$2:$AC$225,$D24,Scores!$X$2:$X$225,1))</f>
        <v/>
      </c>
      <c r="L24" s="2" t="str">
        <f t="shared" si="1"/>
        <v/>
      </c>
      <c r="M24" s="2" t="str">
        <f>IF($F24=FALSE,"",SUMIFS(Scores!$V$2:$V$225,Scores!$AB$2:$AB$225,$D24,Scores!$X$2:$X$225,1)+SUMIFS(Scores!$W$2:$W$225,Scores!$AC$2:$AC$225,$D24,Scores!$X$2:$X$225,1))</f>
        <v/>
      </c>
      <c r="N24" s="2" t="str">
        <f>IF($F24=FALSE,"",SUMIFS(Scores!$W$2:$W$225,Scores!$AB$2:$AB$225,$D24,Scores!$X$2:$X$225,1)+SUMIFS(Scores!$V$2:$V$225,Scores!$AC$2:$AC$225,$D24,Scores!$X$2:$X$225,1))</f>
        <v/>
      </c>
      <c r="O24" s="2" t="str">
        <f t="shared" si="2"/>
        <v/>
      </c>
      <c r="P24" s="2" t="str">
        <f>IF($F24=FALSE,"",SUMIFS(Scores!$Z$2:$Z$225,Scores!$AB$2:$AB$225,$D24,Scores!$X$2:$X$225,1)+SUMIFS(Scores!$AA$2:$AA$225,Scores!$AC$2:$AC$225,$D24,Scores!$X$2:$X$225,1))</f>
        <v/>
      </c>
      <c r="Q24" t="str">
        <f t="shared" si="3"/>
        <v/>
      </c>
      <c r="R24" t="str">
        <f t="shared" si="4"/>
        <v/>
      </c>
      <c r="S24" t="str">
        <f t="shared" si="5"/>
        <v/>
      </c>
    </row>
    <row r="25" spans="1:19">
      <c r="A25">
        <v>3</v>
      </c>
      <c r="B25" t="s">
        <v>94</v>
      </c>
      <c r="C25" s="4">
        <v>8</v>
      </c>
      <c r="D25" s="4">
        <v>308</v>
      </c>
      <c r="E25" t="str">
        <f>INDEX(Teams!$E$2:$E$65,($A25-1)*8+$C25)</f>
        <v>Pool C Team 8</v>
      </c>
      <c r="F25" t="b">
        <f>AND($A25&lt;=Setup!$B$5,$C25&lt;=Setup!$B$6)</f>
        <v>0</v>
      </c>
      <c r="G25" s="2" t="str">
        <f>IF($F25=FALSE,"",COUNTIFS(Scores!$AB$2:$AB$225,$D25,Scores!$X$2:$X$225,1)+COUNTIFS(Scores!$AC$2:$AC$225,$D25,Scores!$X$2:$X$225,1))</f>
        <v/>
      </c>
      <c r="H25" s="2" t="str">
        <f>IF($F25=FALSE,"",COUNTIFS(Scores!$AD$2:$AD$225,$D25))</f>
        <v/>
      </c>
      <c r="I25" s="2" t="str">
        <f t="shared" si="0"/>
        <v/>
      </c>
      <c r="J25" s="2" t="str">
        <f>IF($F25=FALSE,"",SUMIFS(Scores!$T$2:$T$225,Scores!$AB$2:$AB$225,$D25,Scores!$X$2:$X$225,1)+SUMIFS(Scores!$U$2:$U$225,Scores!$AC$2:$AC$225,$D25,Scores!$X$2:$X$225,1))</f>
        <v/>
      </c>
      <c r="K25" s="2" t="str">
        <f>IF($F25=FALSE,"",SUMIFS(Scores!$U$2:$U$225,Scores!$AB$2:$AB$225,$D25,Scores!$X$2:$X$225,1)+SUMIFS(Scores!$T$2:$T$225,Scores!$AC$2:$AC$225,$D25,Scores!$X$2:$X$225,1))</f>
        <v/>
      </c>
      <c r="L25" s="2" t="str">
        <f t="shared" si="1"/>
        <v/>
      </c>
      <c r="M25" s="2" t="str">
        <f>IF($F25=FALSE,"",SUMIFS(Scores!$V$2:$V$225,Scores!$AB$2:$AB$225,$D25,Scores!$X$2:$X$225,1)+SUMIFS(Scores!$W$2:$W$225,Scores!$AC$2:$AC$225,$D25,Scores!$X$2:$X$225,1))</f>
        <v/>
      </c>
      <c r="N25" s="2" t="str">
        <f>IF($F25=FALSE,"",SUMIFS(Scores!$W$2:$W$225,Scores!$AB$2:$AB$225,$D25,Scores!$X$2:$X$225,1)+SUMIFS(Scores!$V$2:$V$225,Scores!$AC$2:$AC$225,$D25,Scores!$X$2:$X$225,1))</f>
        <v/>
      </c>
      <c r="O25" s="2" t="str">
        <f t="shared" si="2"/>
        <v/>
      </c>
      <c r="P25" s="2" t="str">
        <f>IF($F25=FALSE,"",SUMIFS(Scores!$Z$2:$Z$225,Scores!$AB$2:$AB$225,$D25,Scores!$X$2:$X$225,1)+SUMIFS(Scores!$AA$2:$AA$225,Scores!$AC$2:$AC$225,$D25,Scores!$X$2:$X$225,1))</f>
        <v/>
      </c>
      <c r="Q25" t="str">
        <f t="shared" si="3"/>
        <v/>
      </c>
      <c r="R25" t="str">
        <f t="shared" si="4"/>
        <v/>
      </c>
      <c r="S25" t="str">
        <f t="shared" si="5"/>
        <v/>
      </c>
    </row>
    <row r="26" spans="1:19">
      <c r="A26">
        <v>4</v>
      </c>
      <c r="B26" t="s">
        <v>103</v>
      </c>
      <c r="C26" s="4">
        <v>1</v>
      </c>
      <c r="D26" s="4">
        <v>401</v>
      </c>
      <c r="E26" t="str">
        <f>INDEX(Teams!$E$2:$E$65,($A26-1)*8+$C26)</f>
        <v>Pool D Team 1</v>
      </c>
      <c r="F26" t="b">
        <f>AND($A26&lt;=Setup!$B$5,$C26&lt;=Setup!$B$6)</f>
        <v>0</v>
      </c>
      <c r="G26" s="2" t="str">
        <f>IF($F26=FALSE,"",COUNTIFS(Scores!$AB$2:$AB$225,$D26,Scores!$X$2:$X$225,1)+COUNTIFS(Scores!$AC$2:$AC$225,$D26,Scores!$X$2:$X$225,1))</f>
        <v/>
      </c>
      <c r="H26" s="2" t="str">
        <f>IF($F26=FALSE,"",COUNTIFS(Scores!$AD$2:$AD$225,$D26))</f>
        <v/>
      </c>
      <c r="I26" s="2" t="str">
        <f t="shared" si="0"/>
        <v/>
      </c>
      <c r="J26" s="2" t="str">
        <f>IF($F26=FALSE,"",SUMIFS(Scores!$T$2:$T$225,Scores!$AB$2:$AB$225,$D26,Scores!$X$2:$X$225,1)+SUMIFS(Scores!$U$2:$U$225,Scores!$AC$2:$AC$225,$D26,Scores!$X$2:$X$225,1))</f>
        <v/>
      </c>
      <c r="K26" s="2" t="str">
        <f>IF($F26=FALSE,"",SUMIFS(Scores!$U$2:$U$225,Scores!$AB$2:$AB$225,$D26,Scores!$X$2:$X$225,1)+SUMIFS(Scores!$T$2:$T$225,Scores!$AC$2:$AC$225,$D26,Scores!$X$2:$X$225,1))</f>
        <v/>
      </c>
      <c r="L26" s="2" t="str">
        <f t="shared" si="1"/>
        <v/>
      </c>
      <c r="M26" s="2" t="str">
        <f>IF($F26=FALSE,"",SUMIFS(Scores!$V$2:$V$225,Scores!$AB$2:$AB$225,$D26,Scores!$X$2:$X$225,1)+SUMIFS(Scores!$W$2:$W$225,Scores!$AC$2:$AC$225,$D26,Scores!$X$2:$X$225,1))</f>
        <v/>
      </c>
      <c r="N26" s="2" t="str">
        <f>IF($F26=FALSE,"",SUMIFS(Scores!$W$2:$W$225,Scores!$AB$2:$AB$225,$D26,Scores!$X$2:$X$225,1)+SUMIFS(Scores!$V$2:$V$225,Scores!$AC$2:$AC$225,$D26,Scores!$X$2:$X$225,1))</f>
        <v/>
      </c>
      <c r="O26" s="2" t="str">
        <f t="shared" si="2"/>
        <v/>
      </c>
      <c r="P26" s="2" t="str">
        <f>IF($F26=FALSE,"",SUMIFS(Scores!$Z$2:$Z$225,Scores!$AB$2:$AB$225,$D26,Scores!$X$2:$X$225,1)+SUMIFS(Scores!$AA$2:$AA$225,Scores!$AC$2:$AC$225,$D26,Scores!$X$2:$X$225,1))</f>
        <v/>
      </c>
      <c r="Q26" t="str">
        <f t="shared" si="3"/>
        <v/>
      </c>
      <c r="R26" t="str">
        <f t="shared" si="4"/>
        <v/>
      </c>
      <c r="S26" t="str">
        <f t="shared" si="5"/>
        <v/>
      </c>
    </row>
    <row r="27" spans="1:19">
      <c r="A27">
        <v>4</v>
      </c>
      <c r="B27" t="s">
        <v>103</v>
      </c>
      <c r="C27" s="4">
        <v>2</v>
      </c>
      <c r="D27" s="4">
        <v>402</v>
      </c>
      <c r="E27" t="str">
        <f>INDEX(Teams!$E$2:$E$65,($A27-1)*8+$C27)</f>
        <v>Pool D Team 2</v>
      </c>
      <c r="F27" t="b">
        <f>AND($A27&lt;=Setup!$B$5,$C27&lt;=Setup!$B$6)</f>
        <v>0</v>
      </c>
      <c r="G27" s="2" t="str">
        <f>IF($F27=FALSE,"",COUNTIFS(Scores!$AB$2:$AB$225,$D27,Scores!$X$2:$X$225,1)+COUNTIFS(Scores!$AC$2:$AC$225,$D27,Scores!$X$2:$X$225,1))</f>
        <v/>
      </c>
      <c r="H27" s="2" t="str">
        <f>IF($F27=FALSE,"",COUNTIFS(Scores!$AD$2:$AD$225,$D27))</f>
        <v/>
      </c>
      <c r="I27" s="2" t="str">
        <f t="shared" si="0"/>
        <v/>
      </c>
      <c r="J27" s="2" t="str">
        <f>IF($F27=FALSE,"",SUMIFS(Scores!$T$2:$T$225,Scores!$AB$2:$AB$225,$D27,Scores!$X$2:$X$225,1)+SUMIFS(Scores!$U$2:$U$225,Scores!$AC$2:$AC$225,$D27,Scores!$X$2:$X$225,1))</f>
        <v/>
      </c>
      <c r="K27" s="2" t="str">
        <f>IF($F27=FALSE,"",SUMIFS(Scores!$U$2:$U$225,Scores!$AB$2:$AB$225,$D27,Scores!$X$2:$X$225,1)+SUMIFS(Scores!$T$2:$T$225,Scores!$AC$2:$AC$225,$D27,Scores!$X$2:$X$225,1))</f>
        <v/>
      </c>
      <c r="L27" s="2" t="str">
        <f t="shared" si="1"/>
        <v/>
      </c>
      <c r="M27" s="2" t="str">
        <f>IF($F27=FALSE,"",SUMIFS(Scores!$V$2:$V$225,Scores!$AB$2:$AB$225,$D27,Scores!$X$2:$X$225,1)+SUMIFS(Scores!$W$2:$W$225,Scores!$AC$2:$AC$225,$D27,Scores!$X$2:$X$225,1))</f>
        <v/>
      </c>
      <c r="N27" s="2" t="str">
        <f>IF($F27=FALSE,"",SUMIFS(Scores!$W$2:$W$225,Scores!$AB$2:$AB$225,$D27,Scores!$X$2:$X$225,1)+SUMIFS(Scores!$V$2:$V$225,Scores!$AC$2:$AC$225,$D27,Scores!$X$2:$X$225,1))</f>
        <v/>
      </c>
      <c r="O27" s="2" t="str">
        <f t="shared" si="2"/>
        <v/>
      </c>
      <c r="P27" s="2" t="str">
        <f>IF($F27=FALSE,"",SUMIFS(Scores!$Z$2:$Z$225,Scores!$AB$2:$AB$225,$D27,Scores!$X$2:$X$225,1)+SUMIFS(Scores!$AA$2:$AA$225,Scores!$AC$2:$AC$225,$D27,Scores!$X$2:$X$225,1))</f>
        <v/>
      </c>
      <c r="Q27" t="str">
        <f t="shared" si="3"/>
        <v/>
      </c>
      <c r="R27" t="str">
        <f t="shared" si="4"/>
        <v/>
      </c>
      <c r="S27" t="str">
        <f t="shared" si="5"/>
        <v/>
      </c>
    </row>
    <row r="28" spans="1:19">
      <c r="A28">
        <v>4</v>
      </c>
      <c r="B28" t="s">
        <v>103</v>
      </c>
      <c r="C28" s="4">
        <v>3</v>
      </c>
      <c r="D28" s="4">
        <v>403</v>
      </c>
      <c r="E28" t="str">
        <f>INDEX(Teams!$E$2:$E$65,($A28-1)*8+$C28)</f>
        <v>Pool D Team 3</v>
      </c>
      <c r="F28" t="b">
        <f>AND($A28&lt;=Setup!$B$5,$C28&lt;=Setup!$B$6)</f>
        <v>0</v>
      </c>
      <c r="G28" s="2" t="str">
        <f>IF($F28=FALSE,"",COUNTIFS(Scores!$AB$2:$AB$225,$D28,Scores!$X$2:$X$225,1)+COUNTIFS(Scores!$AC$2:$AC$225,$D28,Scores!$X$2:$X$225,1))</f>
        <v/>
      </c>
      <c r="H28" s="2" t="str">
        <f>IF($F28=FALSE,"",COUNTIFS(Scores!$AD$2:$AD$225,$D28))</f>
        <v/>
      </c>
      <c r="I28" s="2" t="str">
        <f t="shared" si="0"/>
        <v/>
      </c>
      <c r="J28" s="2" t="str">
        <f>IF($F28=FALSE,"",SUMIFS(Scores!$T$2:$T$225,Scores!$AB$2:$AB$225,$D28,Scores!$X$2:$X$225,1)+SUMIFS(Scores!$U$2:$U$225,Scores!$AC$2:$AC$225,$D28,Scores!$X$2:$X$225,1))</f>
        <v/>
      </c>
      <c r="K28" s="2" t="str">
        <f>IF($F28=FALSE,"",SUMIFS(Scores!$U$2:$U$225,Scores!$AB$2:$AB$225,$D28,Scores!$X$2:$X$225,1)+SUMIFS(Scores!$T$2:$T$225,Scores!$AC$2:$AC$225,$D28,Scores!$X$2:$X$225,1))</f>
        <v/>
      </c>
      <c r="L28" s="2" t="str">
        <f t="shared" si="1"/>
        <v/>
      </c>
      <c r="M28" s="2" t="str">
        <f>IF($F28=FALSE,"",SUMIFS(Scores!$V$2:$V$225,Scores!$AB$2:$AB$225,$D28,Scores!$X$2:$X$225,1)+SUMIFS(Scores!$W$2:$W$225,Scores!$AC$2:$AC$225,$D28,Scores!$X$2:$X$225,1))</f>
        <v/>
      </c>
      <c r="N28" s="2" t="str">
        <f>IF($F28=FALSE,"",SUMIFS(Scores!$W$2:$W$225,Scores!$AB$2:$AB$225,$D28,Scores!$X$2:$X$225,1)+SUMIFS(Scores!$V$2:$V$225,Scores!$AC$2:$AC$225,$D28,Scores!$X$2:$X$225,1))</f>
        <v/>
      </c>
      <c r="O28" s="2" t="str">
        <f t="shared" si="2"/>
        <v/>
      </c>
      <c r="P28" s="2" t="str">
        <f>IF($F28=FALSE,"",SUMIFS(Scores!$Z$2:$Z$225,Scores!$AB$2:$AB$225,$D28,Scores!$X$2:$X$225,1)+SUMIFS(Scores!$AA$2:$AA$225,Scores!$AC$2:$AC$225,$D28,Scores!$X$2:$X$225,1))</f>
        <v/>
      </c>
      <c r="Q28" t="str">
        <f t="shared" si="3"/>
        <v/>
      </c>
      <c r="R28" t="str">
        <f t="shared" si="4"/>
        <v/>
      </c>
      <c r="S28" t="str">
        <f t="shared" si="5"/>
        <v/>
      </c>
    </row>
    <row r="29" spans="1:19">
      <c r="A29">
        <v>4</v>
      </c>
      <c r="B29" t="s">
        <v>103</v>
      </c>
      <c r="C29" s="4">
        <v>4</v>
      </c>
      <c r="D29" s="4">
        <v>404</v>
      </c>
      <c r="E29" t="str">
        <f>INDEX(Teams!$E$2:$E$65,($A29-1)*8+$C29)</f>
        <v>Pool D Team 4</v>
      </c>
      <c r="F29" t="b">
        <f>AND($A29&lt;=Setup!$B$5,$C29&lt;=Setup!$B$6)</f>
        <v>0</v>
      </c>
      <c r="G29" s="2" t="str">
        <f>IF($F29=FALSE,"",COUNTIFS(Scores!$AB$2:$AB$225,$D29,Scores!$X$2:$X$225,1)+COUNTIFS(Scores!$AC$2:$AC$225,$D29,Scores!$X$2:$X$225,1))</f>
        <v/>
      </c>
      <c r="H29" s="2" t="str">
        <f>IF($F29=FALSE,"",COUNTIFS(Scores!$AD$2:$AD$225,$D29))</f>
        <v/>
      </c>
      <c r="I29" s="2" t="str">
        <f t="shared" si="0"/>
        <v/>
      </c>
      <c r="J29" s="2" t="str">
        <f>IF($F29=FALSE,"",SUMIFS(Scores!$T$2:$T$225,Scores!$AB$2:$AB$225,$D29,Scores!$X$2:$X$225,1)+SUMIFS(Scores!$U$2:$U$225,Scores!$AC$2:$AC$225,$D29,Scores!$X$2:$X$225,1))</f>
        <v/>
      </c>
      <c r="K29" s="2" t="str">
        <f>IF($F29=FALSE,"",SUMIFS(Scores!$U$2:$U$225,Scores!$AB$2:$AB$225,$D29,Scores!$X$2:$X$225,1)+SUMIFS(Scores!$T$2:$T$225,Scores!$AC$2:$AC$225,$D29,Scores!$X$2:$X$225,1))</f>
        <v/>
      </c>
      <c r="L29" s="2" t="str">
        <f t="shared" si="1"/>
        <v/>
      </c>
      <c r="M29" s="2" t="str">
        <f>IF($F29=FALSE,"",SUMIFS(Scores!$V$2:$V$225,Scores!$AB$2:$AB$225,$D29,Scores!$X$2:$X$225,1)+SUMIFS(Scores!$W$2:$W$225,Scores!$AC$2:$AC$225,$D29,Scores!$X$2:$X$225,1))</f>
        <v/>
      </c>
      <c r="N29" s="2" t="str">
        <f>IF($F29=FALSE,"",SUMIFS(Scores!$W$2:$W$225,Scores!$AB$2:$AB$225,$D29,Scores!$X$2:$X$225,1)+SUMIFS(Scores!$V$2:$V$225,Scores!$AC$2:$AC$225,$D29,Scores!$X$2:$X$225,1))</f>
        <v/>
      </c>
      <c r="O29" s="2" t="str">
        <f t="shared" si="2"/>
        <v/>
      </c>
      <c r="P29" s="2" t="str">
        <f>IF($F29=FALSE,"",SUMIFS(Scores!$Z$2:$Z$225,Scores!$AB$2:$AB$225,$D29,Scores!$X$2:$X$225,1)+SUMIFS(Scores!$AA$2:$AA$225,Scores!$AC$2:$AC$225,$D29,Scores!$X$2:$X$225,1))</f>
        <v/>
      </c>
      <c r="Q29" t="str">
        <f t="shared" si="3"/>
        <v/>
      </c>
      <c r="R29" t="str">
        <f t="shared" si="4"/>
        <v/>
      </c>
      <c r="S29" t="str">
        <f t="shared" si="5"/>
        <v/>
      </c>
    </row>
    <row r="30" spans="1:19">
      <c r="A30">
        <v>4</v>
      </c>
      <c r="B30" t="s">
        <v>103</v>
      </c>
      <c r="C30" s="4">
        <v>5</v>
      </c>
      <c r="D30" s="4">
        <v>405</v>
      </c>
      <c r="E30" t="str">
        <f>INDEX(Teams!$E$2:$E$65,($A30-1)*8+$C30)</f>
        <v>Pool D Team 5</v>
      </c>
      <c r="F30" t="b">
        <f>AND($A30&lt;=Setup!$B$5,$C30&lt;=Setup!$B$6)</f>
        <v>0</v>
      </c>
      <c r="G30" s="2" t="str">
        <f>IF($F30=FALSE,"",COUNTIFS(Scores!$AB$2:$AB$225,$D30,Scores!$X$2:$X$225,1)+COUNTIFS(Scores!$AC$2:$AC$225,$D30,Scores!$X$2:$X$225,1))</f>
        <v/>
      </c>
      <c r="H30" s="2" t="str">
        <f>IF($F30=FALSE,"",COUNTIFS(Scores!$AD$2:$AD$225,$D30))</f>
        <v/>
      </c>
      <c r="I30" s="2" t="str">
        <f t="shared" si="0"/>
        <v/>
      </c>
      <c r="J30" s="2" t="str">
        <f>IF($F30=FALSE,"",SUMIFS(Scores!$T$2:$T$225,Scores!$AB$2:$AB$225,$D30,Scores!$X$2:$X$225,1)+SUMIFS(Scores!$U$2:$U$225,Scores!$AC$2:$AC$225,$D30,Scores!$X$2:$X$225,1))</f>
        <v/>
      </c>
      <c r="K30" s="2" t="str">
        <f>IF($F30=FALSE,"",SUMIFS(Scores!$U$2:$U$225,Scores!$AB$2:$AB$225,$D30,Scores!$X$2:$X$225,1)+SUMIFS(Scores!$T$2:$T$225,Scores!$AC$2:$AC$225,$D30,Scores!$X$2:$X$225,1))</f>
        <v/>
      </c>
      <c r="L30" s="2" t="str">
        <f t="shared" si="1"/>
        <v/>
      </c>
      <c r="M30" s="2" t="str">
        <f>IF($F30=FALSE,"",SUMIFS(Scores!$V$2:$V$225,Scores!$AB$2:$AB$225,$D30,Scores!$X$2:$X$225,1)+SUMIFS(Scores!$W$2:$W$225,Scores!$AC$2:$AC$225,$D30,Scores!$X$2:$X$225,1))</f>
        <v/>
      </c>
      <c r="N30" s="2" t="str">
        <f>IF($F30=FALSE,"",SUMIFS(Scores!$W$2:$W$225,Scores!$AB$2:$AB$225,$D30,Scores!$X$2:$X$225,1)+SUMIFS(Scores!$V$2:$V$225,Scores!$AC$2:$AC$225,$D30,Scores!$X$2:$X$225,1))</f>
        <v/>
      </c>
      <c r="O30" s="2" t="str">
        <f t="shared" si="2"/>
        <v/>
      </c>
      <c r="P30" s="2" t="str">
        <f>IF($F30=FALSE,"",SUMIFS(Scores!$Z$2:$Z$225,Scores!$AB$2:$AB$225,$D30,Scores!$X$2:$X$225,1)+SUMIFS(Scores!$AA$2:$AA$225,Scores!$AC$2:$AC$225,$D30,Scores!$X$2:$X$225,1))</f>
        <v/>
      </c>
      <c r="Q30" t="str">
        <f t="shared" si="3"/>
        <v/>
      </c>
      <c r="R30" t="str">
        <f t="shared" si="4"/>
        <v/>
      </c>
      <c r="S30" t="str">
        <f t="shared" si="5"/>
        <v/>
      </c>
    </row>
    <row r="31" spans="1:19">
      <c r="A31">
        <v>4</v>
      </c>
      <c r="B31" t="s">
        <v>103</v>
      </c>
      <c r="C31" s="4">
        <v>6</v>
      </c>
      <c r="D31" s="4">
        <v>406</v>
      </c>
      <c r="E31" t="str">
        <f>INDEX(Teams!$E$2:$E$65,($A31-1)*8+$C31)</f>
        <v>Pool D Team 6</v>
      </c>
      <c r="F31" t="b">
        <f>AND($A31&lt;=Setup!$B$5,$C31&lt;=Setup!$B$6)</f>
        <v>0</v>
      </c>
      <c r="G31" s="2" t="str">
        <f>IF($F31=FALSE,"",COUNTIFS(Scores!$AB$2:$AB$225,$D31,Scores!$X$2:$X$225,1)+COUNTIFS(Scores!$AC$2:$AC$225,$D31,Scores!$X$2:$X$225,1))</f>
        <v/>
      </c>
      <c r="H31" s="2" t="str">
        <f>IF($F31=FALSE,"",COUNTIFS(Scores!$AD$2:$AD$225,$D31))</f>
        <v/>
      </c>
      <c r="I31" s="2" t="str">
        <f t="shared" si="0"/>
        <v/>
      </c>
      <c r="J31" s="2" t="str">
        <f>IF($F31=FALSE,"",SUMIFS(Scores!$T$2:$T$225,Scores!$AB$2:$AB$225,$D31,Scores!$X$2:$X$225,1)+SUMIFS(Scores!$U$2:$U$225,Scores!$AC$2:$AC$225,$D31,Scores!$X$2:$X$225,1))</f>
        <v/>
      </c>
      <c r="K31" s="2" t="str">
        <f>IF($F31=FALSE,"",SUMIFS(Scores!$U$2:$U$225,Scores!$AB$2:$AB$225,$D31,Scores!$X$2:$X$225,1)+SUMIFS(Scores!$T$2:$T$225,Scores!$AC$2:$AC$225,$D31,Scores!$X$2:$X$225,1))</f>
        <v/>
      </c>
      <c r="L31" s="2" t="str">
        <f t="shared" si="1"/>
        <v/>
      </c>
      <c r="M31" s="2" t="str">
        <f>IF($F31=FALSE,"",SUMIFS(Scores!$V$2:$V$225,Scores!$AB$2:$AB$225,$D31,Scores!$X$2:$X$225,1)+SUMIFS(Scores!$W$2:$W$225,Scores!$AC$2:$AC$225,$D31,Scores!$X$2:$X$225,1))</f>
        <v/>
      </c>
      <c r="N31" s="2" t="str">
        <f>IF($F31=FALSE,"",SUMIFS(Scores!$W$2:$W$225,Scores!$AB$2:$AB$225,$D31,Scores!$X$2:$X$225,1)+SUMIFS(Scores!$V$2:$V$225,Scores!$AC$2:$AC$225,$D31,Scores!$X$2:$X$225,1))</f>
        <v/>
      </c>
      <c r="O31" s="2" t="str">
        <f t="shared" si="2"/>
        <v/>
      </c>
      <c r="P31" s="2" t="str">
        <f>IF($F31=FALSE,"",SUMIFS(Scores!$Z$2:$Z$225,Scores!$AB$2:$AB$225,$D31,Scores!$X$2:$X$225,1)+SUMIFS(Scores!$AA$2:$AA$225,Scores!$AC$2:$AC$225,$D31,Scores!$X$2:$X$225,1))</f>
        <v/>
      </c>
      <c r="Q31" t="str">
        <f t="shared" si="3"/>
        <v/>
      </c>
      <c r="R31" t="str">
        <f t="shared" si="4"/>
        <v/>
      </c>
      <c r="S31" t="str">
        <f t="shared" si="5"/>
        <v/>
      </c>
    </row>
    <row r="32" spans="1:19">
      <c r="A32">
        <v>4</v>
      </c>
      <c r="B32" t="s">
        <v>103</v>
      </c>
      <c r="C32" s="4">
        <v>7</v>
      </c>
      <c r="D32" s="4">
        <v>407</v>
      </c>
      <c r="E32" t="str">
        <f>INDEX(Teams!$E$2:$E$65,($A32-1)*8+$C32)</f>
        <v>Pool D Team 7</v>
      </c>
      <c r="F32" t="b">
        <f>AND($A32&lt;=Setup!$B$5,$C32&lt;=Setup!$B$6)</f>
        <v>0</v>
      </c>
      <c r="G32" s="2" t="str">
        <f>IF($F32=FALSE,"",COUNTIFS(Scores!$AB$2:$AB$225,$D32,Scores!$X$2:$X$225,1)+COUNTIFS(Scores!$AC$2:$AC$225,$D32,Scores!$X$2:$X$225,1))</f>
        <v/>
      </c>
      <c r="H32" s="2" t="str">
        <f>IF($F32=FALSE,"",COUNTIFS(Scores!$AD$2:$AD$225,$D32))</f>
        <v/>
      </c>
      <c r="I32" s="2" t="str">
        <f t="shared" si="0"/>
        <v/>
      </c>
      <c r="J32" s="2" t="str">
        <f>IF($F32=FALSE,"",SUMIFS(Scores!$T$2:$T$225,Scores!$AB$2:$AB$225,$D32,Scores!$X$2:$X$225,1)+SUMIFS(Scores!$U$2:$U$225,Scores!$AC$2:$AC$225,$D32,Scores!$X$2:$X$225,1))</f>
        <v/>
      </c>
      <c r="K32" s="2" t="str">
        <f>IF($F32=FALSE,"",SUMIFS(Scores!$U$2:$U$225,Scores!$AB$2:$AB$225,$D32,Scores!$X$2:$X$225,1)+SUMIFS(Scores!$T$2:$T$225,Scores!$AC$2:$AC$225,$D32,Scores!$X$2:$X$225,1))</f>
        <v/>
      </c>
      <c r="L32" s="2" t="str">
        <f t="shared" si="1"/>
        <v/>
      </c>
      <c r="M32" s="2" t="str">
        <f>IF($F32=FALSE,"",SUMIFS(Scores!$V$2:$V$225,Scores!$AB$2:$AB$225,$D32,Scores!$X$2:$X$225,1)+SUMIFS(Scores!$W$2:$W$225,Scores!$AC$2:$AC$225,$D32,Scores!$X$2:$X$225,1))</f>
        <v/>
      </c>
      <c r="N32" s="2" t="str">
        <f>IF($F32=FALSE,"",SUMIFS(Scores!$W$2:$W$225,Scores!$AB$2:$AB$225,$D32,Scores!$X$2:$X$225,1)+SUMIFS(Scores!$V$2:$V$225,Scores!$AC$2:$AC$225,$D32,Scores!$X$2:$X$225,1))</f>
        <v/>
      </c>
      <c r="O32" s="2" t="str">
        <f t="shared" si="2"/>
        <v/>
      </c>
      <c r="P32" s="2" t="str">
        <f>IF($F32=FALSE,"",SUMIFS(Scores!$Z$2:$Z$225,Scores!$AB$2:$AB$225,$D32,Scores!$X$2:$X$225,1)+SUMIFS(Scores!$AA$2:$AA$225,Scores!$AC$2:$AC$225,$D32,Scores!$X$2:$X$225,1))</f>
        <v/>
      </c>
      <c r="Q32" t="str">
        <f t="shared" si="3"/>
        <v/>
      </c>
      <c r="R32" t="str">
        <f t="shared" si="4"/>
        <v/>
      </c>
      <c r="S32" t="str">
        <f t="shared" si="5"/>
        <v/>
      </c>
    </row>
    <row r="33" spans="1:19">
      <c r="A33">
        <v>4</v>
      </c>
      <c r="B33" t="s">
        <v>103</v>
      </c>
      <c r="C33" s="4">
        <v>8</v>
      </c>
      <c r="D33" s="4">
        <v>408</v>
      </c>
      <c r="E33" t="str">
        <f>INDEX(Teams!$E$2:$E$65,($A33-1)*8+$C33)</f>
        <v>Pool D Team 8</v>
      </c>
      <c r="F33" t="b">
        <f>AND($A33&lt;=Setup!$B$5,$C33&lt;=Setup!$B$6)</f>
        <v>0</v>
      </c>
      <c r="G33" s="2" t="str">
        <f>IF($F33=FALSE,"",COUNTIFS(Scores!$AB$2:$AB$225,$D33,Scores!$X$2:$X$225,1)+COUNTIFS(Scores!$AC$2:$AC$225,$D33,Scores!$X$2:$X$225,1))</f>
        <v/>
      </c>
      <c r="H33" s="2" t="str">
        <f>IF($F33=FALSE,"",COUNTIFS(Scores!$AD$2:$AD$225,$D33))</f>
        <v/>
      </c>
      <c r="I33" s="2" t="str">
        <f t="shared" si="0"/>
        <v/>
      </c>
      <c r="J33" s="2" t="str">
        <f>IF($F33=FALSE,"",SUMIFS(Scores!$T$2:$T$225,Scores!$AB$2:$AB$225,$D33,Scores!$X$2:$X$225,1)+SUMIFS(Scores!$U$2:$U$225,Scores!$AC$2:$AC$225,$D33,Scores!$X$2:$X$225,1))</f>
        <v/>
      </c>
      <c r="K33" s="2" t="str">
        <f>IF($F33=FALSE,"",SUMIFS(Scores!$U$2:$U$225,Scores!$AB$2:$AB$225,$D33,Scores!$X$2:$X$225,1)+SUMIFS(Scores!$T$2:$T$225,Scores!$AC$2:$AC$225,$D33,Scores!$X$2:$X$225,1))</f>
        <v/>
      </c>
      <c r="L33" s="2" t="str">
        <f t="shared" si="1"/>
        <v/>
      </c>
      <c r="M33" s="2" t="str">
        <f>IF($F33=FALSE,"",SUMIFS(Scores!$V$2:$V$225,Scores!$AB$2:$AB$225,$D33,Scores!$X$2:$X$225,1)+SUMIFS(Scores!$W$2:$W$225,Scores!$AC$2:$AC$225,$D33,Scores!$X$2:$X$225,1))</f>
        <v/>
      </c>
      <c r="N33" s="2" t="str">
        <f>IF($F33=FALSE,"",SUMIFS(Scores!$W$2:$W$225,Scores!$AB$2:$AB$225,$D33,Scores!$X$2:$X$225,1)+SUMIFS(Scores!$V$2:$V$225,Scores!$AC$2:$AC$225,$D33,Scores!$X$2:$X$225,1))</f>
        <v/>
      </c>
      <c r="O33" s="2" t="str">
        <f t="shared" si="2"/>
        <v/>
      </c>
      <c r="P33" s="2" t="str">
        <f>IF($F33=FALSE,"",SUMIFS(Scores!$Z$2:$Z$225,Scores!$AB$2:$AB$225,$D33,Scores!$X$2:$X$225,1)+SUMIFS(Scores!$AA$2:$AA$225,Scores!$AC$2:$AC$225,$D33,Scores!$X$2:$X$225,1))</f>
        <v/>
      </c>
      <c r="Q33" t="str">
        <f t="shared" si="3"/>
        <v/>
      </c>
      <c r="R33" t="str">
        <f t="shared" si="4"/>
        <v/>
      </c>
      <c r="S33" t="str">
        <f t="shared" si="5"/>
        <v/>
      </c>
    </row>
    <row r="34" spans="1:19">
      <c r="A34">
        <v>5</v>
      </c>
      <c r="B34" t="s">
        <v>112</v>
      </c>
      <c r="C34" s="4">
        <v>1</v>
      </c>
      <c r="D34" s="4">
        <v>501</v>
      </c>
      <c r="E34" t="str">
        <f>INDEX(Teams!$E$2:$E$65,($A34-1)*8+$C34)</f>
        <v>Pool E Team 1</v>
      </c>
      <c r="F34" t="b">
        <f>AND($A34&lt;=Setup!$B$5,$C34&lt;=Setup!$B$6)</f>
        <v>0</v>
      </c>
      <c r="G34" s="2" t="str">
        <f>IF($F34=FALSE,"",COUNTIFS(Scores!$AB$2:$AB$225,$D34,Scores!$X$2:$X$225,1)+COUNTIFS(Scores!$AC$2:$AC$225,$D34,Scores!$X$2:$X$225,1))</f>
        <v/>
      </c>
      <c r="H34" s="2" t="str">
        <f>IF($F34=FALSE,"",COUNTIFS(Scores!$AD$2:$AD$225,$D34))</f>
        <v/>
      </c>
      <c r="I34" s="2" t="str">
        <f t="shared" ref="I34:I65" si="6">IF($F34=FALSE,"",$G34-$H34)</f>
        <v/>
      </c>
      <c r="J34" s="2" t="str">
        <f>IF($F34=FALSE,"",SUMIFS(Scores!$T$2:$T$225,Scores!$AB$2:$AB$225,$D34,Scores!$X$2:$X$225,1)+SUMIFS(Scores!$U$2:$U$225,Scores!$AC$2:$AC$225,$D34,Scores!$X$2:$X$225,1))</f>
        <v/>
      </c>
      <c r="K34" s="2" t="str">
        <f>IF($F34=FALSE,"",SUMIFS(Scores!$U$2:$U$225,Scores!$AB$2:$AB$225,$D34,Scores!$X$2:$X$225,1)+SUMIFS(Scores!$T$2:$T$225,Scores!$AC$2:$AC$225,$D34,Scores!$X$2:$X$225,1))</f>
        <v/>
      </c>
      <c r="L34" s="2" t="str">
        <f t="shared" ref="L34:L65" si="7">IF($F34=FALSE,"",$J34-$K34)</f>
        <v/>
      </c>
      <c r="M34" s="2" t="str">
        <f>IF($F34=FALSE,"",SUMIFS(Scores!$V$2:$V$225,Scores!$AB$2:$AB$225,$D34,Scores!$X$2:$X$225,1)+SUMIFS(Scores!$W$2:$W$225,Scores!$AC$2:$AC$225,$D34,Scores!$X$2:$X$225,1))</f>
        <v/>
      </c>
      <c r="N34" s="2" t="str">
        <f>IF($F34=FALSE,"",SUMIFS(Scores!$W$2:$W$225,Scores!$AB$2:$AB$225,$D34,Scores!$X$2:$X$225,1)+SUMIFS(Scores!$V$2:$V$225,Scores!$AC$2:$AC$225,$D34,Scores!$X$2:$X$225,1))</f>
        <v/>
      </c>
      <c r="O34" s="2" t="str">
        <f t="shared" ref="O34:O65" si="8">IF($F34=FALSE,"",$M34-$N34)</f>
        <v/>
      </c>
      <c r="P34" s="2" t="str">
        <f>IF($F34=FALSE,"",SUMIFS(Scores!$Z$2:$Z$225,Scores!$AB$2:$AB$225,$D34,Scores!$X$2:$X$225,1)+SUMIFS(Scores!$AA$2:$AA$225,Scores!$AC$2:$AC$225,$D34,Scores!$X$2:$X$225,1))</f>
        <v/>
      </c>
      <c r="Q34" t="str">
        <f t="shared" ref="Q34:Q65" si="9">IF($F34=FALSE,"",$P34*1000000000000+$H34*10000000000+$L34*100000000+$O34*100000+$M34*100+(100-$C34))</f>
        <v/>
      </c>
      <c r="R34" t="str">
        <f t="shared" ref="R34:R65" si="10">IF($F34=FALSE,"",COUNTIFS($A$2:$A$65,$A34,$Q$2:$Q$65,"&gt;"&amp;$Q34)+1)</f>
        <v/>
      </c>
      <c r="S34" t="str">
        <f t="shared" ref="S34:S65" si="11">IF($F34=FALSE,"",$A34&amp;"|"&amp;$R34)</f>
        <v/>
      </c>
    </row>
    <row r="35" spans="1:19">
      <c r="A35">
        <v>5</v>
      </c>
      <c r="B35" t="s">
        <v>112</v>
      </c>
      <c r="C35" s="4">
        <v>2</v>
      </c>
      <c r="D35" s="4">
        <v>502</v>
      </c>
      <c r="E35" t="str">
        <f>INDEX(Teams!$E$2:$E$65,($A35-1)*8+$C35)</f>
        <v>Pool E Team 2</v>
      </c>
      <c r="F35" t="b">
        <f>AND($A35&lt;=Setup!$B$5,$C35&lt;=Setup!$B$6)</f>
        <v>0</v>
      </c>
      <c r="G35" s="2" t="str">
        <f>IF($F35=FALSE,"",COUNTIFS(Scores!$AB$2:$AB$225,$D35,Scores!$X$2:$X$225,1)+COUNTIFS(Scores!$AC$2:$AC$225,$D35,Scores!$X$2:$X$225,1))</f>
        <v/>
      </c>
      <c r="H35" s="2" t="str">
        <f>IF($F35=FALSE,"",COUNTIFS(Scores!$AD$2:$AD$225,$D35))</f>
        <v/>
      </c>
      <c r="I35" s="2" t="str">
        <f t="shared" si="6"/>
        <v/>
      </c>
      <c r="J35" s="2" t="str">
        <f>IF($F35=FALSE,"",SUMIFS(Scores!$T$2:$T$225,Scores!$AB$2:$AB$225,$D35,Scores!$X$2:$X$225,1)+SUMIFS(Scores!$U$2:$U$225,Scores!$AC$2:$AC$225,$D35,Scores!$X$2:$X$225,1))</f>
        <v/>
      </c>
      <c r="K35" s="2" t="str">
        <f>IF($F35=FALSE,"",SUMIFS(Scores!$U$2:$U$225,Scores!$AB$2:$AB$225,$D35,Scores!$X$2:$X$225,1)+SUMIFS(Scores!$T$2:$T$225,Scores!$AC$2:$AC$225,$D35,Scores!$X$2:$X$225,1))</f>
        <v/>
      </c>
      <c r="L35" s="2" t="str">
        <f t="shared" si="7"/>
        <v/>
      </c>
      <c r="M35" s="2" t="str">
        <f>IF($F35=FALSE,"",SUMIFS(Scores!$V$2:$V$225,Scores!$AB$2:$AB$225,$D35,Scores!$X$2:$X$225,1)+SUMIFS(Scores!$W$2:$W$225,Scores!$AC$2:$AC$225,$D35,Scores!$X$2:$X$225,1))</f>
        <v/>
      </c>
      <c r="N35" s="2" t="str">
        <f>IF($F35=FALSE,"",SUMIFS(Scores!$W$2:$W$225,Scores!$AB$2:$AB$225,$D35,Scores!$X$2:$X$225,1)+SUMIFS(Scores!$V$2:$V$225,Scores!$AC$2:$AC$225,$D35,Scores!$X$2:$X$225,1))</f>
        <v/>
      </c>
      <c r="O35" s="2" t="str">
        <f t="shared" si="8"/>
        <v/>
      </c>
      <c r="P35" s="2" t="str">
        <f>IF($F35=FALSE,"",SUMIFS(Scores!$Z$2:$Z$225,Scores!$AB$2:$AB$225,$D35,Scores!$X$2:$X$225,1)+SUMIFS(Scores!$AA$2:$AA$225,Scores!$AC$2:$AC$225,$D35,Scores!$X$2:$X$225,1))</f>
        <v/>
      </c>
      <c r="Q35" t="str">
        <f t="shared" si="9"/>
        <v/>
      </c>
      <c r="R35" t="str">
        <f t="shared" si="10"/>
        <v/>
      </c>
      <c r="S35" t="str">
        <f t="shared" si="11"/>
        <v/>
      </c>
    </row>
    <row r="36" spans="1:19">
      <c r="A36">
        <v>5</v>
      </c>
      <c r="B36" t="s">
        <v>112</v>
      </c>
      <c r="C36" s="4">
        <v>3</v>
      </c>
      <c r="D36" s="4">
        <v>503</v>
      </c>
      <c r="E36" t="str">
        <f>INDEX(Teams!$E$2:$E$65,($A36-1)*8+$C36)</f>
        <v>Pool E Team 3</v>
      </c>
      <c r="F36" t="b">
        <f>AND($A36&lt;=Setup!$B$5,$C36&lt;=Setup!$B$6)</f>
        <v>0</v>
      </c>
      <c r="G36" s="2" t="str">
        <f>IF($F36=FALSE,"",COUNTIFS(Scores!$AB$2:$AB$225,$D36,Scores!$X$2:$X$225,1)+COUNTIFS(Scores!$AC$2:$AC$225,$D36,Scores!$X$2:$X$225,1))</f>
        <v/>
      </c>
      <c r="H36" s="2" t="str">
        <f>IF($F36=FALSE,"",COUNTIFS(Scores!$AD$2:$AD$225,$D36))</f>
        <v/>
      </c>
      <c r="I36" s="2" t="str">
        <f t="shared" si="6"/>
        <v/>
      </c>
      <c r="J36" s="2" t="str">
        <f>IF($F36=FALSE,"",SUMIFS(Scores!$T$2:$T$225,Scores!$AB$2:$AB$225,$D36,Scores!$X$2:$X$225,1)+SUMIFS(Scores!$U$2:$U$225,Scores!$AC$2:$AC$225,$D36,Scores!$X$2:$X$225,1))</f>
        <v/>
      </c>
      <c r="K36" s="2" t="str">
        <f>IF($F36=FALSE,"",SUMIFS(Scores!$U$2:$U$225,Scores!$AB$2:$AB$225,$D36,Scores!$X$2:$X$225,1)+SUMIFS(Scores!$T$2:$T$225,Scores!$AC$2:$AC$225,$D36,Scores!$X$2:$X$225,1))</f>
        <v/>
      </c>
      <c r="L36" s="2" t="str">
        <f t="shared" si="7"/>
        <v/>
      </c>
      <c r="M36" s="2" t="str">
        <f>IF($F36=FALSE,"",SUMIFS(Scores!$V$2:$V$225,Scores!$AB$2:$AB$225,$D36,Scores!$X$2:$X$225,1)+SUMIFS(Scores!$W$2:$W$225,Scores!$AC$2:$AC$225,$D36,Scores!$X$2:$X$225,1))</f>
        <v/>
      </c>
      <c r="N36" s="2" t="str">
        <f>IF($F36=FALSE,"",SUMIFS(Scores!$W$2:$W$225,Scores!$AB$2:$AB$225,$D36,Scores!$X$2:$X$225,1)+SUMIFS(Scores!$V$2:$V$225,Scores!$AC$2:$AC$225,$D36,Scores!$X$2:$X$225,1))</f>
        <v/>
      </c>
      <c r="O36" s="2" t="str">
        <f t="shared" si="8"/>
        <v/>
      </c>
      <c r="P36" s="2" t="str">
        <f>IF($F36=FALSE,"",SUMIFS(Scores!$Z$2:$Z$225,Scores!$AB$2:$AB$225,$D36,Scores!$X$2:$X$225,1)+SUMIFS(Scores!$AA$2:$AA$225,Scores!$AC$2:$AC$225,$D36,Scores!$X$2:$X$225,1))</f>
        <v/>
      </c>
      <c r="Q36" t="str">
        <f t="shared" si="9"/>
        <v/>
      </c>
      <c r="R36" t="str">
        <f t="shared" si="10"/>
        <v/>
      </c>
      <c r="S36" t="str">
        <f t="shared" si="11"/>
        <v/>
      </c>
    </row>
    <row r="37" spans="1:19">
      <c r="A37">
        <v>5</v>
      </c>
      <c r="B37" t="s">
        <v>112</v>
      </c>
      <c r="C37" s="4">
        <v>4</v>
      </c>
      <c r="D37" s="4">
        <v>504</v>
      </c>
      <c r="E37" t="str">
        <f>INDEX(Teams!$E$2:$E$65,($A37-1)*8+$C37)</f>
        <v>Pool E Team 4</v>
      </c>
      <c r="F37" t="b">
        <f>AND($A37&lt;=Setup!$B$5,$C37&lt;=Setup!$B$6)</f>
        <v>0</v>
      </c>
      <c r="G37" s="2" t="str">
        <f>IF($F37=FALSE,"",COUNTIFS(Scores!$AB$2:$AB$225,$D37,Scores!$X$2:$X$225,1)+COUNTIFS(Scores!$AC$2:$AC$225,$D37,Scores!$X$2:$X$225,1))</f>
        <v/>
      </c>
      <c r="H37" s="2" t="str">
        <f>IF($F37=FALSE,"",COUNTIFS(Scores!$AD$2:$AD$225,$D37))</f>
        <v/>
      </c>
      <c r="I37" s="2" t="str">
        <f t="shared" si="6"/>
        <v/>
      </c>
      <c r="J37" s="2" t="str">
        <f>IF($F37=FALSE,"",SUMIFS(Scores!$T$2:$T$225,Scores!$AB$2:$AB$225,$D37,Scores!$X$2:$X$225,1)+SUMIFS(Scores!$U$2:$U$225,Scores!$AC$2:$AC$225,$D37,Scores!$X$2:$X$225,1))</f>
        <v/>
      </c>
      <c r="K37" s="2" t="str">
        <f>IF($F37=FALSE,"",SUMIFS(Scores!$U$2:$U$225,Scores!$AB$2:$AB$225,$D37,Scores!$X$2:$X$225,1)+SUMIFS(Scores!$T$2:$T$225,Scores!$AC$2:$AC$225,$D37,Scores!$X$2:$X$225,1))</f>
        <v/>
      </c>
      <c r="L37" s="2" t="str">
        <f t="shared" si="7"/>
        <v/>
      </c>
      <c r="M37" s="2" t="str">
        <f>IF($F37=FALSE,"",SUMIFS(Scores!$V$2:$V$225,Scores!$AB$2:$AB$225,$D37,Scores!$X$2:$X$225,1)+SUMIFS(Scores!$W$2:$W$225,Scores!$AC$2:$AC$225,$D37,Scores!$X$2:$X$225,1))</f>
        <v/>
      </c>
      <c r="N37" s="2" t="str">
        <f>IF($F37=FALSE,"",SUMIFS(Scores!$W$2:$W$225,Scores!$AB$2:$AB$225,$D37,Scores!$X$2:$X$225,1)+SUMIFS(Scores!$V$2:$V$225,Scores!$AC$2:$AC$225,$D37,Scores!$X$2:$X$225,1))</f>
        <v/>
      </c>
      <c r="O37" s="2" t="str">
        <f t="shared" si="8"/>
        <v/>
      </c>
      <c r="P37" s="2" t="str">
        <f>IF($F37=FALSE,"",SUMIFS(Scores!$Z$2:$Z$225,Scores!$AB$2:$AB$225,$D37,Scores!$X$2:$X$225,1)+SUMIFS(Scores!$AA$2:$AA$225,Scores!$AC$2:$AC$225,$D37,Scores!$X$2:$X$225,1))</f>
        <v/>
      </c>
      <c r="Q37" t="str">
        <f t="shared" si="9"/>
        <v/>
      </c>
      <c r="R37" t="str">
        <f t="shared" si="10"/>
        <v/>
      </c>
      <c r="S37" t="str">
        <f t="shared" si="11"/>
        <v/>
      </c>
    </row>
    <row r="38" spans="1:19">
      <c r="A38">
        <v>5</v>
      </c>
      <c r="B38" t="s">
        <v>112</v>
      </c>
      <c r="C38" s="4">
        <v>5</v>
      </c>
      <c r="D38" s="4">
        <v>505</v>
      </c>
      <c r="E38" t="str">
        <f>INDEX(Teams!$E$2:$E$65,($A38-1)*8+$C38)</f>
        <v>Pool E Team 5</v>
      </c>
      <c r="F38" t="b">
        <f>AND($A38&lt;=Setup!$B$5,$C38&lt;=Setup!$B$6)</f>
        <v>0</v>
      </c>
      <c r="G38" s="2" t="str">
        <f>IF($F38=FALSE,"",COUNTIFS(Scores!$AB$2:$AB$225,$D38,Scores!$X$2:$X$225,1)+COUNTIFS(Scores!$AC$2:$AC$225,$D38,Scores!$X$2:$X$225,1))</f>
        <v/>
      </c>
      <c r="H38" s="2" t="str">
        <f>IF($F38=FALSE,"",COUNTIFS(Scores!$AD$2:$AD$225,$D38))</f>
        <v/>
      </c>
      <c r="I38" s="2" t="str">
        <f t="shared" si="6"/>
        <v/>
      </c>
      <c r="J38" s="2" t="str">
        <f>IF($F38=FALSE,"",SUMIFS(Scores!$T$2:$T$225,Scores!$AB$2:$AB$225,$D38,Scores!$X$2:$X$225,1)+SUMIFS(Scores!$U$2:$U$225,Scores!$AC$2:$AC$225,$D38,Scores!$X$2:$X$225,1))</f>
        <v/>
      </c>
      <c r="K38" s="2" t="str">
        <f>IF($F38=FALSE,"",SUMIFS(Scores!$U$2:$U$225,Scores!$AB$2:$AB$225,$D38,Scores!$X$2:$X$225,1)+SUMIFS(Scores!$T$2:$T$225,Scores!$AC$2:$AC$225,$D38,Scores!$X$2:$X$225,1))</f>
        <v/>
      </c>
      <c r="L38" s="2" t="str">
        <f t="shared" si="7"/>
        <v/>
      </c>
      <c r="M38" s="2" t="str">
        <f>IF($F38=FALSE,"",SUMIFS(Scores!$V$2:$V$225,Scores!$AB$2:$AB$225,$D38,Scores!$X$2:$X$225,1)+SUMIFS(Scores!$W$2:$W$225,Scores!$AC$2:$AC$225,$D38,Scores!$X$2:$X$225,1))</f>
        <v/>
      </c>
      <c r="N38" s="2" t="str">
        <f>IF($F38=FALSE,"",SUMIFS(Scores!$W$2:$W$225,Scores!$AB$2:$AB$225,$D38,Scores!$X$2:$X$225,1)+SUMIFS(Scores!$V$2:$V$225,Scores!$AC$2:$AC$225,$D38,Scores!$X$2:$X$225,1))</f>
        <v/>
      </c>
      <c r="O38" s="2" t="str">
        <f t="shared" si="8"/>
        <v/>
      </c>
      <c r="P38" s="2" t="str">
        <f>IF($F38=FALSE,"",SUMIFS(Scores!$Z$2:$Z$225,Scores!$AB$2:$AB$225,$D38,Scores!$X$2:$X$225,1)+SUMIFS(Scores!$AA$2:$AA$225,Scores!$AC$2:$AC$225,$D38,Scores!$X$2:$X$225,1))</f>
        <v/>
      </c>
      <c r="Q38" t="str">
        <f t="shared" si="9"/>
        <v/>
      </c>
      <c r="R38" t="str">
        <f t="shared" si="10"/>
        <v/>
      </c>
      <c r="S38" t="str">
        <f t="shared" si="11"/>
        <v/>
      </c>
    </row>
    <row r="39" spans="1:19">
      <c r="A39">
        <v>5</v>
      </c>
      <c r="B39" t="s">
        <v>112</v>
      </c>
      <c r="C39" s="4">
        <v>6</v>
      </c>
      <c r="D39" s="4">
        <v>506</v>
      </c>
      <c r="E39" t="str">
        <f>INDEX(Teams!$E$2:$E$65,($A39-1)*8+$C39)</f>
        <v>Pool E Team 6</v>
      </c>
      <c r="F39" t="b">
        <f>AND($A39&lt;=Setup!$B$5,$C39&lt;=Setup!$B$6)</f>
        <v>0</v>
      </c>
      <c r="G39" s="2" t="str">
        <f>IF($F39=FALSE,"",COUNTIFS(Scores!$AB$2:$AB$225,$D39,Scores!$X$2:$X$225,1)+COUNTIFS(Scores!$AC$2:$AC$225,$D39,Scores!$X$2:$X$225,1))</f>
        <v/>
      </c>
      <c r="H39" s="2" t="str">
        <f>IF($F39=FALSE,"",COUNTIFS(Scores!$AD$2:$AD$225,$D39))</f>
        <v/>
      </c>
      <c r="I39" s="2" t="str">
        <f t="shared" si="6"/>
        <v/>
      </c>
      <c r="J39" s="2" t="str">
        <f>IF($F39=FALSE,"",SUMIFS(Scores!$T$2:$T$225,Scores!$AB$2:$AB$225,$D39,Scores!$X$2:$X$225,1)+SUMIFS(Scores!$U$2:$U$225,Scores!$AC$2:$AC$225,$D39,Scores!$X$2:$X$225,1))</f>
        <v/>
      </c>
      <c r="K39" s="2" t="str">
        <f>IF($F39=FALSE,"",SUMIFS(Scores!$U$2:$U$225,Scores!$AB$2:$AB$225,$D39,Scores!$X$2:$X$225,1)+SUMIFS(Scores!$T$2:$T$225,Scores!$AC$2:$AC$225,$D39,Scores!$X$2:$X$225,1))</f>
        <v/>
      </c>
      <c r="L39" s="2" t="str">
        <f t="shared" si="7"/>
        <v/>
      </c>
      <c r="M39" s="2" t="str">
        <f>IF($F39=FALSE,"",SUMIFS(Scores!$V$2:$V$225,Scores!$AB$2:$AB$225,$D39,Scores!$X$2:$X$225,1)+SUMIFS(Scores!$W$2:$W$225,Scores!$AC$2:$AC$225,$D39,Scores!$X$2:$X$225,1))</f>
        <v/>
      </c>
      <c r="N39" s="2" t="str">
        <f>IF($F39=FALSE,"",SUMIFS(Scores!$W$2:$W$225,Scores!$AB$2:$AB$225,$D39,Scores!$X$2:$X$225,1)+SUMIFS(Scores!$V$2:$V$225,Scores!$AC$2:$AC$225,$D39,Scores!$X$2:$X$225,1))</f>
        <v/>
      </c>
      <c r="O39" s="2" t="str">
        <f t="shared" si="8"/>
        <v/>
      </c>
      <c r="P39" s="2" t="str">
        <f>IF($F39=FALSE,"",SUMIFS(Scores!$Z$2:$Z$225,Scores!$AB$2:$AB$225,$D39,Scores!$X$2:$X$225,1)+SUMIFS(Scores!$AA$2:$AA$225,Scores!$AC$2:$AC$225,$D39,Scores!$X$2:$X$225,1))</f>
        <v/>
      </c>
      <c r="Q39" t="str">
        <f t="shared" si="9"/>
        <v/>
      </c>
      <c r="R39" t="str">
        <f t="shared" si="10"/>
        <v/>
      </c>
      <c r="S39" t="str">
        <f t="shared" si="11"/>
        <v/>
      </c>
    </row>
    <row r="40" spans="1:19">
      <c r="A40">
        <v>5</v>
      </c>
      <c r="B40" t="s">
        <v>112</v>
      </c>
      <c r="C40" s="4">
        <v>7</v>
      </c>
      <c r="D40" s="4">
        <v>507</v>
      </c>
      <c r="E40" t="str">
        <f>INDEX(Teams!$E$2:$E$65,($A40-1)*8+$C40)</f>
        <v>Pool E Team 7</v>
      </c>
      <c r="F40" t="b">
        <f>AND($A40&lt;=Setup!$B$5,$C40&lt;=Setup!$B$6)</f>
        <v>0</v>
      </c>
      <c r="G40" s="2" t="str">
        <f>IF($F40=FALSE,"",COUNTIFS(Scores!$AB$2:$AB$225,$D40,Scores!$X$2:$X$225,1)+COUNTIFS(Scores!$AC$2:$AC$225,$D40,Scores!$X$2:$X$225,1))</f>
        <v/>
      </c>
      <c r="H40" s="2" t="str">
        <f>IF($F40=FALSE,"",COUNTIFS(Scores!$AD$2:$AD$225,$D40))</f>
        <v/>
      </c>
      <c r="I40" s="2" t="str">
        <f t="shared" si="6"/>
        <v/>
      </c>
      <c r="J40" s="2" t="str">
        <f>IF($F40=FALSE,"",SUMIFS(Scores!$T$2:$T$225,Scores!$AB$2:$AB$225,$D40,Scores!$X$2:$X$225,1)+SUMIFS(Scores!$U$2:$U$225,Scores!$AC$2:$AC$225,$D40,Scores!$X$2:$X$225,1))</f>
        <v/>
      </c>
      <c r="K40" s="2" t="str">
        <f>IF($F40=FALSE,"",SUMIFS(Scores!$U$2:$U$225,Scores!$AB$2:$AB$225,$D40,Scores!$X$2:$X$225,1)+SUMIFS(Scores!$T$2:$T$225,Scores!$AC$2:$AC$225,$D40,Scores!$X$2:$X$225,1))</f>
        <v/>
      </c>
      <c r="L40" s="2" t="str">
        <f t="shared" si="7"/>
        <v/>
      </c>
      <c r="M40" s="2" t="str">
        <f>IF($F40=FALSE,"",SUMIFS(Scores!$V$2:$V$225,Scores!$AB$2:$AB$225,$D40,Scores!$X$2:$X$225,1)+SUMIFS(Scores!$W$2:$W$225,Scores!$AC$2:$AC$225,$D40,Scores!$X$2:$X$225,1))</f>
        <v/>
      </c>
      <c r="N40" s="2" t="str">
        <f>IF($F40=FALSE,"",SUMIFS(Scores!$W$2:$W$225,Scores!$AB$2:$AB$225,$D40,Scores!$X$2:$X$225,1)+SUMIFS(Scores!$V$2:$V$225,Scores!$AC$2:$AC$225,$D40,Scores!$X$2:$X$225,1))</f>
        <v/>
      </c>
      <c r="O40" s="2" t="str">
        <f t="shared" si="8"/>
        <v/>
      </c>
      <c r="P40" s="2" t="str">
        <f>IF($F40=FALSE,"",SUMIFS(Scores!$Z$2:$Z$225,Scores!$AB$2:$AB$225,$D40,Scores!$X$2:$X$225,1)+SUMIFS(Scores!$AA$2:$AA$225,Scores!$AC$2:$AC$225,$D40,Scores!$X$2:$X$225,1))</f>
        <v/>
      </c>
      <c r="Q40" t="str">
        <f t="shared" si="9"/>
        <v/>
      </c>
      <c r="R40" t="str">
        <f t="shared" si="10"/>
        <v/>
      </c>
      <c r="S40" t="str">
        <f t="shared" si="11"/>
        <v/>
      </c>
    </row>
    <row r="41" spans="1:19">
      <c r="A41">
        <v>5</v>
      </c>
      <c r="B41" t="s">
        <v>112</v>
      </c>
      <c r="C41" s="4">
        <v>8</v>
      </c>
      <c r="D41" s="4">
        <v>508</v>
      </c>
      <c r="E41" t="str">
        <f>INDEX(Teams!$E$2:$E$65,($A41-1)*8+$C41)</f>
        <v>Pool E Team 8</v>
      </c>
      <c r="F41" t="b">
        <f>AND($A41&lt;=Setup!$B$5,$C41&lt;=Setup!$B$6)</f>
        <v>0</v>
      </c>
      <c r="G41" s="2" t="str">
        <f>IF($F41=FALSE,"",COUNTIFS(Scores!$AB$2:$AB$225,$D41,Scores!$X$2:$X$225,1)+COUNTIFS(Scores!$AC$2:$AC$225,$D41,Scores!$X$2:$X$225,1))</f>
        <v/>
      </c>
      <c r="H41" s="2" t="str">
        <f>IF($F41=FALSE,"",COUNTIFS(Scores!$AD$2:$AD$225,$D41))</f>
        <v/>
      </c>
      <c r="I41" s="2" t="str">
        <f t="shared" si="6"/>
        <v/>
      </c>
      <c r="J41" s="2" t="str">
        <f>IF($F41=FALSE,"",SUMIFS(Scores!$T$2:$T$225,Scores!$AB$2:$AB$225,$D41,Scores!$X$2:$X$225,1)+SUMIFS(Scores!$U$2:$U$225,Scores!$AC$2:$AC$225,$D41,Scores!$X$2:$X$225,1))</f>
        <v/>
      </c>
      <c r="K41" s="2" t="str">
        <f>IF($F41=FALSE,"",SUMIFS(Scores!$U$2:$U$225,Scores!$AB$2:$AB$225,$D41,Scores!$X$2:$X$225,1)+SUMIFS(Scores!$T$2:$T$225,Scores!$AC$2:$AC$225,$D41,Scores!$X$2:$X$225,1))</f>
        <v/>
      </c>
      <c r="L41" s="2" t="str">
        <f t="shared" si="7"/>
        <v/>
      </c>
      <c r="M41" s="2" t="str">
        <f>IF($F41=FALSE,"",SUMIFS(Scores!$V$2:$V$225,Scores!$AB$2:$AB$225,$D41,Scores!$X$2:$X$225,1)+SUMIFS(Scores!$W$2:$W$225,Scores!$AC$2:$AC$225,$D41,Scores!$X$2:$X$225,1))</f>
        <v/>
      </c>
      <c r="N41" s="2" t="str">
        <f>IF($F41=FALSE,"",SUMIFS(Scores!$W$2:$W$225,Scores!$AB$2:$AB$225,$D41,Scores!$X$2:$X$225,1)+SUMIFS(Scores!$V$2:$V$225,Scores!$AC$2:$AC$225,$D41,Scores!$X$2:$X$225,1))</f>
        <v/>
      </c>
      <c r="O41" s="2" t="str">
        <f t="shared" si="8"/>
        <v/>
      </c>
      <c r="P41" s="2" t="str">
        <f>IF($F41=FALSE,"",SUMIFS(Scores!$Z$2:$Z$225,Scores!$AB$2:$AB$225,$D41,Scores!$X$2:$X$225,1)+SUMIFS(Scores!$AA$2:$AA$225,Scores!$AC$2:$AC$225,$D41,Scores!$X$2:$X$225,1))</f>
        <v/>
      </c>
      <c r="Q41" t="str">
        <f t="shared" si="9"/>
        <v/>
      </c>
      <c r="R41" t="str">
        <f t="shared" si="10"/>
        <v/>
      </c>
      <c r="S41" t="str">
        <f t="shared" si="11"/>
        <v/>
      </c>
    </row>
    <row r="42" spans="1:19">
      <c r="A42">
        <v>6</v>
      </c>
      <c r="B42" t="s">
        <v>121</v>
      </c>
      <c r="C42" s="4">
        <v>1</v>
      </c>
      <c r="D42" s="4">
        <v>601</v>
      </c>
      <c r="E42" t="str">
        <f>INDEX(Teams!$E$2:$E$65,($A42-1)*8+$C42)</f>
        <v>Pool F Team 1</v>
      </c>
      <c r="F42" t="b">
        <f>AND($A42&lt;=Setup!$B$5,$C42&lt;=Setup!$B$6)</f>
        <v>0</v>
      </c>
      <c r="G42" s="2" t="str">
        <f>IF($F42=FALSE,"",COUNTIFS(Scores!$AB$2:$AB$225,$D42,Scores!$X$2:$X$225,1)+COUNTIFS(Scores!$AC$2:$AC$225,$D42,Scores!$X$2:$X$225,1))</f>
        <v/>
      </c>
      <c r="H42" s="2" t="str">
        <f>IF($F42=FALSE,"",COUNTIFS(Scores!$AD$2:$AD$225,$D42))</f>
        <v/>
      </c>
      <c r="I42" s="2" t="str">
        <f t="shared" si="6"/>
        <v/>
      </c>
      <c r="J42" s="2" t="str">
        <f>IF($F42=FALSE,"",SUMIFS(Scores!$T$2:$T$225,Scores!$AB$2:$AB$225,$D42,Scores!$X$2:$X$225,1)+SUMIFS(Scores!$U$2:$U$225,Scores!$AC$2:$AC$225,$D42,Scores!$X$2:$X$225,1))</f>
        <v/>
      </c>
      <c r="K42" s="2" t="str">
        <f>IF($F42=FALSE,"",SUMIFS(Scores!$U$2:$U$225,Scores!$AB$2:$AB$225,$D42,Scores!$X$2:$X$225,1)+SUMIFS(Scores!$T$2:$T$225,Scores!$AC$2:$AC$225,$D42,Scores!$X$2:$X$225,1))</f>
        <v/>
      </c>
      <c r="L42" s="2" t="str">
        <f t="shared" si="7"/>
        <v/>
      </c>
      <c r="M42" s="2" t="str">
        <f>IF($F42=FALSE,"",SUMIFS(Scores!$V$2:$V$225,Scores!$AB$2:$AB$225,$D42,Scores!$X$2:$X$225,1)+SUMIFS(Scores!$W$2:$W$225,Scores!$AC$2:$AC$225,$D42,Scores!$X$2:$X$225,1))</f>
        <v/>
      </c>
      <c r="N42" s="2" t="str">
        <f>IF($F42=FALSE,"",SUMIFS(Scores!$W$2:$W$225,Scores!$AB$2:$AB$225,$D42,Scores!$X$2:$X$225,1)+SUMIFS(Scores!$V$2:$V$225,Scores!$AC$2:$AC$225,$D42,Scores!$X$2:$X$225,1))</f>
        <v/>
      </c>
      <c r="O42" s="2" t="str">
        <f t="shared" si="8"/>
        <v/>
      </c>
      <c r="P42" s="2" t="str">
        <f>IF($F42=FALSE,"",SUMIFS(Scores!$Z$2:$Z$225,Scores!$AB$2:$AB$225,$D42,Scores!$X$2:$X$225,1)+SUMIFS(Scores!$AA$2:$AA$225,Scores!$AC$2:$AC$225,$D42,Scores!$X$2:$X$225,1))</f>
        <v/>
      </c>
      <c r="Q42" t="str">
        <f t="shared" si="9"/>
        <v/>
      </c>
      <c r="R42" t="str">
        <f t="shared" si="10"/>
        <v/>
      </c>
      <c r="S42" t="str">
        <f t="shared" si="11"/>
        <v/>
      </c>
    </row>
    <row r="43" spans="1:19">
      <c r="A43">
        <v>6</v>
      </c>
      <c r="B43" t="s">
        <v>121</v>
      </c>
      <c r="C43" s="4">
        <v>2</v>
      </c>
      <c r="D43" s="4">
        <v>602</v>
      </c>
      <c r="E43" t="str">
        <f>INDEX(Teams!$E$2:$E$65,($A43-1)*8+$C43)</f>
        <v>Pool F Team 2</v>
      </c>
      <c r="F43" t="b">
        <f>AND($A43&lt;=Setup!$B$5,$C43&lt;=Setup!$B$6)</f>
        <v>0</v>
      </c>
      <c r="G43" s="2" t="str">
        <f>IF($F43=FALSE,"",COUNTIFS(Scores!$AB$2:$AB$225,$D43,Scores!$X$2:$X$225,1)+COUNTIFS(Scores!$AC$2:$AC$225,$D43,Scores!$X$2:$X$225,1))</f>
        <v/>
      </c>
      <c r="H43" s="2" t="str">
        <f>IF($F43=FALSE,"",COUNTIFS(Scores!$AD$2:$AD$225,$D43))</f>
        <v/>
      </c>
      <c r="I43" s="2" t="str">
        <f t="shared" si="6"/>
        <v/>
      </c>
      <c r="J43" s="2" t="str">
        <f>IF($F43=FALSE,"",SUMIFS(Scores!$T$2:$T$225,Scores!$AB$2:$AB$225,$D43,Scores!$X$2:$X$225,1)+SUMIFS(Scores!$U$2:$U$225,Scores!$AC$2:$AC$225,$D43,Scores!$X$2:$X$225,1))</f>
        <v/>
      </c>
      <c r="K43" s="2" t="str">
        <f>IF($F43=FALSE,"",SUMIFS(Scores!$U$2:$U$225,Scores!$AB$2:$AB$225,$D43,Scores!$X$2:$X$225,1)+SUMIFS(Scores!$T$2:$T$225,Scores!$AC$2:$AC$225,$D43,Scores!$X$2:$X$225,1))</f>
        <v/>
      </c>
      <c r="L43" s="2" t="str">
        <f t="shared" si="7"/>
        <v/>
      </c>
      <c r="M43" s="2" t="str">
        <f>IF($F43=FALSE,"",SUMIFS(Scores!$V$2:$V$225,Scores!$AB$2:$AB$225,$D43,Scores!$X$2:$X$225,1)+SUMIFS(Scores!$W$2:$W$225,Scores!$AC$2:$AC$225,$D43,Scores!$X$2:$X$225,1))</f>
        <v/>
      </c>
      <c r="N43" s="2" t="str">
        <f>IF($F43=FALSE,"",SUMIFS(Scores!$W$2:$W$225,Scores!$AB$2:$AB$225,$D43,Scores!$X$2:$X$225,1)+SUMIFS(Scores!$V$2:$V$225,Scores!$AC$2:$AC$225,$D43,Scores!$X$2:$X$225,1))</f>
        <v/>
      </c>
      <c r="O43" s="2" t="str">
        <f t="shared" si="8"/>
        <v/>
      </c>
      <c r="P43" s="2" t="str">
        <f>IF($F43=FALSE,"",SUMIFS(Scores!$Z$2:$Z$225,Scores!$AB$2:$AB$225,$D43,Scores!$X$2:$X$225,1)+SUMIFS(Scores!$AA$2:$AA$225,Scores!$AC$2:$AC$225,$D43,Scores!$X$2:$X$225,1))</f>
        <v/>
      </c>
      <c r="Q43" t="str">
        <f t="shared" si="9"/>
        <v/>
      </c>
      <c r="R43" t="str">
        <f t="shared" si="10"/>
        <v/>
      </c>
      <c r="S43" t="str">
        <f t="shared" si="11"/>
        <v/>
      </c>
    </row>
    <row r="44" spans="1:19">
      <c r="A44">
        <v>6</v>
      </c>
      <c r="B44" t="s">
        <v>121</v>
      </c>
      <c r="C44" s="4">
        <v>3</v>
      </c>
      <c r="D44" s="4">
        <v>603</v>
      </c>
      <c r="E44" t="str">
        <f>INDEX(Teams!$E$2:$E$65,($A44-1)*8+$C44)</f>
        <v>Pool F Team 3</v>
      </c>
      <c r="F44" t="b">
        <f>AND($A44&lt;=Setup!$B$5,$C44&lt;=Setup!$B$6)</f>
        <v>0</v>
      </c>
      <c r="G44" s="2" t="str">
        <f>IF($F44=FALSE,"",COUNTIFS(Scores!$AB$2:$AB$225,$D44,Scores!$X$2:$X$225,1)+COUNTIFS(Scores!$AC$2:$AC$225,$D44,Scores!$X$2:$X$225,1))</f>
        <v/>
      </c>
      <c r="H44" s="2" t="str">
        <f>IF($F44=FALSE,"",COUNTIFS(Scores!$AD$2:$AD$225,$D44))</f>
        <v/>
      </c>
      <c r="I44" s="2" t="str">
        <f t="shared" si="6"/>
        <v/>
      </c>
      <c r="J44" s="2" t="str">
        <f>IF($F44=FALSE,"",SUMIFS(Scores!$T$2:$T$225,Scores!$AB$2:$AB$225,$D44,Scores!$X$2:$X$225,1)+SUMIFS(Scores!$U$2:$U$225,Scores!$AC$2:$AC$225,$D44,Scores!$X$2:$X$225,1))</f>
        <v/>
      </c>
      <c r="K44" s="2" t="str">
        <f>IF($F44=FALSE,"",SUMIFS(Scores!$U$2:$U$225,Scores!$AB$2:$AB$225,$D44,Scores!$X$2:$X$225,1)+SUMIFS(Scores!$T$2:$T$225,Scores!$AC$2:$AC$225,$D44,Scores!$X$2:$X$225,1))</f>
        <v/>
      </c>
      <c r="L44" s="2" t="str">
        <f t="shared" si="7"/>
        <v/>
      </c>
      <c r="M44" s="2" t="str">
        <f>IF($F44=FALSE,"",SUMIFS(Scores!$V$2:$V$225,Scores!$AB$2:$AB$225,$D44,Scores!$X$2:$X$225,1)+SUMIFS(Scores!$W$2:$W$225,Scores!$AC$2:$AC$225,$D44,Scores!$X$2:$X$225,1))</f>
        <v/>
      </c>
      <c r="N44" s="2" t="str">
        <f>IF($F44=FALSE,"",SUMIFS(Scores!$W$2:$W$225,Scores!$AB$2:$AB$225,$D44,Scores!$X$2:$X$225,1)+SUMIFS(Scores!$V$2:$V$225,Scores!$AC$2:$AC$225,$D44,Scores!$X$2:$X$225,1))</f>
        <v/>
      </c>
      <c r="O44" s="2" t="str">
        <f t="shared" si="8"/>
        <v/>
      </c>
      <c r="P44" s="2" t="str">
        <f>IF($F44=FALSE,"",SUMIFS(Scores!$Z$2:$Z$225,Scores!$AB$2:$AB$225,$D44,Scores!$X$2:$X$225,1)+SUMIFS(Scores!$AA$2:$AA$225,Scores!$AC$2:$AC$225,$D44,Scores!$X$2:$X$225,1))</f>
        <v/>
      </c>
      <c r="Q44" t="str">
        <f t="shared" si="9"/>
        <v/>
      </c>
      <c r="R44" t="str">
        <f t="shared" si="10"/>
        <v/>
      </c>
      <c r="S44" t="str">
        <f t="shared" si="11"/>
        <v/>
      </c>
    </row>
    <row r="45" spans="1:19">
      <c r="A45">
        <v>6</v>
      </c>
      <c r="B45" t="s">
        <v>121</v>
      </c>
      <c r="C45" s="4">
        <v>4</v>
      </c>
      <c r="D45" s="4">
        <v>604</v>
      </c>
      <c r="E45" t="str">
        <f>INDEX(Teams!$E$2:$E$65,($A45-1)*8+$C45)</f>
        <v>Pool F Team 4</v>
      </c>
      <c r="F45" t="b">
        <f>AND($A45&lt;=Setup!$B$5,$C45&lt;=Setup!$B$6)</f>
        <v>0</v>
      </c>
      <c r="G45" s="2" t="str">
        <f>IF($F45=FALSE,"",COUNTIFS(Scores!$AB$2:$AB$225,$D45,Scores!$X$2:$X$225,1)+COUNTIFS(Scores!$AC$2:$AC$225,$D45,Scores!$X$2:$X$225,1))</f>
        <v/>
      </c>
      <c r="H45" s="2" t="str">
        <f>IF($F45=FALSE,"",COUNTIFS(Scores!$AD$2:$AD$225,$D45))</f>
        <v/>
      </c>
      <c r="I45" s="2" t="str">
        <f t="shared" si="6"/>
        <v/>
      </c>
      <c r="J45" s="2" t="str">
        <f>IF($F45=FALSE,"",SUMIFS(Scores!$T$2:$T$225,Scores!$AB$2:$AB$225,$D45,Scores!$X$2:$X$225,1)+SUMIFS(Scores!$U$2:$U$225,Scores!$AC$2:$AC$225,$D45,Scores!$X$2:$X$225,1))</f>
        <v/>
      </c>
      <c r="K45" s="2" t="str">
        <f>IF($F45=FALSE,"",SUMIFS(Scores!$U$2:$U$225,Scores!$AB$2:$AB$225,$D45,Scores!$X$2:$X$225,1)+SUMIFS(Scores!$T$2:$T$225,Scores!$AC$2:$AC$225,$D45,Scores!$X$2:$X$225,1))</f>
        <v/>
      </c>
      <c r="L45" s="2" t="str">
        <f t="shared" si="7"/>
        <v/>
      </c>
      <c r="M45" s="2" t="str">
        <f>IF($F45=FALSE,"",SUMIFS(Scores!$V$2:$V$225,Scores!$AB$2:$AB$225,$D45,Scores!$X$2:$X$225,1)+SUMIFS(Scores!$W$2:$W$225,Scores!$AC$2:$AC$225,$D45,Scores!$X$2:$X$225,1))</f>
        <v/>
      </c>
      <c r="N45" s="2" t="str">
        <f>IF($F45=FALSE,"",SUMIFS(Scores!$W$2:$W$225,Scores!$AB$2:$AB$225,$D45,Scores!$X$2:$X$225,1)+SUMIFS(Scores!$V$2:$V$225,Scores!$AC$2:$AC$225,$D45,Scores!$X$2:$X$225,1))</f>
        <v/>
      </c>
      <c r="O45" s="2" t="str">
        <f t="shared" si="8"/>
        <v/>
      </c>
      <c r="P45" s="2" t="str">
        <f>IF($F45=FALSE,"",SUMIFS(Scores!$Z$2:$Z$225,Scores!$AB$2:$AB$225,$D45,Scores!$X$2:$X$225,1)+SUMIFS(Scores!$AA$2:$AA$225,Scores!$AC$2:$AC$225,$D45,Scores!$X$2:$X$225,1))</f>
        <v/>
      </c>
      <c r="Q45" t="str">
        <f t="shared" si="9"/>
        <v/>
      </c>
      <c r="R45" t="str">
        <f t="shared" si="10"/>
        <v/>
      </c>
      <c r="S45" t="str">
        <f t="shared" si="11"/>
        <v/>
      </c>
    </row>
    <row r="46" spans="1:19">
      <c r="A46">
        <v>6</v>
      </c>
      <c r="B46" t="s">
        <v>121</v>
      </c>
      <c r="C46" s="4">
        <v>5</v>
      </c>
      <c r="D46" s="4">
        <v>605</v>
      </c>
      <c r="E46" t="str">
        <f>INDEX(Teams!$E$2:$E$65,($A46-1)*8+$C46)</f>
        <v>Pool F Team 5</v>
      </c>
      <c r="F46" t="b">
        <f>AND($A46&lt;=Setup!$B$5,$C46&lt;=Setup!$B$6)</f>
        <v>0</v>
      </c>
      <c r="G46" s="2" t="str">
        <f>IF($F46=FALSE,"",COUNTIFS(Scores!$AB$2:$AB$225,$D46,Scores!$X$2:$X$225,1)+COUNTIFS(Scores!$AC$2:$AC$225,$D46,Scores!$X$2:$X$225,1))</f>
        <v/>
      </c>
      <c r="H46" s="2" t="str">
        <f>IF($F46=FALSE,"",COUNTIFS(Scores!$AD$2:$AD$225,$D46))</f>
        <v/>
      </c>
      <c r="I46" s="2" t="str">
        <f t="shared" si="6"/>
        <v/>
      </c>
      <c r="J46" s="2" t="str">
        <f>IF($F46=FALSE,"",SUMIFS(Scores!$T$2:$T$225,Scores!$AB$2:$AB$225,$D46,Scores!$X$2:$X$225,1)+SUMIFS(Scores!$U$2:$U$225,Scores!$AC$2:$AC$225,$D46,Scores!$X$2:$X$225,1))</f>
        <v/>
      </c>
      <c r="K46" s="2" t="str">
        <f>IF($F46=FALSE,"",SUMIFS(Scores!$U$2:$U$225,Scores!$AB$2:$AB$225,$D46,Scores!$X$2:$X$225,1)+SUMIFS(Scores!$T$2:$T$225,Scores!$AC$2:$AC$225,$D46,Scores!$X$2:$X$225,1))</f>
        <v/>
      </c>
      <c r="L46" s="2" t="str">
        <f t="shared" si="7"/>
        <v/>
      </c>
      <c r="M46" s="2" t="str">
        <f>IF($F46=FALSE,"",SUMIFS(Scores!$V$2:$V$225,Scores!$AB$2:$AB$225,$D46,Scores!$X$2:$X$225,1)+SUMIFS(Scores!$W$2:$W$225,Scores!$AC$2:$AC$225,$D46,Scores!$X$2:$X$225,1))</f>
        <v/>
      </c>
      <c r="N46" s="2" t="str">
        <f>IF($F46=FALSE,"",SUMIFS(Scores!$W$2:$W$225,Scores!$AB$2:$AB$225,$D46,Scores!$X$2:$X$225,1)+SUMIFS(Scores!$V$2:$V$225,Scores!$AC$2:$AC$225,$D46,Scores!$X$2:$X$225,1))</f>
        <v/>
      </c>
      <c r="O46" s="2" t="str">
        <f t="shared" si="8"/>
        <v/>
      </c>
      <c r="P46" s="2" t="str">
        <f>IF($F46=FALSE,"",SUMIFS(Scores!$Z$2:$Z$225,Scores!$AB$2:$AB$225,$D46,Scores!$X$2:$X$225,1)+SUMIFS(Scores!$AA$2:$AA$225,Scores!$AC$2:$AC$225,$D46,Scores!$X$2:$X$225,1))</f>
        <v/>
      </c>
      <c r="Q46" t="str">
        <f t="shared" si="9"/>
        <v/>
      </c>
      <c r="R46" t="str">
        <f t="shared" si="10"/>
        <v/>
      </c>
      <c r="S46" t="str">
        <f t="shared" si="11"/>
        <v/>
      </c>
    </row>
    <row r="47" spans="1:19">
      <c r="A47">
        <v>6</v>
      </c>
      <c r="B47" t="s">
        <v>121</v>
      </c>
      <c r="C47" s="4">
        <v>6</v>
      </c>
      <c r="D47" s="4">
        <v>606</v>
      </c>
      <c r="E47" t="str">
        <f>INDEX(Teams!$E$2:$E$65,($A47-1)*8+$C47)</f>
        <v>Pool F Team 6</v>
      </c>
      <c r="F47" t="b">
        <f>AND($A47&lt;=Setup!$B$5,$C47&lt;=Setup!$B$6)</f>
        <v>0</v>
      </c>
      <c r="G47" s="2" t="str">
        <f>IF($F47=FALSE,"",COUNTIFS(Scores!$AB$2:$AB$225,$D47,Scores!$X$2:$X$225,1)+COUNTIFS(Scores!$AC$2:$AC$225,$D47,Scores!$X$2:$X$225,1))</f>
        <v/>
      </c>
      <c r="H47" s="2" t="str">
        <f>IF($F47=FALSE,"",COUNTIFS(Scores!$AD$2:$AD$225,$D47))</f>
        <v/>
      </c>
      <c r="I47" s="2" t="str">
        <f t="shared" si="6"/>
        <v/>
      </c>
      <c r="J47" s="2" t="str">
        <f>IF($F47=FALSE,"",SUMIFS(Scores!$T$2:$T$225,Scores!$AB$2:$AB$225,$D47,Scores!$X$2:$X$225,1)+SUMIFS(Scores!$U$2:$U$225,Scores!$AC$2:$AC$225,$D47,Scores!$X$2:$X$225,1))</f>
        <v/>
      </c>
      <c r="K47" s="2" t="str">
        <f>IF($F47=FALSE,"",SUMIFS(Scores!$U$2:$U$225,Scores!$AB$2:$AB$225,$D47,Scores!$X$2:$X$225,1)+SUMIFS(Scores!$T$2:$T$225,Scores!$AC$2:$AC$225,$D47,Scores!$X$2:$X$225,1))</f>
        <v/>
      </c>
      <c r="L47" s="2" t="str">
        <f t="shared" si="7"/>
        <v/>
      </c>
      <c r="M47" s="2" t="str">
        <f>IF($F47=FALSE,"",SUMIFS(Scores!$V$2:$V$225,Scores!$AB$2:$AB$225,$D47,Scores!$X$2:$X$225,1)+SUMIFS(Scores!$W$2:$W$225,Scores!$AC$2:$AC$225,$D47,Scores!$X$2:$X$225,1))</f>
        <v/>
      </c>
      <c r="N47" s="2" t="str">
        <f>IF($F47=FALSE,"",SUMIFS(Scores!$W$2:$W$225,Scores!$AB$2:$AB$225,$D47,Scores!$X$2:$X$225,1)+SUMIFS(Scores!$V$2:$V$225,Scores!$AC$2:$AC$225,$D47,Scores!$X$2:$X$225,1))</f>
        <v/>
      </c>
      <c r="O47" s="2" t="str">
        <f t="shared" si="8"/>
        <v/>
      </c>
      <c r="P47" s="2" t="str">
        <f>IF($F47=FALSE,"",SUMIFS(Scores!$Z$2:$Z$225,Scores!$AB$2:$AB$225,$D47,Scores!$X$2:$X$225,1)+SUMIFS(Scores!$AA$2:$AA$225,Scores!$AC$2:$AC$225,$D47,Scores!$X$2:$X$225,1))</f>
        <v/>
      </c>
      <c r="Q47" t="str">
        <f t="shared" si="9"/>
        <v/>
      </c>
      <c r="R47" t="str">
        <f t="shared" si="10"/>
        <v/>
      </c>
      <c r="S47" t="str">
        <f t="shared" si="11"/>
        <v/>
      </c>
    </row>
    <row r="48" spans="1:19">
      <c r="A48">
        <v>6</v>
      </c>
      <c r="B48" t="s">
        <v>121</v>
      </c>
      <c r="C48" s="4">
        <v>7</v>
      </c>
      <c r="D48" s="4">
        <v>607</v>
      </c>
      <c r="E48" t="str">
        <f>INDEX(Teams!$E$2:$E$65,($A48-1)*8+$C48)</f>
        <v>Pool F Team 7</v>
      </c>
      <c r="F48" t="b">
        <f>AND($A48&lt;=Setup!$B$5,$C48&lt;=Setup!$B$6)</f>
        <v>0</v>
      </c>
      <c r="G48" s="2" t="str">
        <f>IF($F48=FALSE,"",COUNTIFS(Scores!$AB$2:$AB$225,$D48,Scores!$X$2:$X$225,1)+COUNTIFS(Scores!$AC$2:$AC$225,$D48,Scores!$X$2:$X$225,1))</f>
        <v/>
      </c>
      <c r="H48" s="2" t="str">
        <f>IF($F48=FALSE,"",COUNTIFS(Scores!$AD$2:$AD$225,$D48))</f>
        <v/>
      </c>
      <c r="I48" s="2" t="str">
        <f t="shared" si="6"/>
        <v/>
      </c>
      <c r="J48" s="2" t="str">
        <f>IF($F48=FALSE,"",SUMIFS(Scores!$T$2:$T$225,Scores!$AB$2:$AB$225,$D48,Scores!$X$2:$X$225,1)+SUMIFS(Scores!$U$2:$U$225,Scores!$AC$2:$AC$225,$D48,Scores!$X$2:$X$225,1))</f>
        <v/>
      </c>
      <c r="K48" s="2" t="str">
        <f>IF($F48=FALSE,"",SUMIFS(Scores!$U$2:$U$225,Scores!$AB$2:$AB$225,$D48,Scores!$X$2:$X$225,1)+SUMIFS(Scores!$T$2:$T$225,Scores!$AC$2:$AC$225,$D48,Scores!$X$2:$X$225,1))</f>
        <v/>
      </c>
      <c r="L48" s="2" t="str">
        <f t="shared" si="7"/>
        <v/>
      </c>
      <c r="M48" s="2" t="str">
        <f>IF($F48=FALSE,"",SUMIFS(Scores!$V$2:$V$225,Scores!$AB$2:$AB$225,$D48,Scores!$X$2:$X$225,1)+SUMIFS(Scores!$W$2:$W$225,Scores!$AC$2:$AC$225,$D48,Scores!$X$2:$X$225,1))</f>
        <v/>
      </c>
      <c r="N48" s="2" t="str">
        <f>IF($F48=FALSE,"",SUMIFS(Scores!$W$2:$W$225,Scores!$AB$2:$AB$225,$D48,Scores!$X$2:$X$225,1)+SUMIFS(Scores!$V$2:$V$225,Scores!$AC$2:$AC$225,$D48,Scores!$X$2:$X$225,1))</f>
        <v/>
      </c>
      <c r="O48" s="2" t="str">
        <f t="shared" si="8"/>
        <v/>
      </c>
      <c r="P48" s="2" t="str">
        <f>IF($F48=FALSE,"",SUMIFS(Scores!$Z$2:$Z$225,Scores!$AB$2:$AB$225,$D48,Scores!$X$2:$X$225,1)+SUMIFS(Scores!$AA$2:$AA$225,Scores!$AC$2:$AC$225,$D48,Scores!$X$2:$X$225,1))</f>
        <v/>
      </c>
      <c r="Q48" t="str">
        <f t="shared" si="9"/>
        <v/>
      </c>
      <c r="R48" t="str">
        <f t="shared" si="10"/>
        <v/>
      </c>
      <c r="S48" t="str">
        <f t="shared" si="11"/>
        <v/>
      </c>
    </row>
    <row r="49" spans="1:19">
      <c r="A49">
        <v>6</v>
      </c>
      <c r="B49" t="s">
        <v>121</v>
      </c>
      <c r="C49" s="4">
        <v>8</v>
      </c>
      <c r="D49" s="4">
        <v>608</v>
      </c>
      <c r="E49" t="str">
        <f>INDEX(Teams!$E$2:$E$65,($A49-1)*8+$C49)</f>
        <v>Pool F Team 8</v>
      </c>
      <c r="F49" t="b">
        <f>AND($A49&lt;=Setup!$B$5,$C49&lt;=Setup!$B$6)</f>
        <v>0</v>
      </c>
      <c r="G49" s="2" t="str">
        <f>IF($F49=FALSE,"",COUNTIFS(Scores!$AB$2:$AB$225,$D49,Scores!$X$2:$X$225,1)+COUNTIFS(Scores!$AC$2:$AC$225,$D49,Scores!$X$2:$X$225,1))</f>
        <v/>
      </c>
      <c r="H49" s="2" t="str">
        <f>IF($F49=FALSE,"",COUNTIFS(Scores!$AD$2:$AD$225,$D49))</f>
        <v/>
      </c>
      <c r="I49" s="2" t="str">
        <f t="shared" si="6"/>
        <v/>
      </c>
      <c r="J49" s="2" t="str">
        <f>IF($F49=FALSE,"",SUMIFS(Scores!$T$2:$T$225,Scores!$AB$2:$AB$225,$D49,Scores!$X$2:$X$225,1)+SUMIFS(Scores!$U$2:$U$225,Scores!$AC$2:$AC$225,$D49,Scores!$X$2:$X$225,1))</f>
        <v/>
      </c>
      <c r="K49" s="2" t="str">
        <f>IF($F49=FALSE,"",SUMIFS(Scores!$U$2:$U$225,Scores!$AB$2:$AB$225,$D49,Scores!$X$2:$X$225,1)+SUMIFS(Scores!$T$2:$T$225,Scores!$AC$2:$AC$225,$D49,Scores!$X$2:$X$225,1))</f>
        <v/>
      </c>
      <c r="L49" s="2" t="str">
        <f t="shared" si="7"/>
        <v/>
      </c>
      <c r="M49" s="2" t="str">
        <f>IF($F49=FALSE,"",SUMIFS(Scores!$V$2:$V$225,Scores!$AB$2:$AB$225,$D49,Scores!$X$2:$X$225,1)+SUMIFS(Scores!$W$2:$W$225,Scores!$AC$2:$AC$225,$D49,Scores!$X$2:$X$225,1))</f>
        <v/>
      </c>
      <c r="N49" s="2" t="str">
        <f>IF($F49=FALSE,"",SUMIFS(Scores!$W$2:$W$225,Scores!$AB$2:$AB$225,$D49,Scores!$X$2:$X$225,1)+SUMIFS(Scores!$V$2:$V$225,Scores!$AC$2:$AC$225,$D49,Scores!$X$2:$X$225,1))</f>
        <v/>
      </c>
      <c r="O49" s="2" t="str">
        <f t="shared" si="8"/>
        <v/>
      </c>
      <c r="P49" s="2" t="str">
        <f>IF($F49=FALSE,"",SUMIFS(Scores!$Z$2:$Z$225,Scores!$AB$2:$AB$225,$D49,Scores!$X$2:$X$225,1)+SUMIFS(Scores!$AA$2:$AA$225,Scores!$AC$2:$AC$225,$D49,Scores!$X$2:$X$225,1))</f>
        <v/>
      </c>
      <c r="Q49" t="str">
        <f t="shared" si="9"/>
        <v/>
      </c>
      <c r="R49" t="str">
        <f t="shared" si="10"/>
        <v/>
      </c>
      <c r="S49" t="str">
        <f t="shared" si="11"/>
        <v/>
      </c>
    </row>
    <row r="50" spans="1:19">
      <c r="A50">
        <v>7</v>
      </c>
      <c r="B50" t="s">
        <v>130</v>
      </c>
      <c r="C50" s="4">
        <v>1</v>
      </c>
      <c r="D50" s="4">
        <v>701</v>
      </c>
      <c r="E50" t="str">
        <f>INDEX(Teams!$E$2:$E$65,($A50-1)*8+$C50)</f>
        <v>Pool G Team 1</v>
      </c>
      <c r="F50" t="b">
        <f>AND($A50&lt;=Setup!$B$5,$C50&lt;=Setup!$B$6)</f>
        <v>0</v>
      </c>
      <c r="G50" s="2" t="str">
        <f>IF($F50=FALSE,"",COUNTIFS(Scores!$AB$2:$AB$225,$D50,Scores!$X$2:$X$225,1)+COUNTIFS(Scores!$AC$2:$AC$225,$D50,Scores!$X$2:$X$225,1))</f>
        <v/>
      </c>
      <c r="H50" s="2" t="str">
        <f>IF($F50=FALSE,"",COUNTIFS(Scores!$AD$2:$AD$225,$D50))</f>
        <v/>
      </c>
      <c r="I50" s="2" t="str">
        <f t="shared" si="6"/>
        <v/>
      </c>
      <c r="J50" s="2" t="str">
        <f>IF($F50=FALSE,"",SUMIFS(Scores!$T$2:$T$225,Scores!$AB$2:$AB$225,$D50,Scores!$X$2:$X$225,1)+SUMIFS(Scores!$U$2:$U$225,Scores!$AC$2:$AC$225,$D50,Scores!$X$2:$X$225,1))</f>
        <v/>
      </c>
      <c r="K50" s="2" t="str">
        <f>IF($F50=FALSE,"",SUMIFS(Scores!$U$2:$U$225,Scores!$AB$2:$AB$225,$D50,Scores!$X$2:$X$225,1)+SUMIFS(Scores!$T$2:$T$225,Scores!$AC$2:$AC$225,$D50,Scores!$X$2:$X$225,1))</f>
        <v/>
      </c>
      <c r="L50" s="2" t="str">
        <f t="shared" si="7"/>
        <v/>
      </c>
      <c r="M50" s="2" t="str">
        <f>IF($F50=FALSE,"",SUMIFS(Scores!$V$2:$V$225,Scores!$AB$2:$AB$225,$D50,Scores!$X$2:$X$225,1)+SUMIFS(Scores!$W$2:$W$225,Scores!$AC$2:$AC$225,$D50,Scores!$X$2:$X$225,1))</f>
        <v/>
      </c>
      <c r="N50" s="2" t="str">
        <f>IF($F50=FALSE,"",SUMIFS(Scores!$W$2:$W$225,Scores!$AB$2:$AB$225,$D50,Scores!$X$2:$X$225,1)+SUMIFS(Scores!$V$2:$V$225,Scores!$AC$2:$AC$225,$D50,Scores!$X$2:$X$225,1))</f>
        <v/>
      </c>
      <c r="O50" s="2" t="str">
        <f t="shared" si="8"/>
        <v/>
      </c>
      <c r="P50" s="2" t="str">
        <f>IF($F50=FALSE,"",SUMIFS(Scores!$Z$2:$Z$225,Scores!$AB$2:$AB$225,$D50,Scores!$X$2:$X$225,1)+SUMIFS(Scores!$AA$2:$AA$225,Scores!$AC$2:$AC$225,$D50,Scores!$X$2:$X$225,1))</f>
        <v/>
      </c>
      <c r="Q50" t="str">
        <f t="shared" si="9"/>
        <v/>
      </c>
      <c r="R50" t="str">
        <f t="shared" si="10"/>
        <v/>
      </c>
      <c r="S50" t="str">
        <f t="shared" si="11"/>
        <v/>
      </c>
    </row>
    <row r="51" spans="1:19">
      <c r="A51">
        <v>7</v>
      </c>
      <c r="B51" t="s">
        <v>130</v>
      </c>
      <c r="C51" s="4">
        <v>2</v>
      </c>
      <c r="D51" s="4">
        <v>702</v>
      </c>
      <c r="E51" t="str">
        <f>INDEX(Teams!$E$2:$E$65,($A51-1)*8+$C51)</f>
        <v>Pool G Team 2</v>
      </c>
      <c r="F51" t="b">
        <f>AND($A51&lt;=Setup!$B$5,$C51&lt;=Setup!$B$6)</f>
        <v>0</v>
      </c>
      <c r="G51" s="2" t="str">
        <f>IF($F51=FALSE,"",COUNTIFS(Scores!$AB$2:$AB$225,$D51,Scores!$X$2:$X$225,1)+COUNTIFS(Scores!$AC$2:$AC$225,$D51,Scores!$X$2:$X$225,1))</f>
        <v/>
      </c>
      <c r="H51" s="2" t="str">
        <f>IF($F51=FALSE,"",COUNTIFS(Scores!$AD$2:$AD$225,$D51))</f>
        <v/>
      </c>
      <c r="I51" s="2" t="str">
        <f t="shared" si="6"/>
        <v/>
      </c>
      <c r="J51" s="2" t="str">
        <f>IF($F51=FALSE,"",SUMIFS(Scores!$T$2:$T$225,Scores!$AB$2:$AB$225,$D51,Scores!$X$2:$X$225,1)+SUMIFS(Scores!$U$2:$U$225,Scores!$AC$2:$AC$225,$D51,Scores!$X$2:$X$225,1))</f>
        <v/>
      </c>
      <c r="K51" s="2" t="str">
        <f>IF($F51=FALSE,"",SUMIFS(Scores!$U$2:$U$225,Scores!$AB$2:$AB$225,$D51,Scores!$X$2:$X$225,1)+SUMIFS(Scores!$T$2:$T$225,Scores!$AC$2:$AC$225,$D51,Scores!$X$2:$X$225,1))</f>
        <v/>
      </c>
      <c r="L51" s="2" t="str">
        <f t="shared" si="7"/>
        <v/>
      </c>
      <c r="M51" s="2" t="str">
        <f>IF($F51=FALSE,"",SUMIFS(Scores!$V$2:$V$225,Scores!$AB$2:$AB$225,$D51,Scores!$X$2:$X$225,1)+SUMIFS(Scores!$W$2:$W$225,Scores!$AC$2:$AC$225,$D51,Scores!$X$2:$X$225,1))</f>
        <v/>
      </c>
      <c r="N51" s="2" t="str">
        <f>IF($F51=FALSE,"",SUMIFS(Scores!$W$2:$W$225,Scores!$AB$2:$AB$225,$D51,Scores!$X$2:$X$225,1)+SUMIFS(Scores!$V$2:$V$225,Scores!$AC$2:$AC$225,$D51,Scores!$X$2:$X$225,1))</f>
        <v/>
      </c>
      <c r="O51" s="2" t="str">
        <f t="shared" si="8"/>
        <v/>
      </c>
      <c r="P51" s="2" t="str">
        <f>IF($F51=FALSE,"",SUMIFS(Scores!$Z$2:$Z$225,Scores!$AB$2:$AB$225,$D51,Scores!$X$2:$X$225,1)+SUMIFS(Scores!$AA$2:$AA$225,Scores!$AC$2:$AC$225,$D51,Scores!$X$2:$X$225,1))</f>
        <v/>
      </c>
      <c r="Q51" t="str">
        <f t="shared" si="9"/>
        <v/>
      </c>
      <c r="R51" t="str">
        <f t="shared" si="10"/>
        <v/>
      </c>
      <c r="S51" t="str">
        <f t="shared" si="11"/>
        <v/>
      </c>
    </row>
    <row r="52" spans="1:19">
      <c r="A52">
        <v>7</v>
      </c>
      <c r="B52" t="s">
        <v>130</v>
      </c>
      <c r="C52" s="4">
        <v>3</v>
      </c>
      <c r="D52" s="4">
        <v>703</v>
      </c>
      <c r="E52" t="str">
        <f>INDEX(Teams!$E$2:$E$65,($A52-1)*8+$C52)</f>
        <v>Pool G Team 3</v>
      </c>
      <c r="F52" t="b">
        <f>AND($A52&lt;=Setup!$B$5,$C52&lt;=Setup!$B$6)</f>
        <v>0</v>
      </c>
      <c r="G52" s="2" t="str">
        <f>IF($F52=FALSE,"",COUNTIFS(Scores!$AB$2:$AB$225,$D52,Scores!$X$2:$X$225,1)+COUNTIFS(Scores!$AC$2:$AC$225,$D52,Scores!$X$2:$X$225,1))</f>
        <v/>
      </c>
      <c r="H52" s="2" t="str">
        <f>IF($F52=FALSE,"",COUNTIFS(Scores!$AD$2:$AD$225,$D52))</f>
        <v/>
      </c>
      <c r="I52" s="2" t="str">
        <f t="shared" si="6"/>
        <v/>
      </c>
      <c r="J52" s="2" t="str">
        <f>IF($F52=FALSE,"",SUMIFS(Scores!$T$2:$T$225,Scores!$AB$2:$AB$225,$D52,Scores!$X$2:$X$225,1)+SUMIFS(Scores!$U$2:$U$225,Scores!$AC$2:$AC$225,$D52,Scores!$X$2:$X$225,1))</f>
        <v/>
      </c>
      <c r="K52" s="2" t="str">
        <f>IF($F52=FALSE,"",SUMIFS(Scores!$U$2:$U$225,Scores!$AB$2:$AB$225,$D52,Scores!$X$2:$X$225,1)+SUMIFS(Scores!$T$2:$T$225,Scores!$AC$2:$AC$225,$D52,Scores!$X$2:$X$225,1))</f>
        <v/>
      </c>
      <c r="L52" s="2" t="str">
        <f t="shared" si="7"/>
        <v/>
      </c>
      <c r="M52" s="2" t="str">
        <f>IF($F52=FALSE,"",SUMIFS(Scores!$V$2:$V$225,Scores!$AB$2:$AB$225,$D52,Scores!$X$2:$X$225,1)+SUMIFS(Scores!$W$2:$W$225,Scores!$AC$2:$AC$225,$D52,Scores!$X$2:$X$225,1))</f>
        <v/>
      </c>
      <c r="N52" s="2" t="str">
        <f>IF($F52=FALSE,"",SUMIFS(Scores!$W$2:$W$225,Scores!$AB$2:$AB$225,$D52,Scores!$X$2:$X$225,1)+SUMIFS(Scores!$V$2:$V$225,Scores!$AC$2:$AC$225,$D52,Scores!$X$2:$X$225,1))</f>
        <v/>
      </c>
      <c r="O52" s="2" t="str">
        <f t="shared" si="8"/>
        <v/>
      </c>
      <c r="P52" s="2" t="str">
        <f>IF($F52=FALSE,"",SUMIFS(Scores!$Z$2:$Z$225,Scores!$AB$2:$AB$225,$D52,Scores!$X$2:$X$225,1)+SUMIFS(Scores!$AA$2:$AA$225,Scores!$AC$2:$AC$225,$D52,Scores!$X$2:$X$225,1))</f>
        <v/>
      </c>
      <c r="Q52" t="str">
        <f t="shared" si="9"/>
        <v/>
      </c>
      <c r="R52" t="str">
        <f t="shared" si="10"/>
        <v/>
      </c>
      <c r="S52" t="str">
        <f t="shared" si="11"/>
        <v/>
      </c>
    </row>
    <row r="53" spans="1:19">
      <c r="A53">
        <v>7</v>
      </c>
      <c r="B53" t="s">
        <v>130</v>
      </c>
      <c r="C53" s="4">
        <v>4</v>
      </c>
      <c r="D53" s="4">
        <v>704</v>
      </c>
      <c r="E53" t="str">
        <f>INDEX(Teams!$E$2:$E$65,($A53-1)*8+$C53)</f>
        <v>Pool G Team 4</v>
      </c>
      <c r="F53" t="b">
        <f>AND($A53&lt;=Setup!$B$5,$C53&lt;=Setup!$B$6)</f>
        <v>0</v>
      </c>
      <c r="G53" s="2" t="str">
        <f>IF($F53=FALSE,"",COUNTIFS(Scores!$AB$2:$AB$225,$D53,Scores!$X$2:$X$225,1)+COUNTIFS(Scores!$AC$2:$AC$225,$D53,Scores!$X$2:$X$225,1))</f>
        <v/>
      </c>
      <c r="H53" s="2" t="str">
        <f>IF($F53=FALSE,"",COUNTIFS(Scores!$AD$2:$AD$225,$D53))</f>
        <v/>
      </c>
      <c r="I53" s="2" t="str">
        <f t="shared" si="6"/>
        <v/>
      </c>
      <c r="J53" s="2" t="str">
        <f>IF($F53=FALSE,"",SUMIFS(Scores!$T$2:$T$225,Scores!$AB$2:$AB$225,$D53,Scores!$X$2:$X$225,1)+SUMIFS(Scores!$U$2:$U$225,Scores!$AC$2:$AC$225,$D53,Scores!$X$2:$X$225,1))</f>
        <v/>
      </c>
      <c r="K53" s="2" t="str">
        <f>IF($F53=FALSE,"",SUMIFS(Scores!$U$2:$U$225,Scores!$AB$2:$AB$225,$D53,Scores!$X$2:$X$225,1)+SUMIFS(Scores!$T$2:$T$225,Scores!$AC$2:$AC$225,$D53,Scores!$X$2:$X$225,1))</f>
        <v/>
      </c>
      <c r="L53" s="2" t="str">
        <f t="shared" si="7"/>
        <v/>
      </c>
      <c r="M53" s="2" t="str">
        <f>IF($F53=FALSE,"",SUMIFS(Scores!$V$2:$V$225,Scores!$AB$2:$AB$225,$D53,Scores!$X$2:$X$225,1)+SUMIFS(Scores!$W$2:$W$225,Scores!$AC$2:$AC$225,$D53,Scores!$X$2:$X$225,1))</f>
        <v/>
      </c>
      <c r="N53" s="2" t="str">
        <f>IF($F53=FALSE,"",SUMIFS(Scores!$W$2:$W$225,Scores!$AB$2:$AB$225,$D53,Scores!$X$2:$X$225,1)+SUMIFS(Scores!$V$2:$V$225,Scores!$AC$2:$AC$225,$D53,Scores!$X$2:$X$225,1))</f>
        <v/>
      </c>
      <c r="O53" s="2" t="str">
        <f t="shared" si="8"/>
        <v/>
      </c>
      <c r="P53" s="2" t="str">
        <f>IF($F53=FALSE,"",SUMIFS(Scores!$Z$2:$Z$225,Scores!$AB$2:$AB$225,$D53,Scores!$X$2:$X$225,1)+SUMIFS(Scores!$AA$2:$AA$225,Scores!$AC$2:$AC$225,$D53,Scores!$X$2:$X$225,1))</f>
        <v/>
      </c>
      <c r="Q53" t="str">
        <f t="shared" si="9"/>
        <v/>
      </c>
      <c r="R53" t="str">
        <f t="shared" si="10"/>
        <v/>
      </c>
      <c r="S53" t="str">
        <f t="shared" si="11"/>
        <v/>
      </c>
    </row>
    <row r="54" spans="1:19">
      <c r="A54">
        <v>7</v>
      </c>
      <c r="B54" t="s">
        <v>130</v>
      </c>
      <c r="C54" s="4">
        <v>5</v>
      </c>
      <c r="D54" s="4">
        <v>705</v>
      </c>
      <c r="E54" t="str">
        <f>INDEX(Teams!$E$2:$E$65,($A54-1)*8+$C54)</f>
        <v>Pool G Team 5</v>
      </c>
      <c r="F54" t="b">
        <f>AND($A54&lt;=Setup!$B$5,$C54&lt;=Setup!$B$6)</f>
        <v>0</v>
      </c>
      <c r="G54" s="2" t="str">
        <f>IF($F54=FALSE,"",COUNTIFS(Scores!$AB$2:$AB$225,$D54,Scores!$X$2:$X$225,1)+COUNTIFS(Scores!$AC$2:$AC$225,$D54,Scores!$X$2:$X$225,1))</f>
        <v/>
      </c>
      <c r="H54" s="2" t="str">
        <f>IF($F54=FALSE,"",COUNTIFS(Scores!$AD$2:$AD$225,$D54))</f>
        <v/>
      </c>
      <c r="I54" s="2" t="str">
        <f t="shared" si="6"/>
        <v/>
      </c>
      <c r="J54" s="2" t="str">
        <f>IF($F54=FALSE,"",SUMIFS(Scores!$T$2:$T$225,Scores!$AB$2:$AB$225,$D54,Scores!$X$2:$X$225,1)+SUMIFS(Scores!$U$2:$U$225,Scores!$AC$2:$AC$225,$D54,Scores!$X$2:$X$225,1))</f>
        <v/>
      </c>
      <c r="K54" s="2" t="str">
        <f>IF($F54=FALSE,"",SUMIFS(Scores!$U$2:$U$225,Scores!$AB$2:$AB$225,$D54,Scores!$X$2:$X$225,1)+SUMIFS(Scores!$T$2:$T$225,Scores!$AC$2:$AC$225,$D54,Scores!$X$2:$X$225,1))</f>
        <v/>
      </c>
      <c r="L54" s="2" t="str">
        <f t="shared" si="7"/>
        <v/>
      </c>
      <c r="M54" s="2" t="str">
        <f>IF($F54=FALSE,"",SUMIFS(Scores!$V$2:$V$225,Scores!$AB$2:$AB$225,$D54,Scores!$X$2:$X$225,1)+SUMIFS(Scores!$W$2:$W$225,Scores!$AC$2:$AC$225,$D54,Scores!$X$2:$X$225,1))</f>
        <v/>
      </c>
      <c r="N54" s="2" t="str">
        <f>IF($F54=FALSE,"",SUMIFS(Scores!$W$2:$W$225,Scores!$AB$2:$AB$225,$D54,Scores!$X$2:$X$225,1)+SUMIFS(Scores!$V$2:$V$225,Scores!$AC$2:$AC$225,$D54,Scores!$X$2:$X$225,1))</f>
        <v/>
      </c>
      <c r="O54" s="2" t="str">
        <f t="shared" si="8"/>
        <v/>
      </c>
      <c r="P54" s="2" t="str">
        <f>IF($F54=FALSE,"",SUMIFS(Scores!$Z$2:$Z$225,Scores!$AB$2:$AB$225,$D54,Scores!$X$2:$X$225,1)+SUMIFS(Scores!$AA$2:$AA$225,Scores!$AC$2:$AC$225,$D54,Scores!$X$2:$X$225,1))</f>
        <v/>
      </c>
      <c r="Q54" t="str">
        <f t="shared" si="9"/>
        <v/>
      </c>
      <c r="R54" t="str">
        <f t="shared" si="10"/>
        <v/>
      </c>
      <c r="S54" t="str">
        <f t="shared" si="11"/>
        <v/>
      </c>
    </row>
    <row r="55" spans="1:19">
      <c r="A55">
        <v>7</v>
      </c>
      <c r="B55" t="s">
        <v>130</v>
      </c>
      <c r="C55" s="4">
        <v>6</v>
      </c>
      <c r="D55" s="4">
        <v>706</v>
      </c>
      <c r="E55" t="str">
        <f>INDEX(Teams!$E$2:$E$65,($A55-1)*8+$C55)</f>
        <v>Pool G Team 6</v>
      </c>
      <c r="F55" t="b">
        <f>AND($A55&lt;=Setup!$B$5,$C55&lt;=Setup!$B$6)</f>
        <v>0</v>
      </c>
      <c r="G55" s="2" t="str">
        <f>IF($F55=FALSE,"",COUNTIFS(Scores!$AB$2:$AB$225,$D55,Scores!$X$2:$X$225,1)+COUNTIFS(Scores!$AC$2:$AC$225,$D55,Scores!$X$2:$X$225,1))</f>
        <v/>
      </c>
      <c r="H55" s="2" t="str">
        <f>IF($F55=FALSE,"",COUNTIFS(Scores!$AD$2:$AD$225,$D55))</f>
        <v/>
      </c>
      <c r="I55" s="2" t="str">
        <f t="shared" si="6"/>
        <v/>
      </c>
      <c r="J55" s="2" t="str">
        <f>IF($F55=FALSE,"",SUMIFS(Scores!$T$2:$T$225,Scores!$AB$2:$AB$225,$D55,Scores!$X$2:$X$225,1)+SUMIFS(Scores!$U$2:$U$225,Scores!$AC$2:$AC$225,$D55,Scores!$X$2:$X$225,1))</f>
        <v/>
      </c>
      <c r="K55" s="2" t="str">
        <f>IF($F55=FALSE,"",SUMIFS(Scores!$U$2:$U$225,Scores!$AB$2:$AB$225,$D55,Scores!$X$2:$X$225,1)+SUMIFS(Scores!$T$2:$T$225,Scores!$AC$2:$AC$225,$D55,Scores!$X$2:$X$225,1))</f>
        <v/>
      </c>
      <c r="L55" s="2" t="str">
        <f t="shared" si="7"/>
        <v/>
      </c>
      <c r="M55" s="2" t="str">
        <f>IF($F55=FALSE,"",SUMIFS(Scores!$V$2:$V$225,Scores!$AB$2:$AB$225,$D55,Scores!$X$2:$X$225,1)+SUMIFS(Scores!$W$2:$W$225,Scores!$AC$2:$AC$225,$D55,Scores!$X$2:$X$225,1))</f>
        <v/>
      </c>
      <c r="N55" s="2" t="str">
        <f>IF($F55=FALSE,"",SUMIFS(Scores!$W$2:$W$225,Scores!$AB$2:$AB$225,$D55,Scores!$X$2:$X$225,1)+SUMIFS(Scores!$V$2:$V$225,Scores!$AC$2:$AC$225,$D55,Scores!$X$2:$X$225,1))</f>
        <v/>
      </c>
      <c r="O55" s="2" t="str">
        <f t="shared" si="8"/>
        <v/>
      </c>
      <c r="P55" s="2" t="str">
        <f>IF($F55=FALSE,"",SUMIFS(Scores!$Z$2:$Z$225,Scores!$AB$2:$AB$225,$D55,Scores!$X$2:$X$225,1)+SUMIFS(Scores!$AA$2:$AA$225,Scores!$AC$2:$AC$225,$D55,Scores!$X$2:$X$225,1))</f>
        <v/>
      </c>
      <c r="Q55" t="str">
        <f t="shared" si="9"/>
        <v/>
      </c>
      <c r="R55" t="str">
        <f t="shared" si="10"/>
        <v/>
      </c>
      <c r="S55" t="str">
        <f t="shared" si="11"/>
        <v/>
      </c>
    </row>
    <row r="56" spans="1:19">
      <c r="A56">
        <v>7</v>
      </c>
      <c r="B56" t="s">
        <v>130</v>
      </c>
      <c r="C56" s="4">
        <v>7</v>
      </c>
      <c r="D56" s="4">
        <v>707</v>
      </c>
      <c r="E56" t="str">
        <f>INDEX(Teams!$E$2:$E$65,($A56-1)*8+$C56)</f>
        <v>Pool G Team 7</v>
      </c>
      <c r="F56" t="b">
        <f>AND($A56&lt;=Setup!$B$5,$C56&lt;=Setup!$B$6)</f>
        <v>0</v>
      </c>
      <c r="G56" s="2" t="str">
        <f>IF($F56=FALSE,"",COUNTIFS(Scores!$AB$2:$AB$225,$D56,Scores!$X$2:$X$225,1)+COUNTIFS(Scores!$AC$2:$AC$225,$D56,Scores!$X$2:$X$225,1))</f>
        <v/>
      </c>
      <c r="H56" s="2" t="str">
        <f>IF($F56=FALSE,"",COUNTIFS(Scores!$AD$2:$AD$225,$D56))</f>
        <v/>
      </c>
      <c r="I56" s="2" t="str">
        <f t="shared" si="6"/>
        <v/>
      </c>
      <c r="J56" s="2" t="str">
        <f>IF($F56=FALSE,"",SUMIFS(Scores!$T$2:$T$225,Scores!$AB$2:$AB$225,$D56,Scores!$X$2:$X$225,1)+SUMIFS(Scores!$U$2:$U$225,Scores!$AC$2:$AC$225,$D56,Scores!$X$2:$X$225,1))</f>
        <v/>
      </c>
      <c r="K56" s="2" t="str">
        <f>IF($F56=FALSE,"",SUMIFS(Scores!$U$2:$U$225,Scores!$AB$2:$AB$225,$D56,Scores!$X$2:$X$225,1)+SUMIFS(Scores!$T$2:$T$225,Scores!$AC$2:$AC$225,$D56,Scores!$X$2:$X$225,1))</f>
        <v/>
      </c>
      <c r="L56" s="2" t="str">
        <f t="shared" si="7"/>
        <v/>
      </c>
      <c r="M56" s="2" t="str">
        <f>IF($F56=FALSE,"",SUMIFS(Scores!$V$2:$V$225,Scores!$AB$2:$AB$225,$D56,Scores!$X$2:$X$225,1)+SUMIFS(Scores!$W$2:$W$225,Scores!$AC$2:$AC$225,$D56,Scores!$X$2:$X$225,1))</f>
        <v/>
      </c>
      <c r="N56" s="2" t="str">
        <f>IF($F56=FALSE,"",SUMIFS(Scores!$W$2:$W$225,Scores!$AB$2:$AB$225,$D56,Scores!$X$2:$X$225,1)+SUMIFS(Scores!$V$2:$V$225,Scores!$AC$2:$AC$225,$D56,Scores!$X$2:$X$225,1))</f>
        <v/>
      </c>
      <c r="O56" s="2" t="str">
        <f t="shared" si="8"/>
        <v/>
      </c>
      <c r="P56" s="2" t="str">
        <f>IF($F56=FALSE,"",SUMIFS(Scores!$Z$2:$Z$225,Scores!$AB$2:$AB$225,$D56,Scores!$X$2:$X$225,1)+SUMIFS(Scores!$AA$2:$AA$225,Scores!$AC$2:$AC$225,$D56,Scores!$X$2:$X$225,1))</f>
        <v/>
      </c>
      <c r="Q56" t="str">
        <f t="shared" si="9"/>
        <v/>
      </c>
      <c r="R56" t="str">
        <f t="shared" si="10"/>
        <v/>
      </c>
      <c r="S56" t="str">
        <f t="shared" si="11"/>
        <v/>
      </c>
    </row>
    <row r="57" spans="1:19">
      <c r="A57">
        <v>7</v>
      </c>
      <c r="B57" t="s">
        <v>130</v>
      </c>
      <c r="C57" s="4">
        <v>8</v>
      </c>
      <c r="D57" s="4">
        <v>708</v>
      </c>
      <c r="E57" t="str">
        <f>INDEX(Teams!$E$2:$E$65,($A57-1)*8+$C57)</f>
        <v>Pool G Team 8</v>
      </c>
      <c r="F57" t="b">
        <f>AND($A57&lt;=Setup!$B$5,$C57&lt;=Setup!$B$6)</f>
        <v>0</v>
      </c>
      <c r="G57" s="2" t="str">
        <f>IF($F57=FALSE,"",COUNTIFS(Scores!$AB$2:$AB$225,$D57,Scores!$X$2:$X$225,1)+COUNTIFS(Scores!$AC$2:$AC$225,$D57,Scores!$X$2:$X$225,1))</f>
        <v/>
      </c>
      <c r="H57" s="2" t="str">
        <f>IF($F57=FALSE,"",COUNTIFS(Scores!$AD$2:$AD$225,$D57))</f>
        <v/>
      </c>
      <c r="I57" s="2" t="str">
        <f t="shared" si="6"/>
        <v/>
      </c>
      <c r="J57" s="2" t="str">
        <f>IF($F57=FALSE,"",SUMIFS(Scores!$T$2:$T$225,Scores!$AB$2:$AB$225,$D57,Scores!$X$2:$X$225,1)+SUMIFS(Scores!$U$2:$U$225,Scores!$AC$2:$AC$225,$D57,Scores!$X$2:$X$225,1))</f>
        <v/>
      </c>
      <c r="K57" s="2" t="str">
        <f>IF($F57=FALSE,"",SUMIFS(Scores!$U$2:$U$225,Scores!$AB$2:$AB$225,$D57,Scores!$X$2:$X$225,1)+SUMIFS(Scores!$T$2:$T$225,Scores!$AC$2:$AC$225,$D57,Scores!$X$2:$X$225,1))</f>
        <v/>
      </c>
      <c r="L57" s="2" t="str">
        <f t="shared" si="7"/>
        <v/>
      </c>
      <c r="M57" s="2" t="str">
        <f>IF($F57=FALSE,"",SUMIFS(Scores!$V$2:$V$225,Scores!$AB$2:$AB$225,$D57,Scores!$X$2:$X$225,1)+SUMIFS(Scores!$W$2:$W$225,Scores!$AC$2:$AC$225,$D57,Scores!$X$2:$X$225,1))</f>
        <v/>
      </c>
      <c r="N57" s="2" t="str">
        <f>IF($F57=FALSE,"",SUMIFS(Scores!$W$2:$W$225,Scores!$AB$2:$AB$225,$D57,Scores!$X$2:$X$225,1)+SUMIFS(Scores!$V$2:$V$225,Scores!$AC$2:$AC$225,$D57,Scores!$X$2:$X$225,1))</f>
        <v/>
      </c>
      <c r="O57" s="2" t="str">
        <f t="shared" si="8"/>
        <v/>
      </c>
      <c r="P57" s="2" t="str">
        <f>IF($F57=FALSE,"",SUMIFS(Scores!$Z$2:$Z$225,Scores!$AB$2:$AB$225,$D57,Scores!$X$2:$X$225,1)+SUMIFS(Scores!$AA$2:$AA$225,Scores!$AC$2:$AC$225,$D57,Scores!$X$2:$X$225,1))</f>
        <v/>
      </c>
      <c r="Q57" t="str">
        <f t="shared" si="9"/>
        <v/>
      </c>
      <c r="R57" t="str">
        <f t="shared" si="10"/>
        <v/>
      </c>
      <c r="S57" t="str">
        <f t="shared" si="11"/>
        <v/>
      </c>
    </row>
    <row r="58" spans="1:19">
      <c r="A58">
        <v>8</v>
      </c>
      <c r="B58" t="s">
        <v>139</v>
      </c>
      <c r="C58" s="4">
        <v>1</v>
      </c>
      <c r="D58" s="4">
        <v>801</v>
      </c>
      <c r="E58" t="str">
        <f>INDEX(Teams!$E$2:$E$65,($A58-1)*8+$C58)</f>
        <v>Pool H Team 1</v>
      </c>
      <c r="F58" t="b">
        <f>AND($A58&lt;=Setup!$B$5,$C58&lt;=Setup!$B$6)</f>
        <v>0</v>
      </c>
      <c r="G58" s="2" t="str">
        <f>IF($F58=FALSE,"",COUNTIFS(Scores!$AB$2:$AB$225,$D58,Scores!$X$2:$X$225,1)+COUNTIFS(Scores!$AC$2:$AC$225,$D58,Scores!$X$2:$X$225,1))</f>
        <v/>
      </c>
      <c r="H58" s="2" t="str">
        <f>IF($F58=FALSE,"",COUNTIFS(Scores!$AD$2:$AD$225,$D58))</f>
        <v/>
      </c>
      <c r="I58" s="2" t="str">
        <f t="shared" si="6"/>
        <v/>
      </c>
      <c r="J58" s="2" t="str">
        <f>IF($F58=FALSE,"",SUMIFS(Scores!$T$2:$T$225,Scores!$AB$2:$AB$225,$D58,Scores!$X$2:$X$225,1)+SUMIFS(Scores!$U$2:$U$225,Scores!$AC$2:$AC$225,$D58,Scores!$X$2:$X$225,1))</f>
        <v/>
      </c>
      <c r="K58" s="2" t="str">
        <f>IF($F58=FALSE,"",SUMIFS(Scores!$U$2:$U$225,Scores!$AB$2:$AB$225,$D58,Scores!$X$2:$X$225,1)+SUMIFS(Scores!$T$2:$T$225,Scores!$AC$2:$AC$225,$D58,Scores!$X$2:$X$225,1))</f>
        <v/>
      </c>
      <c r="L58" s="2" t="str">
        <f t="shared" si="7"/>
        <v/>
      </c>
      <c r="M58" s="2" t="str">
        <f>IF($F58=FALSE,"",SUMIFS(Scores!$V$2:$V$225,Scores!$AB$2:$AB$225,$D58,Scores!$X$2:$X$225,1)+SUMIFS(Scores!$W$2:$W$225,Scores!$AC$2:$AC$225,$D58,Scores!$X$2:$X$225,1))</f>
        <v/>
      </c>
      <c r="N58" s="2" t="str">
        <f>IF($F58=FALSE,"",SUMIFS(Scores!$W$2:$W$225,Scores!$AB$2:$AB$225,$D58,Scores!$X$2:$X$225,1)+SUMIFS(Scores!$V$2:$V$225,Scores!$AC$2:$AC$225,$D58,Scores!$X$2:$X$225,1))</f>
        <v/>
      </c>
      <c r="O58" s="2" t="str">
        <f t="shared" si="8"/>
        <v/>
      </c>
      <c r="P58" s="2" t="str">
        <f>IF($F58=FALSE,"",SUMIFS(Scores!$Z$2:$Z$225,Scores!$AB$2:$AB$225,$D58,Scores!$X$2:$X$225,1)+SUMIFS(Scores!$AA$2:$AA$225,Scores!$AC$2:$AC$225,$D58,Scores!$X$2:$X$225,1))</f>
        <v/>
      </c>
      <c r="Q58" t="str">
        <f t="shared" si="9"/>
        <v/>
      </c>
      <c r="R58" t="str">
        <f t="shared" si="10"/>
        <v/>
      </c>
      <c r="S58" t="str">
        <f t="shared" si="11"/>
        <v/>
      </c>
    </row>
    <row r="59" spans="1:19">
      <c r="A59">
        <v>8</v>
      </c>
      <c r="B59" t="s">
        <v>139</v>
      </c>
      <c r="C59" s="4">
        <v>2</v>
      </c>
      <c r="D59" s="4">
        <v>802</v>
      </c>
      <c r="E59" t="str">
        <f>INDEX(Teams!$E$2:$E$65,($A59-1)*8+$C59)</f>
        <v>Pool H Team 2</v>
      </c>
      <c r="F59" t="b">
        <f>AND($A59&lt;=Setup!$B$5,$C59&lt;=Setup!$B$6)</f>
        <v>0</v>
      </c>
      <c r="G59" s="2" t="str">
        <f>IF($F59=FALSE,"",COUNTIFS(Scores!$AB$2:$AB$225,$D59,Scores!$X$2:$X$225,1)+COUNTIFS(Scores!$AC$2:$AC$225,$D59,Scores!$X$2:$X$225,1))</f>
        <v/>
      </c>
      <c r="H59" s="2" t="str">
        <f>IF($F59=FALSE,"",COUNTIFS(Scores!$AD$2:$AD$225,$D59))</f>
        <v/>
      </c>
      <c r="I59" s="2" t="str">
        <f t="shared" si="6"/>
        <v/>
      </c>
      <c r="J59" s="2" t="str">
        <f>IF($F59=FALSE,"",SUMIFS(Scores!$T$2:$T$225,Scores!$AB$2:$AB$225,$D59,Scores!$X$2:$X$225,1)+SUMIFS(Scores!$U$2:$U$225,Scores!$AC$2:$AC$225,$D59,Scores!$X$2:$X$225,1))</f>
        <v/>
      </c>
      <c r="K59" s="2" t="str">
        <f>IF($F59=FALSE,"",SUMIFS(Scores!$U$2:$U$225,Scores!$AB$2:$AB$225,$D59,Scores!$X$2:$X$225,1)+SUMIFS(Scores!$T$2:$T$225,Scores!$AC$2:$AC$225,$D59,Scores!$X$2:$X$225,1))</f>
        <v/>
      </c>
      <c r="L59" s="2" t="str">
        <f t="shared" si="7"/>
        <v/>
      </c>
      <c r="M59" s="2" t="str">
        <f>IF($F59=FALSE,"",SUMIFS(Scores!$V$2:$V$225,Scores!$AB$2:$AB$225,$D59,Scores!$X$2:$X$225,1)+SUMIFS(Scores!$W$2:$W$225,Scores!$AC$2:$AC$225,$D59,Scores!$X$2:$X$225,1))</f>
        <v/>
      </c>
      <c r="N59" s="2" t="str">
        <f>IF($F59=FALSE,"",SUMIFS(Scores!$W$2:$W$225,Scores!$AB$2:$AB$225,$D59,Scores!$X$2:$X$225,1)+SUMIFS(Scores!$V$2:$V$225,Scores!$AC$2:$AC$225,$D59,Scores!$X$2:$X$225,1))</f>
        <v/>
      </c>
      <c r="O59" s="2" t="str">
        <f t="shared" si="8"/>
        <v/>
      </c>
      <c r="P59" s="2" t="str">
        <f>IF($F59=FALSE,"",SUMIFS(Scores!$Z$2:$Z$225,Scores!$AB$2:$AB$225,$D59,Scores!$X$2:$X$225,1)+SUMIFS(Scores!$AA$2:$AA$225,Scores!$AC$2:$AC$225,$D59,Scores!$X$2:$X$225,1))</f>
        <v/>
      </c>
      <c r="Q59" t="str">
        <f t="shared" si="9"/>
        <v/>
      </c>
      <c r="R59" t="str">
        <f t="shared" si="10"/>
        <v/>
      </c>
      <c r="S59" t="str">
        <f t="shared" si="11"/>
        <v/>
      </c>
    </row>
    <row r="60" spans="1:19">
      <c r="A60">
        <v>8</v>
      </c>
      <c r="B60" t="s">
        <v>139</v>
      </c>
      <c r="C60" s="4">
        <v>3</v>
      </c>
      <c r="D60" s="4">
        <v>803</v>
      </c>
      <c r="E60" t="str">
        <f>INDEX(Teams!$E$2:$E$65,($A60-1)*8+$C60)</f>
        <v>Pool H Team 3</v>
      </c>
      <c r="F60" t="b">
        <f>AND($A60&lt;=Setup!$B$5,$C60&lt;=Setup!$B$6)</f>
        <v>0</v>
      </c>
      <c r="G60" s="2" t="str">
        <f>IF($F60=FALSE,"",COUNTIFS(Scores!$AB$2:$AB$225,$D60,Scores!$X$2:$X$225,1)+COUNTIFS(Scores!$AC$2:$AC$225,$D60,Scores!$X$2:$X$225,1))</f>
        <v/>
      </c>
      <c r="H60" s="2" t="str">
        <f>IF($F60=FALSE,"",COUNTIFS(Scores!$AD$2:$AD$225,$D60))</f>
        <v/>
      </c>
      <c r="I60" s="2" t="str">
        <f t="shared" si="6"/>
        <v/>
      </c>
      <c r="J60" s="2" t="str">
        <f>IF($F60=FALSE,"",SUMIFS(Scores!$T$2:$T$225,Scores!$AB$2:$AB$225,$D60,Scores!$X$2:$X$225,1)+SUMIFS(Scores!$U$2:$U$225,Scores!$AC$2:$AC$225,$D60,Scores!$X$2:$X$225,1))</f>
        <v/>
      </c>
      <c r="K60" s="2" t="str">
        <f>IF($F60=FALSE,"",SUMIFS(Scores!$U$2:$U$225,Scores!$AB$2:$AB$225,$D60,Scores!$X$2:$X$225,1)+SUMIFS(Scores!$T$2:$T$225,Scores!$AC$2:$AC$225,$D60,Scores!$X$2:$X$225,1))</f>
        <v/>
      </c>
      <c r="L60" s="2" t="str">
        <f t="shared" si="7"/>
        <v/>
      </c>
      <c r="M60" s="2" t="str">
        <f>IF($F60=FALSE,"",SUMIFS(Scores!$V$2:$V$225,Scores!$AB$2:$AB$225,$D60,Scores!$X$2:$X$225,1)+SUMIFS(Scores!$W$2:$W$225,Scores!$AC$2:$AC$225,$D60,Scores!$X$2:$X$225,1))</f>
        <v/>
      </c>
      <c r="N60" s="2" t="str">
        <f>IF($F60=FALSE,"",SUMIFS(Scores!$W$2:$W$225,Scores!$AB$2:$AB$225,$D60,Scores!$X$2:$X$225,1)+SUMIFS(Scores!$V$2:$V$225,Scores!$AC$2:$AC$225,$D60,Scores!$X$2:$X$225,1))</f>
        <v/>
      </c>
      <c r="O60" s="2" t="str">
        <f t="shared" si="8"/>
        <v/>
      </c>
      <c r="P60" s="2" t="str">
        <f>IF($F60=FALSE,"",SUMIFS(Scores!$Z$2:$Z$225,Scores!$AB$2:$AB$225,$D60,Scores!$X$2:$X$225,1)+SUMIFS(Scores!$AA$2:$AA$225,Scores!$AC$2:$AC$225,$D60,Scores!$X$2:$X$225,1))</f>
        <v/>
      </c>
      <c r="Q60" t="str">
        <f t="shared" si="9"/>
        <v/>
      </c>
      <c r="R60" t="str">
        <f t="shared" si="10"/>
        <v/>
      </c>
      <c r="S60" t="str">
        <f t="shared" si="11"/>
        <v/>
      </c>
    </row>
    <row r="61" spans="1:19">
      <c r="A61">
        <v>8</v>
      </c>
      <c r="B61" t="s">
        <v>139</v>
      </c>
      <c r="C61" s="4">
        <v>4</v>
      </c>
      <c r="D61" s="4">
        <v>804</v>
      </c>
      <c r="E61" t="str">
        <f>INDEX(Teams!$E$2:$E$65,($A61-1)*8+$C61)</f>
        <v>Pool H Team 4</v>
      </c>
      <c r="F61" t="b">
        <f>AND($A61&lt;=Setup!$B$5,$C61&lt;=Setup!$B$6)</f>
        <v>0</v>
      </c>
      <c r="G61" s="2" t="str">
        <f>IF($F61=FALSE,"",COUNTIFS(Scores!$AB$2:$AB$225,$D61,Scores!$X$2:$X$225,1)+COUNTIFS(Scores!$AC$2:$AC$225,$D61,Scores!$X$2:$X$225,1))</f>
        <v/>
      </c>
      <c r="H61" s="2" t="str">
        <f>IF($F61=FALSE,"",COUNTIFS(Scores!$AD$2:$AD$225,$D61))</f>
        <v/>
      </c>
      <c r="I61" s="2" t="str">
        <f t="shared" si="6"/>
        <v/>
      </c>
      <c r="J61" s="2" t="str">
        <f>IF($F61=FALSE,"",SUMIFS(Scores!$T$2:$T$225,Scores!$AB$2:$AB$225,$D61,Scores!$X$2:$X$225,1)+SUMIFS(Scores!$U$2:$U$225,Scores!$AC$2:$AC$225,$D61,Scores!$X$2:$X$225,1))</f>
        <v/>
      </c>
      <c r="K61" s="2" t="str">
        <f>IF($F61=FALSE,"",SUMIFS(Scores!$U$2:$U$225,Scores!$AB$2:$AB$225,$D61,Scores!$X$2:$X$225,1)+SUMIFS(Scores!$T$2:$T$225,Scores!$AC$2:$AC$225,$D61,Scores!$X$2:$X$225,1))</f>
        <v/>
      </c>
      <c r="L61" s="2" t="str">
        <f t="shared" si="7"/>
        <v/>
      </c>
      <c r="M61" s="2" t="str">
        <f>IF($F61=FALSE,"",SUMIFS(Scores!$V$2:$V$225,Scores!$AB$2:$AB$225,$D61,Scores!$X$2:$X$225,1)+SUMIFS(Scores!$W$2:$W$225,Scores!$AC$2:$AC$225,$D61,Scores!$X$2:$X$225,1))</f>
        <v/>
      </c>
      <c r="N61" s="2" t="str">
        <f>IF($F61=FALSE,"",SUMIFS(Scores!$W$2:$W$225,Scores!$AB$2:$AB$225,$D61,Scores!$X$2:$X$225,1)+SUMIFS(Scores!$V$2:$V$225,Scores!$AC$2:$AC$225,$D61,Scores!$X$2:$X$225,1))</f>
        <v/>
      </c>
      <c r="O61" s="2" t="str">
        <f t="shared" si="8"/>
        <v/>
      </c>
      <c r="P61" s="2" t="str">
        <f>IF($F61=FALSE,"",SUMIFS(Scores!$Z$2:$Z$225,Scores!$AB$2:$AB$225,$D61,Scores!$X$2:$X$225,1)+SUMIFS(Scores!$AA$2:$AA$225,Scores!$AC$2:$AC$225,$D61,Scores!$X$2:$X$225,1))</f>
        <v/>
      </c>
      <c r="Q61" t="str">
        <f t="shared" si="9"/>
        <v/>
      </c>
      <c r="R61" t="str">
        <f t="shared" si="10"/>
        <v/>
      </c>
      <c r="S61" t="str">
        <f t="shared" si="11"/>
        <v/>
      </c>
    </row>
    <row r="62" spans="1:19">
      <c r="A62">
        <v>8</v>
      </c>
      <c r="B62" t="s">
        <v>139</v>
      </c>
      <c r="C62" s="4">
        <v>5</v>
      </c>
      <c r="D62" s="4">
        <v>805</v>
      </c>
      <c r="E62" t="str">
        <f>INDEX(Teams!$E$2:$E$65,($A62-1)*8+$C62)</f>
        <v>Pool H Team 5</v>
      </c>
      <c r="F62" t="b">
        <f>AND($A62&lt;=Setup!$B$5,$C62&lt;=Setup!$B$6)</f>
        <v>0</v>
      </c>
      <c r="G62" s="2" t="str">
        <f>IF($F62=FALSE,"",COUNTIFS(Scores!$AB$2:$AB$225,$D62,Scores!$X$2:$X$225,1)+COUNTIFS(Scores!$AC$2:$AC$225,$D62,Scores!$X$2:$X$225,1))</f>
        <v/>
      </c>
      <c r="H62" s="2" t="str">
        <f>IF($F62=FALSE,"",COUNTIFS(Scores!$AD$2:$AD$225,$D62))</f>
        <v/>
      </c>
      <c r="I62" s="2" t="str">
        <f t="shared" si="6"/>
        <v/>
      </c>
      <c r="J62" s="2" t="str">
        <f>IF($F62=FALSE,"",SUMIFS(Scores!$T$2:$T$225,Scores!$AB$2:$AB$225,$D62,Scores!$X$2:$X$225,1)+SUMIFS(Scores!$U$2:$U$225,Scores!$AC$2:$AC$225,$D62,Scores!$X$2:$X$225,1))</f>
        <v/>
      </c>
      <c r="K62" s="2" t="str">
        <f>IF($F62=FALSE,"",SUMIFS(Scores!$U$2:$U$225,Scores!$AB$2:$AB$225,$D62,Scores!$X$2:$X$225,1)+SUMIFS(Scores!$T$2:$T$225,Scores!$AC$2:$AC$225,$D62,Scores!$X$2:$X$225,1))</f>
        <v/>
      </c>
      <c r="L62" s="2" t="str">
        <f t="shared" si="7"/>
        <v/>
      </c>
      <c r="M62" s="2" t="str">
        <f>IF($F62=FALSE,"",SUMIFS(Scores!$V$2:$V$225,Scores!$AB$2:$AB$225,$D62,Scores!$X$2:$X$225,1)+SUMIFS(Scores!$W$2:$W$225,Scores!$AC$2:$AC$225,$D62,Scores!$X$2:$X$225,1))</f>
        <v/>
      </c>
      <c r="N62" s="2" t="str">
        <f>IF($F62=FALSE,"",SUMIFS(Scores!$W$2:$W$225,Scores!$AB$2:$AB$225,$D62,Scores!$X$2:$X$225,1)+SUMIFS(Scores!$V$2:$V$225,Scores!$AC$2:$AC$225,$D62,Scores!$X$2:$X$225,1))</f>
        <v/>
      </c>
      <c r="O62" s="2" t="str">
        <f t="shared" si="8"/>
        <v/>
      </c>
      <c r="P62" s="2" t="str">
        <f>IF($F62=FALSE,"",SUMIFS(Scores!$Z$2:$Z$225,Scores!$AB$2:$AB$225,$D62,Scores!$X$2:$X$225,1)+SUMIFS(Scores!$AA$2:$AA$225,Scores!$AC$2:$AC$225,$D62,Scores!$X$2:$X$225,1))</f>
        <v/>
      </c>
      <c r="Q62" t="str">
        <f t="shared" si="9"/>
        <v/>
      </c>
      <c r="R62" t="str">
        <f t="shared" si="10"/>
        <v/>
      </c>
      <c r="S62" t="str">
        <f t="shared" si="11"/>
        <v/>
      </c>
    </row>
    <row r="63" spans="1:19">
      <c r="A63">
        <v>8</v>
      </c>
      <c r="B63" t="s">
        <v>139</v>
      </c>
      <c r="C63" s="4">
        <v>6</v>
      </c>
      <c r="D63" s="4">
        <v>806</v>
      </c>
      <c r="E63" t="str">
        <f>INDEX(Teams!$E$2:$E$65,($A63-1)*8+$C63)</f>
        <v>Pool H Team 6</v>
      </c>
      <c r="F63" t="b">
        <f>AND($A63&lt;=Setup!$B$5,$C63&lt;=Setup!$B$6)</f>
        <v>0</v>
      </c>
      <c r="G63" s="2" t="str">
        <f>IF($F63=FALSE,"",COUNTIFS(Scores!$AB$2:$AB$225,$D63,Scores!$X$2:$X$225,1)+COUNTIFS(Scores!$AC$2:$AC$225,$D63,Scores!$X$2:$X$225,1))</f>
        <v/>
      </c>
      <c r="H63" s="2" t="str">
        <f>IF($F63=FALSE,"",COUNTIFS(Scores!$AD$2:$AD$225,$D63))</f>
        <v/>
      </c>
      <c r="I63" s="2" t="str">
        <f t="shared" si="6"/>
        <v/>
      </c>
      <c r="J63" s="2" t="str">
        <f>IF($F63=FALSE,"",SUMIFS(Scores!$T$2:$T$225,Scores!$AB$2:$AB$225,$D63,Scores!$X$2:$X$225,1)+SUMIFS(Scores!$U$2:$U$225,Scores!$AC$2:$AC$225,$D63,Scores!$X$2:$X$225,1))</f>
        <v/>
      </c>
      <c r="K63" s="2" t="str">
        <f>IF($F63=FALSE,"",SUMIFS(Scores!$U$2:$U$225,Scores!$AB$2:$AB$225,$D63,Scores!$X$2:$X$225,1)+SUMIFS(Scores!$T$2:$T$225,Scores!$AC$2:$AC$225,$D63,Scores!$X$2:$X$225,1))</f>
        <v/>
      </c>
      <c r="L63" s="2" t="str">
        <f t="shared" si="7"/>
        <v/>
      </c>
      <c r="M63" s="2" t="str">
        <f>IF($F63=FALSE,"",SUMIFS(Scores!$V$2:$V$225,Scores!$AB$2:$AB$225,$D63,Scores!$X$2:$X$225,1)+SUMIFS(Scores!$W$2:$W$225,Scores!$AC$2:$AC$225,$D63,Scores!$X$2:$X$225,1))</f>
        <v/>
      </c>
      <c r="N63" s="2" t="str">
        <f>IF($F63=FALSE,"",SUMIFS(Scores!$W$2:$W$225,Scores!$AB$2:$AB$225,$D63,Scores!$X$2:$X$225,1)+SUMIFS(Scores!$V$2:$V$225,Scores!$AC$2:$AC$225,$D63,Scores!$X$2:$X$225,1))</f>
        <v/>
      </c>
      <c r="O63" s="2" t="str">
        <f t="shared" si="8"/>
        <v/>
      </c>
      <c r="P63" s="2" t="str">
        <f>IF($F63=FALSE,"",SUMIFS(Scores!$Z$2:$Z$225,Scores!$AB$2:$AB$225,$D63,Scores!$X$2:$X$225,1)+SUMIFS(Scores!$AA$2:$AA$225,Scores!$AC$2:$AC$225,$D63,Scores!$X$2:$X$225,1))</f>
        <v/>
      </c>
      <c r="Q63" t="str">
        <f t="shared" si="9"/>
        <v/>
      </c>
      <c r="R63" t="str">
        <f t="shared" si="10"/>
        <v/>
      </c>
      <c r="S63" t="str">
        <f t="shared" si="11"/>
        <v/>
      </c>
    </row>
    <row r="64" spans="1:19">
      <c r="A64">
        <v>8</v>
      </c>
      <c r="B64" t="s">
        <v>139</v>
      </c>
      <c r="C64" s="4">
        <v>7</v>
      </c>
      <c r="D64" s="4">
        <v>807</v>
      </c>
      <c r="E64" t="str">
        <f>INDEX(Teams!$E$2:$E$65,($A64-1)*8+$C64)</f>
        <v>Pool H Team 7</v>
      </c>
      <c r="F64" t="b">
        <f>AND($A64&lt;=Setup!$B$5,$C64&lt;=Setup!$B$6)</f>
        <v>0</v>
      </c>
      <c r="G64" s="2" t="str">
        <f>IF($F64=FALSE,"",COUNTIFS(Scores!$AB$2:$AB$225,$D64,Scores!$X$2:$X$225,1)+COUNTIFS(Scores!$AC$2:$AC$225,$D64,Scores!$X$2:$X$225,1))</f>
        <v/>
      </c>
      <c r="H64" s="2" t="str">
        <f>IF($F64=FALSE,"",COUNTIFS(Scores!$AD$2:$AD$225,$D64))</f>
        <v/>
      </c>
      <c r="I64" s="2" t="str">
        <f t="shared" si="6"/>
        <v/>
      </c>
      <c r="J64" s="2" t="str">
        <f>IF($F64=FALSE,"",SUMIFS(Scores!$T$2:$T$225,Scores!$AB$2:$AB$225,$D64,Scores!$X$2:$X$225,1)+SUMIFS(Scores!$U$2:$U$225,Scores!$AC$2:$AC$225,$D64,Scores!$X$2:$X$225,1))</f>
        <v/>
      </c>
      <c r="K64" s="2" t="str">
        <f>IF($F64=FALSE,"",SUMIFS(Scores!$U$2:$U$225,Scores!$AB$2:$AB$225,$D64,Scores!$X$2:$X$225,1)+SUMIFS(Scores!$T$2:$T$225,Scores!$AC$2:$AC$225,$D64,Scores!$X$2:$X$225,1))</f>
        <v/>
      </c>
      <c r="L64" s="2" t="str">
        <f t="shared" si="7"/>
        <v/>
      </c>
      <c r="M64" s="2" t="str">
        <f>IF($F64=FALSE,"",SUMIFS(Scores!$V$2:$V$225,Scores!$AB$2:$AB$225,$D64,Scores!$X$2:$X$225,1)+SUMIFS(Scores!$W$2:$W$225,Scores!$AC$2:$AC$225,$D64,Scores!$X$2:$X$225,1))</f>
        <v/>
      </c>
      <c r="N64" s="2" t="str">
        <f>IF($F64=FALSE,"",SUMIFS(Scores!$W$2:$W$225,Scores!$AB$2:$AB$225,$D64,Scores!$X$2:$X$225,1)+SUMIFS(Scores!$V$2:$V$225,Scores!$AC$2:$AC$225,$D64,Scores!$X$2:$X$225,1))</f>
        <v/>
      </c>
      <c r="O64" s="2" t="str">
        <f t="shared" si="8"/>
        <v/>
      </c>
      <c r="P64" s="2" t="str">
        <f>IF($F64=FALSE,"",SUMIFS(Scores!$Z$2:$Z$225,Scores!$AB$2:$AB$225,$D64,Scores!$X$2:$X$225,1)+SUMIFS(Scores!$AA$2:$AA$225,Scores!$AC$2:$AC$225,$D64,Scores!$X$2:$X$225,1))</f>
        <v/>
      </c>
      <c r="Q64" t="str">
        <f t="shared" si="9"/>
        <v/>
      </c>
      <c r="R64" t="str">
        <f t="shared" si="10"/>
        <v/>
      </c>
      <c r="S64" t="str">
        <f t="shared" si="11"/>
        <v/>
      </c>
    </row>
    <row r="65" spans="1:19">
      <c r="A65">
        <v>8</v>
      </c>
      <c r="B65" t="s">
        <v>139</v>
      </c>
      <c r="C65" s="4">
        <v>8</v>
      </c>
      <c r="D65" s="4">
        <v>808</v>
      </c>
      <c r="E65" t="str">
        <f>INDEX(Teams!$E$2:$E$65,($A65-1)*8+$C65)</f>
        <v>Pool H Team 8</v>
      </c>
      <c r="F65" t="b">
        <f>AND($A65&lt;=Setup!$B$5,$C65&lt;=Setup!$B$6)</f>
        <v>0</v>
      </c>
      <c r="G65" s="2" t="str">
        <f>IF($F65=FALSE,"",COUNTIFS(Scores!$AB$2:$AB$225,$D65,Scores!$X$2:$X$225,1)+COUNTIFS(Scores!$AC$2:$AC$225,$D65,Scores!$X$2:$X$225,1))</f>
        <v/>
      </c>
      <c r="H65" s="2" t="str">
        <f>IF($F65=FALSE,"",COUNTIFS(Scores!$AD$2:$AD$225,$D65))</f>
        <v/>
      </c>
      <c r="I65" s="2" t="str">
        <f t="shared" si="6"/>
        <v/>
      </c>
      <c r="J65" s="2" t="str">
        <f>IF($F65=FALSE,"",SUMIFS(Scores!$T$2:$T$225,Scores!$AB$2:$AB$225,$D65,Scores!$X$2:$X$225,1)+SUMIFS(Scores!$U$2:$U$225,Scores!$AC$2:$AC$225,$D65,Scores!$X$2:$X$225,1))</f>
        <v/>
      </c>
      <c r="K65" s="2" t="str">
        <f>IF($F65=FALSE,"",SUMIFS(Scores!$U$2:$U$225,Scores!$AB$2:$AB$225,$D65,Scores!$X$2:$X$225,1)+SUMIFS(Scores!$T$2:$T$225,Scores!$AC$2:$AC$225,$D65,Scores!$X$2:$X$225,1))</f>
        <v/>
      </c>
      <c r="L65" s="2" t="str">
        <f t="shared" si="7"/>
        <v/>
      </c>
      <c r="M65" s="2" t="str">
        <f>IF($F65=FALSE,"",SUMIFS(Scores!$V$2:$V$225,Scores!$AB$2:$AB$225,$D65,Scores!$X$2:$X$225,1)+SUMIFS(Scores!$W$2:$W$225,Scores!$AC$2:$AC$225,$D65,Scores!$X$2:$X$225,1))</f>
        <v/>
      </c>
      <c r="N65" s="2" t="str">
        <f>IF($F65=FALSE,"",SUMIFS(Scores!$W$2:$W$225,Scores!$AB$2:$AB$225,$D65,Scores!$X$2:$X$225,1)+SUMIFS(Scores!$V$2:$V$225,Scores!$AC$2:$AC$225,$D65,Scores!$X$2:$X$225,1))</f>
        <v/>
      </c>
      <c r="O65" s="2" t="str">
        <f t="shared" si="8"/>
        <v/>
      </c>
      <c r="P65" s="2" t="str">
        <f>IF($F65=FALSE,"",SUMIFS(Scores!$Z$2:$Z$225,Scores!$AB$2:$AB$225,$D65,Scores!$X$2:$X$225,1)+SUMIFS(Scores!$AA$2:$AA$225,Scores!$AC$2:$AC$225,$D65,Scores!$X$2:$X$225,1))</f>
        <v/>
      </c>
      <c r="Q65" t="str">
        <f t="shared" si="9"/>
        <v/>
      </c>
      <c r="R65" t="str">
        <f t="shared" si="10"/>
        <v/>
      </c>
      <c r="S65" t="str">
        <f t="shared" si="11"/>
        <v/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51"/>
  <sheetViews>
    <sheetView showGridLines="0" topLeftCell="I35" workbookViewId="0">
      <selection sqref="A1:Y1"/>
    </sheetView>
  </sheetViews>
  <sheetFormatPr defaultRowHeight="14.25"/>
  <cols>
    <col min="1" max="1" width="8" customWidth="1"/>
    <col min="2" max="2" width="24" customWidth="1"/>
    <col min="3" max="8" width="8" customWidth="1"/>
    <col min="9" max="11" width="10" customWidth="1"/>
    <col min="12" max="14" width="8" customWidth="1"/>
    <col min="15" max="15" width="24" customWidth="1"/>
    <col min="16" max="21" width="8" customWidth="1"/>
    <col min="22" max="24" width="10" customWidth="1"/>
    <col min="25" max="25" width="8" customWidth="1"/>
  </cols>
  <sheetData>
    <row r="1" spans="1:25" ht="24" customHeight="1">
      <c r="A1" s="118" t="str">
        <f>Setup!B3</f>
        <v>Set Score Tournament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</row>
    <row r="2" spans="1:25" ht="15">
      <c r="A2" s="38" t="str">
        <f>"LIVE POOL TABLES — "&amp;COUNTIF(Scores!$X$2:$X$225,1)&amp;" of "&amp;(Setup!$B$5*Setup!$B$13)&amp;" pool matches complete"</f>
        <v>LIVE POOL TABLES — 0 of 0 pool matches complete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5">
      <c r="A3" s="120" t="str">
        <f>IF(1&lt;=Setup!$B$5,"Pool A","")</f>
        <v/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2"/>
      <c r="N3" s="120" t="str">
        <f>IF(5&lt;=Setup!$B$5,"Pool E","")</f>
        <v/>
      </c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</row>
    <row r="4" spans="1:25" ht="15">
      <c r="A4" s="68" t="s">
        <v>203</v>
      </c>
      <c r="B4" s="3" t="s">
        <v>189</v>
      </c>
      <c r="C4" s="3" t="s">
        <v>204</v>
      </c>
      <c r="D4" s="3" t="s">
        <v>205</v>
      </c>
      <c r="E4" s="3" t="s">
        <v>206</v>
      </c>
      <c r="F4" s="3" t="s">
        <v>207</v>
      </c>
      <c r="G4" s="3" t="s">
        <v>208</v>
      </c>
      <c r="H4" s="3" t="s">
        <v>209</v>
      </c>
      <c r="I4" s="3" t="s">
        <v>210</v>
      </c>
      <c r="J4" s="3" t="s">
        <v>211</v>
      </c>
      <c r="K4" s="3" t="s">
        <v>212</v>
      </c>
      <c r="L4" s="3" t="s">
        <v>213</v>
      </c>
      <c r="M4" s="2"/>
      <c r="N4" s="3" t="s">
        <v>203</v>
      </c>
      <c r="O4" s="3" t="s">
        <v>189</v>
      </c>
      <c r="P4" s="3" t="s">
        <v>204</v>
      </c>
      <c r="Q4" s="3" t="s">
        <v>205</v>
      </c>
      <c r="R4" s="3" t="s">
        <v>206</v>
      </c>
      <c r="S4" s="3" t="s">
        <v>207</v>
      </c>
      <c r="T4" s="3" t="s">
        <v>208</v>
      </c>
      <c r="U4" s="3" t="s">
        <v>209</v>
      </c>
      <c r="V4" s="3" t="s">
        <v>210</v>
      </c>
      <c r="W4" s="3" t="s">
        <v>211</v>
      </c>
      <c r="X4" s="3" t="s">
        <v>212</v>
      </c>
      <c r="Y4" s="3" t="s">
        <v>213</v>
      </c>
    </row>
    <row r="5" spans="1:25">
      <c r="A5" s="69" t="str">
        <f>IF(AND(1&lt;=Setup!$B$5,1&lt;=Setup!$B$6),1,"")</f>
        <v/>
      </c>
      <c r="B5" s="2" t="str">
        <f>IFERROR(INDEX(Calculations!$E$2:$E$65,(1-1)*8+MATCH(1,Calculations!$R$2:$R$9,0)),"")</f>
        <v/>
      </c>
      <c r="C5" s="69" t="str">
        <f>IFERROR(INDEX(Calculations!$G$2:$G$65,(1-1)*8+MATCH(1,Calculations!$R$2:$R$9,0)),"")</f>
        <v/>
      </c>
      <c r="D5" s="69" t="str">
        <f>IFERROR(INDEX(Calculations!$H$2:$H$65,(1-1)*8+MATCH(1,Calculations!$R$2:$R$9,0)),"")</f>
        <v/>
      </c>
      <c r="E5" s="69" t="str">
        <f>IFERROR(INDEX(Calculations!$I$2:$I$65,(1-1)*8+MATCH(1,Calculations!$R$2:$R$9,0)),"")</f>
        <v/>
      </c>
      <c r="F5" s="69" t="str">
        <f>IFERROR(INDEX(Calculations!$J$2:$J$65,(1-1)*8+MATCH(1,Calculations!$R$2:$R$9,0)),"")</f>
        <v/>
      </c>
      <c r="G5" s="69" t="str">
        <f>IFERROR(INDEX(Calculations!$K$2:$K$65,(1-1)*8+MATCH(1,Calculations!$R$2:$R$9,0)),"")</f>
        <v/>
      </c>
      <c r="H5" s="69" t="str">
        <f>IFERROR(INDEX(Calculations!$L$2:$L$65,(1-1)*8+MATCH(1,Calculations!$R$2:$R$9,0)),"")</f>
        <v/>
      </c>
      <c r="I5" s="69" t="str">
        <f>IFERROR(INDEX(Calculations!$M$2:$M$65,(1-1)*8+MATCH(1,Calculations!$R$2:$R$9,0)),"")</f>
        <v/>
      </c>
      <c r="J5" s="69" t="str">
        <f>IFERROR(INDEX(Calculations!$N$2:$N$65,(1-1)*8+MATCH(1,Calculations!$R$2:$R$9,0)),"")</f>
        <v/>
      </c>
      <c r="K5" s="69" t="str">
        <f>IFERROR(INDEX(Calculations!$O$2:$O$65,(1-1)*8+MATCH(1,Calculations!$R$2:$R$9,0)),"")</f>
        <v/>
      </c>
      <c r="L5" s="69" t="str">
        <f>IFERROR(INDEX(Calculations!$P$2:$P$65,(1-1)*8+MATCH(1,Calculations!$R$2:$R$9,0)),"")</f>
        <v/>
      </c>
      <c r="M5" s="69"/>
      <c r="N5" s="69" t="str">
        <f>IF(AND(5&lt;=Setup!$B$5,1&lt;=Setup!$B$6),1,"")</f>
        <v/>
      </c>
      <c r="O5" s="2" t="str">
        <f>IFERROR(INDEX(Calculations!$E$2:$E$65,(5-1)*8+MATCH(1,Calculations!$R$34:$R$41,0)),"")</f>
        <v/>
      </c>
      <c r="P5" s="69" t="str">
        <f>IFERROR(INDEX(Calculations!$G$2:$G$65,(5-1)*8+MATCH(1,Calculations!$R$34:$R$41,0)),"")</f>
        <v/>
      </c>
      <c r="Q5" s="69" t="str">
        <f>IFERROR(INDEX(Calculations!$H$2:$H$65,(5-1)*8+MATCH(1,Calculations!$R$34:$R$41,0)),"")</f>
        <v/>
      </c>
      <c r="R5" s="69" t="str">
        <f>IFERROR(INDEX(Calculations!$I$2:$I$65,(5-1)*8+MATCH(1,Calculations!$R$34:$R$41,0)),"")</f>
        <v/>
      </c>
      <c r="S5" s="69" t="str">
        <f>IFERROR(INDEX(Calculations!$J$2:$J$65,(5-1)*8+MATCH(1,Calculations!$R$34:$R$41,0)),"")</f>
        <v/>
      </c>
      <c r="T5" s="69" t="str">
        <f>IFERROR(INDEX(Calculations!$K$2:$K$65,(5-1)*8+MATCH(1,Calculations!$R$34:$R$41,0)),"")</f>
        <v/>
      </c>
      <c r="U5" s="69" t="str">
        <f>IFERROR(INDEX(Calculations!$L$2:$L$65,(5-1)*8+MATCH(1,Calculations!$R$34:$R$41,0)),"")</f>
        <v/>
      </c>
      <c r="V5" s="69" t="str">
        <f>IFERROR(INDEX(Calculations!$M$2:$M$65,(5-1)*8+MATCH(1,Calculations!$R$34:$R$41,0)),"")</f>
        <v/>
      </c>
      <c r="W5" s="69" t="str">
        <f>IFERROR(INDEX(Calculations!$N$2:$N$65,(5-1)*8+MATCH(1,Calculations!$R$34:$R$41,0)),"")</f>
        <v/>
      </c>
      <c r="X5" s="69" t="str">
        <f>IFERROR(INDEX(Calculations!$O$2:$O$65,(5-1)*8+MATCH(1,Calculations!$R$34:$R$41,0)),"")</f>
        <v/>
      </c>
      <c r="Y5" s="69" t="str">
        <f>IFERROR(INDEX(Calculations!$P$2:$P$65,(5-1)*8+MATCH(1,Calculations!$R$34:$R$41,0)),"")</f>
        <v/>
      </c>
    </row>
    <row r="6" spans="1:25">
      <c r="A6" s="69" t="str">
        <f>IF(AND(1&lt;=Setup!$B$5,2&lt;=Setup!$B$6),2,"")</f>
        <v/>
      </c>
      <c r="B6" s="2" t="str">
        <f>IFERROR(INDEX(Calculations!$E$2:$E$65,(1-1)*8+MATCH(2,Calculations!$R$2:$R$9,0)),"")</f>
        <v/>
      </c>
      <c r="C6" s="69" t="str">
        <f>IFERROR(INDEX(Calculations!$G$2:$G$65,(1-1)*8+MATCH(2,Calculations!$R$2:$R$9,0)),"")</f>
        <v/>
      </c>
      <c r="D6" s="69" t="str">
        <f>IFERROR(INDEX(Calculations!$H$2:$H$65,(1-1)*8+MATCH(2,Calculations!$R$2:$R$9,0)),"")</f>
        <v/>
      </c>
      <c r="E6" s="69" t="str">
        <f>IFERROR(INDEX(Calculations!$I$2:$I$65,(1-1)*8+MATCH(2,Calculations!$R$2:$R$9,0)),"")</f>
        <v/>
      </c>
      <c r="F6" s="69" t="str">
        <f>IFERROR(INDEX(Calculations!$J$2:$J$65,(1-1)*8+MATCH(2,Calculations!$R$2:$R$9,0)),"")</f>
        <v/>
      </c>
      <c r="G6" s="69" t="str">
        <f>IFERROR(INDEX(Calculations!$K$2:$K$65,(1-1)*8+MATCH(2,Calculations!$R$2:$R$9,0)),"")</f>
        <v/>
      </c>
      <c r="H6" s="69" t="str">
        <f>IFERROR(INDEX(Calculations!$L$2:$L$65,(1-1)*8+MATCH(2,Calculations!$R$2:$R$9,0)),"")</f>
        <v/>
      </c>
      <c r="I6" s="69" t="str">
        <f>IFERROR(INDEX(Calculations!$M$2:$M$65,(1-1)*8+MATCH(2,Calculations!$R$2:$R$9,0)),"")</f>
        <v/>
      </c>
      <c r="J6" s="69" t="str">
        <f>IFERROR(INDEX(Calculations!$N$2:$N$65,(1-1)*8+MATCH(2,Calculations!$R$2:$R$9,0)),"")</f>
        <v/>
      </c>
      <c r="K6" s="69" t="str">
        <f>IFERROR(INDEX(Calculations!$O$2:$O$65,(1-1)*8+MATCH(2,Calculations!$R$2:$R$9,0)),"")</f>
        <v/>
      </c>
      <c r="L6" s="69" t="str">
        <f>IFERROR(INDEX(Calculations!$P$2:$P$65,(1-1)*8+MATCH(2,Calculations!$R$2:$R$9,0)),"")</f>
        <v/>
      </c>
      <c r="M6" s="69"/>
      <c r="N6" s="69" t="str">
        <f>IF(AND(5&lt;=Setup!$B$5,2&lt;=Setup!$B$6),2,"")</f>
        <v/>
      </c>
      <c r="O6" s="2" t="str">
        <f>IFERROR(INDEX(Calculations!$E$2:$E$65,(5-1)*8+MATCH(2,Calculations!$R$34:$R$41,0)),"")</f>
        <v/>
      </c>
      <c r="P6" s="69" t="str">
        <f>IFERROR(INDEX(Calculations!$G$2:$G$65,(5-1)*8+MATCH(2,Calculations!$R$34:$R$41,0)),"")</f>
        <v/>
      </c>
      <c r="Q6" s="69" t="str">
        <f>IFERROR(INDEX(Calculations!$H$2:$H$65,(5-1)*8+MATCH(2,Calculations!$R$34:$R$41,0)),"")</f>
        <v/>
      </c>
      <c r="R6" s="69" t="str">
        <f>IFERROR(INDEX(Calculations!$I$2:$I$65,(5-1)*8+MATCH(2,Calculations!$R$34:$R$41,0)),"")</f>
        <v/>
      </c>
      <c r="S6" s="69" t="str">
        <f>IFERROR(INDEX(Calculations!$J$2:$J$65,(5-1)*8+MATCH(2,Calculations!$R$34:$R$41,0)),"")</f>
        <v/>
      </c>
      <c r="T6" s="69" t="str">
        <f>IFERROR(INDEX(Calculations!$K$2:$K$65,(5-1)*8+MATCH(2,Calculations!$R$34:$R$41,0)),"")</f>
        <v/>
      </c>
      <c r="U6" s="69" t="str">
        <f>IFERROR(INDEX(Calculations!$L$2:$L$65,(5-1)*8+MATCH(2,Calculations!$R$34:$R$41,0)),"")</f>
        <v/>
      </c>
      <c r="V6" s="69" t="str">
        <f>IFERROR(INDEX(Calculations!$M$2:$M$65,(5-1)*8+MATCH(2,Calculations!$R$34:$R$41,0)),"")</f>
        <v/>
      </c>
      <c r="W6" s="69" t="str">
        <f>IFERROR(INDEX(Calculations!$N$2:$N$65,(5-1)*8+MATCH(2,Calculations!$R$34:$R$41,0)),"")</f>
        <v/>
      </c>
      <c r="X6" s="69" t="str">
        <f>IFERROR(INDEX(Calculations!$O$2:$O$65,(5-1)*8+MATCH(2,Calculations!$R$34:$R$41,0)),"")</f>
        <v/>
      </c>
      <c r="Y6" s="69" t="str">
        <f>IFERROR(INDEX(Calculations!$P$2:$P$65,(5-1)*8+MATCH(2,Calculations!$R$34:$R$41,0)),"")</f>
        <v/>
      </c>
    </row>
    <row r="7" spans="1:25">
      <c r="A7" s="69" t="str">
        <f>IF(AND(1&lt;=Setup!$B$5,3&lt;=Setup!$B$6),3,"")</f>
        <v/>
      </c>
      <c r="B7" s="2" t="str">
        <f>IFERROR(INDEX(Calculations!$E$2:$E$65,(1-1)*8+MATCH(3,Calculations!$R$2:$R$9,0)),"")</f>
        <v/>
      </c>
      <c r="C7" s="69" t="str">
        <f>IFERROR(INDEX(Calculations!$G$2:$G$65,(1-1)*8+MATCH(3,Calculations!$R$2:$R$9,0)),"")</f>
        <v/>
      </c>
      <c r="D7" s="69" t="str">
        <f>IFERROR(INDEX(Calculations!$H$2:$H$65,(1-1)*8+MATCH(3,Calculations!$R$2:$R$9,0)),"")</f>
        <v/>
      </c>
      <c r="E7" s="69" t="str">
        <f>IFERROR(INDEX(Calculations!$I$2:$I$65,(1-1)*8+MATCH(3,Calculations!$R$2:$R$9,0)),"")</f>
        <v/>
      </c>
      <c r="F7" s="69" t="str">
        <f>IFERROR(INDEX(Calculations!$J$2:$J$65,(1-1)*8+MATCH(3,Calculations!$R$2:$R$9,0)),"")</f>
        <v/>
      </c>
      <c r="G7" s="69" t="str">
        <f>IFERROR(INDEX(Calculations!$K$2:$K$65,(1-1)*8+MATCH(3,Calculations!$R$2:$R$9,0)),"")</f>
        <v/>
      </c>
      <c r="H7" s="69" t="str">
        <f>IFERROR(INDEX(Calculations!$L$2:$L$65,(1-1)*8+MATCH(3,Calculations!$R$2:$R$9,0)),"")</f>
        <v/>
      </c>
      <c r="I7" s="69" t="str">
        <f>IFERROR(INDEX(Calculations!$M$2:$M$65,(1-1)*8+MATCH(3,Calculations!$R$2:$R$9,0)),"")</f>
        <v/>
      </c>
      <c r="J7" s="69" t="str">
        <f>IFERROR(INDEX(Calculations!$N$2:$N$65,(1-1)*8+MATCH(3,Calculations!$R$2:$R$9,0)),"")</f>
        <v/>
      </c>
      <c r="K7" s="69" t="str">
        <f>IFERROR(INDEX(Calculations!$O$2:$O$65,(1-1)*8+MATCH(3,Calculations!$R$2:$R$9,0)),"")</f>
        <v/>
      </c>
      <c r="L7" s="69" t="str">
        <f>IFERROR(INDEX(Calculations!$P$2:$P$65,(1-1)*8+MATCH(3,Calculations!$R$2:$R$9,0)),"")</f>
        <v/>
      </c>
      <c r="M7" s="69"/>
      <c r="N7" s="69" t="str">
        <f>IF(AND(5&lt;=Setup!$B$5,3&lt;=Setup!$B$6),3,"")</f>
        <v/>
      </c>
      <c r="O7" s="2" t="str">
        <f>IFERROR(INDEX(Calculations!$E$2:$E$65,(5-1)*8+MATCH(3,Calculations!$R$34:$R$41,0)),"")</f>
        <v/>
      </c>
      <c r="P7" s="69" t="str">
        <f>IFERROR(INDEX(Calculations!$G$2:$G$65,(5-1)*8+MATCH(3,Calculations!$R$34:$R$41,0)),"")</f>
        <v/>
      </c>
      <c r="Q7" s="69" t="str">
        <f>IFERROR(INDEX(Calculations!$H$2:$H$65,(5-1)*8+MATCH(3,Calculations!$R$34:$R$41,0)),"")</f>
        <v/>
      </c>
      <c r="R7" s="69" t="str">
        <f>IFERROR(INDEX(Calculations!$I$2:$I$65,(5-1)*8+MATCH(3,Calculations!$R$34:$R$41,0)),"")</f>
        <v/>
      </c>
      <c r="S7" s="69" t="str">
        <f>IFERROR(INDEX(Calculations!$J$2:$J$65,(5-1)*8+MATCH(3,Calculations!$R$34:$R$41,0)),"")</f>
        <v/>
      </c>
      <c r="T7" s="69" t="str">
        <f>IFERROR(INDEX(Calculations!$K$2:$K$65,(5-1)*8+MATCH(3,Calculations!$R$34:$R$41,0)),"")</f>
        <v/>
      </c>
      <c r="U7" s="69" t="str">
        <f>IFERROR(INDEX(Calculations!$L$2:$L$65,(5-1)*8+MATCH(3,Calculations!$R$34:$R$41,0)),"")</f>
        <v/>
      </c>
      <c r="V7" s="69" t="str">
        <f>IFERROR(INDEX(Calculations!$M$2:$M$65,(5-1)*8+MATCH(3,Calculations!$R$34:$R$41,0)),"")</f>
        <v/>
      </c>
      <c r="W7" s="69" t="str">
        <f>IFERROR(INDEX(Calculations!$N$2:$N$65,(5-1)*8+MATCH(3,Calculations!$R$34:$R$41,0)),"")</f>
        <v/>
      </c>
      <c r="X7" s="69" t="str">
        <f>IFERROR(INDEX(Calculations!$O$2:$O$65,(5-1)*8+MATCH(3,Calculations!$R$34:$R$41,0)),"")</f>
        <v/>
      </c>
      <c r="Y7" s="69" t="str">
        <f>IFERROR(INDEX(Calculations!$P$2:$P$65,(5-1)*8+MATCH(3,Calculations!$R$34:$R$41,0)),"")</f>
        <v/>
      </c>
    </row>
    <row r="8" spans="1:25">
      <c r="A8" s="69" t="str">
        <f>IF(AND(1&lt;=Setup!$B$5,4&lt;=Setup!$B$6),4,"")</f>
        <v/>
      </c>
      <c r="B8" s="2" t="str">
        <f>IFERROR(INDEX(Calculations!$E$2:$E$65,(1-1)*8+MATCH(4,Calculations!$R$2:$R$9,0)),"")</f>
        <v/>
      </c>
      <c r="C8" s="69" t="str">
        <f>IFERROR(INDEX(Calculations!$G$2:$G$65,(1-1)*8+MATCH(4,Calculations!$R$2:$R$9,0)),"")</f>
        <v/>
      </c>
      <c r="D8" s="69" t="str">
        <f>IFERROR(INDEX(Calculations!$H$2:$H$65,(1-1)*8+MATCH(4,Calculations!$R$2:$R$9,0)),"")</f>
        <v/>
      </c>
      <c r="E8" s="69" t="str">
        <f>IFERROR(INDEX(Calculations!$I$2:$I$65,(1-1)*8+MATCH(4,Calculations!$R$2:$R$9,0)),"")</f>
        <v/>
      </c>
      <c r="F8" s="69" t="str">
        <f>IFERROR(INDEX(Calculations!$J$2:$J$65,(1-1)*8+MATCH(4,Calculations!$R$2:$R$9,0)),"")</f>
        <v/>
      </c>
      <c r="G8" s="69" t="str">
        <f>IFERROR(INDEX(Calculations!$K$2:$K$65,(1-1)*8+MATCH(4,Calculations!$R$2:$R$9,0)),"")</f>
        <v/>
      </c>
      <c r="H8" s="69" t="str">
        <f>IFERROR(INDEX(Calculations!$L$2:$L$65,(1-1)*8+MATCH(4,Calculations!$R$2:$R$9,0)),"")</f>
        <v/>
      </c>
      <c r="I8" s="69" t="str">
        <f>IFERROR(INDEX(Calculations!$M$2:$M$65,(1-1)*8+MATCH(4,Calculations!$R$2:$R$9,0)),"")</f>
        <v/>
      </c>
      <c r="J8" s="69" t="str">
        <f>IFERROR(INDEX(Calculations!$N$2:$N$65,(1-1)*8+MATCH(4,Calculations!$R$2:$R$9,0)),"")</f>
        <v/>
      </c>
      <c r="K8" s="69" t="str">
        <f>IFERROR(INDEX(Calculations!$O$2:$O$65,(1-1)*8+MATCH(4,Calculations!$R$2:$R$9,0)),"")</f>
        <v/>
      </c>
      <c r="L8" s="69" t="str">
        <f>IFERROR(INDEX(Calculations!$P$2:$P$65,(1-1)*8+MATCH(4,Calculations!$R$2:$R$9,0)),"")</f>
        <v/>
      </c>
      <c r="M8" s="69"/>
      <c r="N8" s="69" t="str">
        <f>IF(AND(5&lt;=Setup!$B$5,4&lt;=Setup!$B$6),4,"")</f>
        <v/>
      </c>
      <c r="O8" s="2" t="str">
        <f>IFERROR(INDEX(Calculations!$E$2:$E$65,(5-1)*8+MATCH(4,Calculations!$R$34:$R$41,0)),"")</f>
        <v/>
      </c>
      <c r="P8" s="69" t="str">
        <f>IFERROR(INDEX(Calculations!$G$2:$G$65,(5-1)*8+MATCH(4,Calculations!$R$34:$R$41,0)),"")</f>
        <v/>
      </c>
      <c r="Q8" s="69" t="str">
        <f>IFERROR(INDEX(Calculations!$H$2:$H$65,(5-1)*8+MATCH(4,Calculations!$R$34:$R$41,0)),"")</f>
        <v/>
      </c>
      <c r="R8" s="69" t="str">
        <f>IFERROR(INDEX(Calculations!$I$2:$I$65,(5-1)*8+MATCH(4,Calculations!$R$34:$R$41,0)),"")</f>
        <v/>
      </c>
      <c r="S8" s="69" t="str">
        <f>IFERROR(INDEX(Calculations!$J$2:$J$65,(5-1)*8+MATCH(4,Calculations!$R$34:$R$41,0)),"")</f>
        <v/>
      </c>
      <c r="T8" s="69" t="str">
        <f>IFERROR(INDEX(Calculations!$K$2:$K$65,(5-1)*8+MATCH(4,Calculations!$R$34:$R$41,0)),"")</f>
        <v/>
      </c>
      <c r="U8" s="69" t="str">
        <f>IFERROR(INDEX(Calculations!$L$2:$L$65,(5-1)*8+MATCH(4,Calculations!$R$34:$R$41,0)),"")</f>
        <v/>
      </c>
      <c r="V8" s="69" t="str">
        <f>IFERROR(INDEX(Calculations!$M$2:$M$65,(5-1)*8+MATCH(4,Calculations!$R$34:$R$41,0)),"")</f>
        <v/>
      </c>
      <c r="W8" s="69" t="str">
        <f>IFERROR(INDEX(Calculations!$N$2:$N$65,(5-1)*8+MATCH(4,Calculations!$R$34:$R$41,0)),"")</f>
        <v/>
      </c>
      <c r="X8" s="69" t="str">
        <f>IFERROR(INDEX(Calculations!$O$2:$O$65,(5-1)*8+MATCH(4,Calculations!$R$34:$R$41,0)),"")</f>
        <v/>
      </c>
      <c r="Y8" s="69" t="str">
        <f>IFERROR(INDEX(Calculations!$P$2:$P$65,(5-1)*8+MATCH(4,Calculations!$R$34:$R$41,0)),"")</f>
        <v/>
      </c>
    </row>
    <row r="9" spans="1:25">
      <c r="A9" s="69" t="str">
        <f>IF(AND(1&lt;=Setup!$B$5,5&lt;=Setup!$B$6),5,"")</f>
        <v/>
      </c>
      <c r="B9" s="2" t="str">
        <f>IFERROR(INDEX(Calculations!$E$2:$E$65,(1-1)*8+MATCH(5,Calculations!$R$2:$R$9,0)),"")</f>
        <v/>
      </c>
      <c r="C9" s="69" t="str">
        <f>IFERROR(INDEX(Calculations!$G$2:$G$65,(1-1)*8+MATCH(5,Calculations!$R$2:$R$9,0)),"")</f>
        <v/>
      </c>
      <c r="D9" s="69" t="str">
        <f>IFERROR(INDEX(Calculations!$H$2:$H$65,(1-1)*8+MATCH(5,Calculations!$R$2:$R$9,0)),"")</f>
        <v/>
      </c>
      <c r="E9" s="69" t="str">
        <f>IFERROR(INDEX(Calculations!$I$2:$I$65,(1-1)*8+MATCH(5,Calculations!$R$2:$R$9,0)),"")</f>
        <v/>
      </c>
      <c r="F9" s="69" t="str">
        <f>IFERROR(INDEX(Calculations!$J$2:$J$65,(1-1)*8+MATCH(5,Calculations!$R$2:$R$9,0)),"")</f>
        <v/>
      </c>
      <c r="G9" s="69" t="str">
        <f>IFERROR(INDEX(Calculations!$K$2:$K$65,(1-1)*8+MATCH(5,Calculations!$R$2:$R$9,0)),"")</f>
        <v/>
      </c>
      <c r="H9" s="69" t="str">
        <f>IFERROR(INDEX(Calculations!$L$2:$L$65,(1-1)*8+MATCH(5,Calculations!$R$2:$R$9,0)),"")</f>
        <v/>
      </c>
      <c r="I9" s="69" t="str">
        <f>IFERROR(INDEX(Calculations!$M$2:$M$65,(1-1)*8+MATCH(5,Calculations!$R$2:$R$9,0)),"")</f>
        <v/>
      </c>
      <c r="J9" s="69" t="str">
        <f>IFERROR(INDEX(Calculations!$N$2:$N$65,(1-1)*8+MATCH(5,Calculations!$R$2:$R$9,0)),"")</f>
        <v/>
      </c>
      <c r="K9" s="69" t="str">
        <f>IFERROR(INDEX(Calculations!$O$2:$O$65,(1-1)*8+MATCH(5,Calculations!$R$2:$R$9,0)),"")</f>
        <v/>
      </c>
      <c r="L9" s="69" t="str">
        <f>IFERROR(INDEX(Calculations!$P$2:$P$65,(1-1)*8+MATCH(5,Calculations!$R$2:$R$9,0)),"")</f>
        <v/>
      </c>
      <c r="M9" s="69"/>
      <c r="N9" s="69" t="str">
        <f>IF(AND(5&lt;=Setup!$B$5,5&lt;=Setup!$B$6),5,"")</f>
        <v/>
      </c>
      <c r="O9" s="2" t="str">
        <f>IFERROR(INDEX(Calculations!$E$2:$E$65,(5-1)*8+MATCH(5,Calculations!$R$34:$R$41,0)),"")</f>
        <v/>
      </c>
      <c r="P9" s="69" t="str">
        <f>IFERROR(INDEX(Calculations!$G$2:$G$65,(5-1)*8+MATCH(5,Calculations!$R$34:$R$41,0)),"")</f>
        <v/>
      </c>
      <c r="Q9" s="69" t="str">
        <f>IFERROR(INDEX(Calculations!$H$2:$H$65,(5-1)*8+MATCH(5,Calculations!$R$34:$R$41,0)),"")</f>
        <v/>
      </c>
      <c r="R9" s="69" t="str">
        <f>IFERROR(INDEX(Calculations!$I$2:$I$65,(5-1)*8+MATCH(5,Calculations!$R$34:$R$41,0)),"")</f>
        <v/>
      </c>
      <c r="S9" s="69" t="str">
        <f>IFERROR(INDEX(Calculations!$J$2:$J$65,(5-1)*8+MATCH(5,Calculations!$R$34:$R$41,0)),"")</f>
        <v/>
      </c>
      <c r="T9" s="69" t="str">
        <f>IFERROR(INDEX(Calculations!$K$2:$K$65,(5-1)*8+MATCH(5,Calculations!$R$34:$R$41,0)),"")</f>
        <v/>
      </c>
      <c r="U9" s="69" t="str">
        <f>IFERROR(INDEX(Calculations!$L$2:$L$65,(5-1)*8+MATCH(5,Calculations!$R$34:$R$41,0)),"")</f>
        <v/>
      </c>
      <c r="V9" s="69" t="str">
        <f>IFERROR(INDEX(Calculations!$M$2:$M$65,(5-1)*8+MATCH(5,Calculations!$R$34:$R$41,0)),"")</f>
        <v/>
      </c>
      <c r="W9" s="69" t="str">
        <f>IFERROR(INDEX(Calculations!$N$2:$N$65,(5-1)*8+MATCH(5,Calculations!$R$34:$R$41,0)),"")</f>
        <v/>
      </c>
      <c r="X9" s="69" t="str">
        <f>IFERROR(INDEX(Calculations!$O$2:$O$65,(5-1)*8+MATCH(5,Calculations!$R$34:$R$41,0)),"")</f>
        <v/>
      </c>
      <c r="Y9" s="69" t="str">
        <f>IFERROR(INDEX(Calculations!$P$2:$P$65,(5-1)*8+MATCH(5,Calculations!$R$34:$R$41,0)),"")</f>
        <v/>
      </c>
    </row>
    <row r="10" spans="1:25">
      <c r="A10" s="69" t="str">
        <f>IF(AND(1&lt;=Setup!$B$5,6&lt;=Setup!$B$6),6,"")</f>
        <v/>
      </c>
      <c r="B10" s="2" t="str">
        <f>IFERROR(INDEX(Calculations!$E$2:$E$65,(1-1)*8+MATCH(6,Calculations!$R$2:$R$9,0)),"")</f>
        <v/>
      </c>
      <c r="C10" s="69" t="str">
        <f>IFERROR(INDEX(Calculations!$G$2:$G$65,(1-1)*8+MATCH(6,Calculations!$R$2:$R$9,0)),"")</f>
        <v/>
      </c>
      <c r="D10" s="69" t="str">
        <f>IFERROR(INDEX(Calculations!$H$2:$H$65,(1-1)*8+MATCH(6,Calculations!$R$2:$R$9,0)),"")</f>
        <v/>
      </c>
      <c r="E10" s="69" t="str">
        <f>IFERROR(INDEX(Calculations!$I$2:$I$65,(1-1)*8+MATCH(6,Calculations!$R$2:$R$9,0)),"")</f>
        <v/>
      </c>
      <c r="F10" s="69" t="str">
        <f>IFERROR(INDEX(Calculations!$J$2:$J$65,(1-1)*8+MATCH(6,Calculations!$R$2:$R$9,0)),"")</f>
        <v/>
      </c>
      <c r="G10" s="69" t="str">
        <f>IFERROR(INDEX(Calculations!$K$2:$K$65,(1-1)*8+MATCH(6,Calculations!$R$2:$R$9,0)),"")</f>
        <v/>
      </c>
      <c r="H10" s="69" t="str">
        <f>IFERROR(INDEX(Calculations!$L$2:$L$65,(1-1)*8+MATCH(6,Calculations!$R$2:$R$9,0)),"")</f>
        <v/>
      </c>
      <c r="I10" s="69" t="str">
        <f>IFERROR(INDEX(Calculations!$M$2:$M$65,(1-1)*8+MATCH(6,Calculations!$R$2:$R$9,0)),"")</f>
        <v/>
      </c>
      <c r="J10" s="69" t="str">
        <f>IFERROR(INDEX(Calculations!$N$2:$N$65,(1-1)*8+MATCH(6,Calculations!$R$2:$R$9,0)),"")</f>
        <v/>
      </c>
      <c r="K10" s="69" t="str">
        <f>IFERROR(INDEX(Calculations!$O$2:$O$65,(1-1)*8+MATCH(6,Calculations!$R$2:$R$9,0)),"")</f>
        <v/>
      </c>
      <c r="L10" s="69" t="str">
        <f>IFERROR(INDEX(Calculations!$P$2:$P$65,(1-1)*8+MATCH(6,Calculations!$R$2:$R$9,0)),"")</f>
        <v/>
      </c>
      <c r="M10" s="69"/>
      <c r="N10" s="69" t="str">
        <f>IF(AND(5&lt;=Setup!$B$5,6&lt;=Setup!$B$6),6,"")</f>
        <v/>
      </c>
      <c r="O10" s="2" t="str">
        <f>IFERROR(INDEX(Calculations!$E$2:$E$65,(5-1)*8+MATCH(6,Calculations!$R$34:$R$41,0)),"")</f>
        <v/>
      </c>
      <c r="P10" s="69" t="str">
        <f>IFERROR(INDEX(Calculations!$G$2:$G$65,(5-1)*8+MATCH(6,Calculations!$R$34:$R$41,0)),"")</f>
        <v/>
      </c>
      <c r="Q10" s="69" t="str">
        <f>IFERROR(INDEX(Calculations!$H$2:$H$65,(5-1)*8+MATCH(6,Calculations!$R$34:$R$41,0)),"")</f>
        <v/>
      </c>
      <c r="R10" s="69" t="str">
        <f>IFERROR(INDEX(Calculations!$I$2:$I$65,(5-1)*8+MATCH(6,Calculations!$R$34:$R$41,0)),"")</f>
        <v/>
      </c>
      <c r="S10" s="69" t="str">
        <f>IFERROR(INDEX(Calculations!$J$2:$J$65,(5-1)*8+MATCH(6,Calculations!$R$34:$R$41,0)),"")</f>
        <v/>
      </c>
      <c r="T10" s="69" t="str">
        <f>IFERROR(INDEX(Calculations!$K$2:$K$65,(5-1)*8+MATCH(6,Calculations!$R$34:$R$41,0)),"")</f>
        <v/>
      </c>
      <c r="U10" s="69" t="str">
        <f>IFERROR(INDEX(Calculations!$L$2:$L$65,(5-1)*8+MATCH(6,Calculations!$R$34:$R$41,0)),"")</f>
        <v/>
      </c>
      <c r="V10" s="69" t="str">
        <f>IFERROR(INDEX(Calculations!$M$2:$M$65,(5-1)*8+MATCH(6,Calculations!$R$34:$R$41,0)),"")</f>
        <v/>
      </c>
      <c r="W10" s="69" t="str">
        <f>IFERROR(INDEX(Calculations!$N$2:$N$65,(5-1)*8+MATCH(6,Calculations!$R$34:$R$41,0)),"")</f>
        <v/>
      </c>
      <c r="X10" s="69" t="str">
        <f>IFERROR(INDEX(Calculations!$O$2:$O$65,(5-1)*8+MATCH(6,Calculations!$R$34:$R$41,0)),"")</f>
        <v/>
      </c>
      <c r="Y10" s="69" t="str">
        <f>IFERROR(INDEX(Calculations!$P$2:$P$65,(5-1)*8+MATCH(6,Calculations!$R$34:$R$41,0)),"")</f>
        <v/>
      </c>
    </row>
    <row r="11" spans="1:25">
      <c r="A11" s="69" t="str">
        <f>IF(AND(1&lt;=Setup!$B$5,7&lt;=Setup!$B$6),7,"")</f>
        <v/>
      </c>
      <c r="B11" s="2" t="str">
        <f>IFERROR(INDEX(Calculations!$E$2:$E$65,(1-1)*8+MATCH(7,Calculations!$R$2:$R$9,0)),"")</f>
        <v/>
      </c>
      <c r="C11" s="69" t="str">
        <f>IFERROR(INDEX(Calculations!$G$2:$G$65,(1-1)*8+MATCH(7,Calculations!$R$2:$R$9,0)),"")</f>
        <v/>
      </c>
      <c r="D11" s="69" t="str">
        <f>IFERROR(INDEX(Calculations!$H$2:$H$65,(1-1)*8+MATCH(7,Calculations!$R$2:$R$9,0)),"")</f>
        <v/>
      </c>
      <c r="E11" s="69" t="str">
        <f>IFERROR(INDEX(Calculations!$I$2:$I$65,(1-1)*8+MATCH(7,Calculations!$R$2:$R$9,0)),"")</f>
        <v/>
      </c>
      <c r="F11" s="69" t="str">
        <f>IFERROR(INDEX(Calculations!$J$2:$J$65,(1-1)*8+MATCH(7,Calculations!$R$2:$R$9,0)),"")</f>
        <v/>
      </c>
      <c r="G11" s="69" t="str">
        <f>IFERROR(INDEX(Calculations!$K$2:$K$65,(1-1)*8+MATCH(7,Calculations!$R$2:$R$9,0)),"")</f>
        <v/>
      </c>
      <c r="H11" s="69" t="str">
        <f>IFERROR(INDEX(Calculations!$L$2:$L$65,(1-1)*8+MATCH(7,Calculations!$R$2:$R$9,0)),"")</f>
        <v/>
      </c>
      <c r="I11" s="69" t="str">
        <f>IFERROR(INDEX(Calculations!$M$2:$M$65,(1-1)*8+MATCH(7,Calculations!$R$2:$R$9,0)),"")</f>
        <v/>
      </c>
      <c r="J11" s="69" t="str">
        <f>IFERROR(INDEX(Calculations!$N$2:$N$65,(1-1)*8+MATCH(7,Calculations!$R$2:$R$9,0)),"")</f>
        <v/>
      </c>
      <c r="K11" s="69" t="str">
        <f>IFERROR(INDEX(Calculations!$O$2:$O$65,(1-1)*8+MATCH(7,Calculations!$R$2:$R$9,0)),"")</f>
        <v/>
      </c>
      <c r="L11" s="69" t="str">
        <f>IFERROR(INDEX(Calculations!$P$2:$P$65,(1-1)*8+MATCH(7,Calculations!$R$2:$R$9,0)),"")</f>
        <v/>
      </c>
      <c r="M11" s="69"/>
      <c r="N11" s="69" t="str">
        <f>IF(AND(5&lt;=Setup!$B$5,7&lt;=Setup!$B$6),7,"")</f>
        <v/>
      </c>
      <c r="O11" s="2" t="str">
        <f>IFERROR(INDEX(Calculations!$E$2:$E$65,(5-1)*8+MATCH(7,Calculations!$R$34:$R$41,0)),"")</f>
        <v/>
      </c>
      <c r="P11" s="69" t="str">
        <f>IFERROR(INDEX(Calculations!$G$2:$G$65,(5-1)*8+MATCH(7,Calculations!$R$34:$R$41,0)),"")</f>
        <v/>
      </c>
      <c r="Q11" s="69" t="str">
        <f>IFERROR(INDEX(Calculations!$H$2:$H$65,(5-1)*8+MATCH(7,Calculations!$R$34:$R$41,0)),"")</f>
        <v/>
      </c>
      <c r="R11" s="69" t="str">
        <f>IFERROR(INDEX(Calculations!$I$2:$I$65,(5-1)*8+MATCH(7,Calculations!$R$34:$R$41,0)),"")</f>
        <v/>
      </c>
      <c r="S11" s="69" t="str">
        <f>IFERROR(INDEX(Calculations!$J$2:$J$65,(5-1)*8+MATCH(7,Calculations!$R$34:$R$41,0)),"")</f>
        <v/>
      </c>
      <c r="T11" s="69" t="str">
        <f>IFERROR(INDEX(Calculations!$K$2:$K$65,(5-1)*8+MATCH(7,Calculations!$R$34:$R$41,0)),"")</f>
        <v/>
      </c>
      <c r="U11" s="69" t="str">
        <f>IFERROR(INDEX(Calculations!$L$2:$L$65,(5-1)*8+MATCH(7,Calculations!$R$34:$R$41,0)),"")</f>
        <v/>
      </c>
      <c r="V11" s="69" t="str">
        <f>IFERROR(INDEX(Calculations!$M$2:$M$65,(5-1)*8+MATCH(7,Calculations!$R$34:$R$41,0)),"")</f>
        <v/>
      </c>
      <c r="W11" s="69" t="str">
        <f>IFERROR(INDEX(Calculations!$N$2:$N$65,(5-1)*8+MATCH(7,Calculations!$R$34:$R$41,0)),"")</f>
        <v/>
      </c>
      <c r="X11" s="69" t="str">
        <f>IFERROR(INDEX(Calculations!$O$2:$O$65,(5-1)*8+MATCH(7,Calculations!$R$34:$R$41,0)),"")</f>
        <v/>
      </c>
      <c r="Y11" s="69" t="str">
        <f>IFERROR(INDEX(Calculations!$P$2:$P$65,(5-1)*8+MATCH(7,Calculations!$R$34:$R$41,0)),"")</f>
        <v/>
      </c>
    </row>
    <row r="12" spans="1:25">
      <c r="A12" s="69" t="str">
        <f>IF(AND(1&lt;=Setup!$B$5,8&lt;=Setup!$B$6),8,"")</f>
        <v/>
      </c>
      <c r="B12" s="2" t="str">
        <f>IFERROR(INDEX(Calculations!$E$2:$E$65,(1-1)*8+MATCH(8,Calculations!$R$2:$R$9,0)),"")</f>
        <v/>
      </c>
      <c r="C12" s="69" t="str">
        <f>IFERROR(INDEX(Calculations!$G$2:$G$65,(1-1)*8+MATCH(8,Calculations!$R$2:$R$9,0)),"")</f>
        <v/>
      </c>
      <c r="D12" s="69" t="str">
        <f>IFERROR(INDEX(Calculations!$H$2:$H$65,(1-1)*8+MATCH(8,Calculations!$R$2:$R$9,0)),"")</f>
        <v/>
      </c>
      <c r="E12" s="69" t="str">
        <f>IFERROR(INDEX(Calculations!$I$2:$I$65,(1-1)*8+MATCH(8,Calculations!$R$2:$R$9,0)),"")</f>
        <v/>
      </c>
      <c r="F12" s="69" t="str">
        <f>IFERROR(INDEX(Calculations!$J$2:$J$65,(1-1)*8+MATCH(8,Calculations!$R$2:$R$9,0)),"")</f>
        <v/>
      </c>
      <c r="G12" s="69" t="str">
        <f>IFERROR(INDEX(Calculations!$K$2:$K$65,(1-1)*8+MATCH(8,Calculations!$R$2:$R$9,0)),"")</f>
        <v/>
      </c>
      <c r="H12" s="69" t="str">
        <f>IFERROR(INDEX(Calculations!$L$2:$L$65,(1-1)*8+MATCH(8,Calculations!$R$2:$R$9,0)),"")</f>
        <v/>
      </c>
      <c r="I12" s="69" t="str">
        <f>IFERROR(INDEX(Calculations!$M$2:$M$65,(1-1)*8+MATCH(8,Calculations!$R$2:$R$9,0)),"")</f>
        <v/>
      </c>
      <c r="J12" s="69" t="str">
        <f>IFERROR(INDEX(Calculations!$N$2:$N$65,(1-1)*8+MATCH(8,Calculations!$R$2:$R$9,0)),"")</f>
        <v/>
      </c>
      <c r="K12" s="69" t="str">
        <f>IFERROR(INDEX(Calculations!$O$2:$O$65,(1-1)*8+MATCH(8,Calculations!$R$2:$R$9,0)),"")</f>
        <v/>
      </c>
      <c r="L12" s="69" t="str">
        <f>IFERROR(INDEX(Calculations!$P$2:$P$65,(1-1)*8+MATCH(8,Calculations!$R$2:$R$9,0)),"")</f>
        <v/>
      </c>
      <c r="M12" s="69"/>
      <c r="N12" s="69" t="str">
        <f>IF(AND(5&lt;=Setup!$B$5,8&lt;=Setup!$B$6),8,"")</f>
        <v/>
      </c>
      <c r="O12" s="2" t="str">
        <f>IFERROR(INDEX(Calculations!$E$2:$E$65,(5-1)*8+MATCH(8,Calculations!$R$34:$R$41,0)),"")</f>
        <v/>
      </c>
      <c r="P12" s="69" t="str">
        <f>IFERROR(INDEX(Calculations!$G$2:$G$65,(5-1)*8+MATCH(8,Calculations!$R$34:$R$41,0)),"")</f>
        <v/>
      </c>
      <c r="Q12" s="69" t="str">
        <f>IFERROR(INDEX(Calculations!$H$2:$H$65,(5-1)*8+MATCH(8,Calculations!$R$34:$R$41,0)),"")</f>
        <v/>
      </c>
      <c r="R12" s="69" t="str">
        <f>IFERROR(INDEX(Calculations!$I$2:$I$65,(5-1)*8+MATCH(8,Calculations!$R$34:$R$41,0)),"")</f>
        <v/>
      </c>
      <c r="S12" s="69" t="str">
        <f>IFERROR(INDEX(Calculations!$J$2:$J$65,(5-1)*8+MATCH(8,Calculations!$R$34:$R$41,0)),"")</f>
        <v/>
      </c>
      <c r="T12" s="69" t="str">
        <f>IFERROR(INDEX(Calculations!$K$2:$K$65,(5-1)*8+MATCH(8,Calculations!$R$34:$R$41,0)),"")</f>
        <v/>
      </c>
      <c r="U12" s="69" t="str">
        <f>IFERROR(INDEX(Calculations!$L$2:$L$65,(5-1)*8+MATCH(8,Calculations!$R$34:$R$41,0)),"")</f>
        <v/>
      </c>
      <c r="V12" s="69" t="str">
        <f>IFERROR(INDEX(Calculations!$M$2:$M$65,(5-1)*8+MATCH(8,Calculations!$R$34:$R$41,0)),"")</f>
        <v/>
      </c>
      <c r="W12" s="69" t="str">
        <f>IFERROR(INDEX(Calculations!$N$2:$N$65,(5-1)*8+MATCH(8,Calculations!$R$34:$R$41,0)),"")</f>
        <v/>
      </c>
      <c r="X12" s="69" t="str">
        <f>IFERROR(INDEX(Calculations!$O$2:$O$65,(5-1)*8+MATCH(8,Calculations!$R$34:$R$41,0)),"")</f>
        <v/>
      </c>
      <c r="Y12" s="69" t="str">
        <f>IFERROR(INDEX(Calculations!$P$2:$P$65,(5-1)*8+MATCH(8,Calculations!$R$34:$R$41,0)),"")</f>
        <v/>
      </c>
    </row>
    <row r="13" spans="1:25">
      <c r="A13" s="69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69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>
      <c r="A16" s="120" t="str">
        <f>IF(2&lt;=Setup!$B$5,"Pool B","")</f>
        <v/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2"/>
      <c r="N16" s="120" t="str">
        <f>IF(6&lt;=Setup!$B$5,"Pool F","")</f>
        <v/>
      </c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ht="15">
      <c r="A17" s="68" t="s">
        <v>203</v>
      </c>
      <c r="B17" s="3" t="s">
        <v>189</v>
      </c>
      <c r="C17" s="3" t="s">
        <v>204</v>
      </c>
      <c r="D17" s="3" t="s">
        <v>205</v>
      </c>
      <c r="E17" s="3" t="s">
        <v>206</v>
      </c>
      <c r="F17" s="3" t="s">
        <v>207</v>
      </c>
      <c r="G17" s="3" t="s">
        <v>208</v>
      </c>
      <c r="H17" s="3" t="s">
        <v>209</v>
      </c>
      <c r="I17" s="3" t="s">
        <v>210</v>
      </c>
      <c r="J17" s="3" t="s">
        <v>211</v>
      </c>
      <c r="K17" s="3" t="s">
        <v>212</v>
      </c>
      <c r="L17" s="3" t="s">
        <v>213</v>
      </c>
      <c r="M17" s="2"/>
      <c r="N17" s="3" t="s">
        <v>203</v>
      </c>
      <c r="O17" s="3" t="s">
        <v>189</v>
      </c>
      <c r="P17" s="3" t="s">
        <v>204</v>
      </c>
      <c r="Q17" s="3" t="s">
        <v>205</v>
      </c>
      <c r="R17" s="3" t="s">
        <v>206</v>
      </c>
      <c r="S17" s="3" t="s">
        <v>207</v>
      </c>
      <c r="T17" s="3" t="s">
        <v>208</v>
      </c>
      <c r="U17" s="3" t="s">
        <v>209</v>
      </c>
      <c r="V17" s="3" t="s">
        <v>210</v>
      </c>
      <c r="W17" s="3" t="s">
        <v>211</v>
      </c>
      <c r="X17" s="3" t="s">
        <v>212</v>
      </c>
      <c r="Y17" s="3" t="s">
        <v>213</v>
      </c>
    </row>
    <row r="18" spans="1:25">
      <c r="A18" s="69" t="str">
        <f>IF(AND(2&lt;=Setup!$B$5,1&lt;=Setup!$B$6),1,"")</f>
        <v/>
      </c>
      <c r="B18" s="2" t="str">
        <f>IFERROR(INDEX(Calculations!$E$2:$E$65,(2-1)*8+MATCH(1,Calculations!$R$10:$R$17,0)),"")</f>
        <v/>
      </c>
      <c r="C18" s="69" t="str">
        <f>IFERROR(INDEX(Calculations!$G$2:$G$65,(2-1)*8+MATCH(1,Calculations!$R$10:$R$17,0)),"")</f>
        <v/>
      </c>
      <c r="D18" s="69" t="str">
        <f>IFERROR(INDEX(Calculations!$H$2:$H$65,(2-1)*8+MATCH(1,Calculations!$R$10:$R$17,0)),"")</f>
        <v/>
      </c>
      <c r="E18" s="69" t="str">
        <f>IFERROR(INDEX(Calculations!$I$2:$I$65,(2-1)*8+MATCH(1,Calculations!$R$10:$R$17,0)),"")</f>
        <v/>
      </c>
      <c r="F18" s="69" t="str">
        <f>IFERROR(INDEX(Calculations!$J$2:$J$65,(2-1)*8+MATCH(1,Calculations!$R$10:$R$17,0)),"")</f>
        <v/>
      </c>
      <c r="G18" s="69" t="str">
        <f>IFERROR(INDEX(Calculations!$K$2:$K$65,(2-1)*8+MATCH(1,Calculations!$R$10:$R$17,0)),"")</f>
        <v/>
      </c>
      <c r="H18" s="69" t="str">
        <f>IFERROR(INDEX(Calculations!$L$2:$L$65,(2-1)*8+MATCH(1,Calculations!$R$10:$R$17,0)),"")</f>
        <v/>
      </c>
      <c r="I18" s="69" t="str">
        <f>IFERROR(INDEX(Calculations!$M$2:$M$65,(2-1)*8+MATCH(1,Calculations!$R$10:$R$17,0)),"")</f>
        <v/>
      </c>
      <c r="J18" s="69" t="str">
        <f>IFERROR(INDEX(Calculations!$N$2:$N$65,(2-1)*8+MATCH(1,Calculations!$R$10:$R$17,0)),"")</f>
        <v/>
      </c>
      <c r="K18" s="69" t="str">
        <f>IFERROR(INDEX(Calculations!$O$2:$O$65,(2-1)*8+MATCH(1,Calculations!$R$10:$R$17,0)),"")</f>
        <v/>
      </c>
      <c r="L18" s="69" t="str">
        <f>IFERROR(INDEX(Calculations!$P$2:$P$65,(2-1)*8+MATCH(1,Calculations!$R$10:$R$17,0)),"")</f>
        <v/>
      </c>
      <c r="M18" s="69"/>
      <c r="N18" s="69" t="str">
        <f>IF(AND(6&lt;=Setup!$B$5,1&lt;=Setup!$B$6),1,"")</f>
        <v/>
      </c>
      <c r="O18" s="2" t="str">
        <f>IFERROR(INDEX(Calculations!$E$2:$E$65,(6-1)*8+MATCH(1,Calculations!$R$42:$R$49,0)),"")</f>
        <v/>
      </c>
      <c r="P18" s="69" t="str">
        <f>IFERROR(INDEX(Calculations!$G$2:$G$65,(6-1)*8+MATCH(1,Calculations!$R$42:$R$49,0)),"")</f>
        <v/>
      </c>
      <c r="Q18" s="69" t="str">
        <f>IFERROR(INDEX(Calculations!$H$2:$H$65,(6-1)*8+MATCH(1,Calculations!$R$42:$R$49,0)),"")</f>
        <v/>
      </c>
      <c r="R18" s="69" t="str">
        <f>IFERROR(INDEX(Calculations!$I$2:$I$65,(6-1)*8+MATCH(1,Calculations!$R$42:$R$49,0)),"")</f>
        <v/>
      </c>
      <c r="S18" s="69" t="str">
        <f>IFERROR(INDEX(Calculations!$J$2:$J$65,(6-1)*8+MATCH(1,Calculations!$R$42:$R$49,0)),"")</f>
        <v/>
      </c>
      <c r="T18" s="69" t="str">
        <f>IFERROR(INDEX(Calculations!$K$2:$K$65,(6-1)*8+MATCH(1,Calculations!$R$42:$R$49,0)),"")</f>
        <v/>
      </c>
      <c r="U18" s="69" t="str">
        <f>IFERROR(INDEX(Calculations!$L$2:$L$65,(6-1)*8+MATCH(1,Calculations!$R$42:$R$49,0)),"")</f>
        <v/>
      </c>
      <c r="V18" s="69" t="str">
        <f>IFERROR(INDEX(Calculations!$M$2:$M$65,(6-1)*8+MATCH(1,Calculations!$R$42:$R$49,0)),"")</f>
        <v/>
      </c>
      <c r="W18" s="69" t="str">
        <f>IFERROR(INDEX(Calculations!$N$2:$N$65,(6-1)*8+MATCH(1,Calculations!$R$42:$R$49,0)),"")</f>
        <v/>
      </c>
      <c r="X18" s="69" t="str">
        <f>IFERROR(INDEX(Calculations!$O$2:$O$65,(6-1)*8+MATCH(1,Calculations!$R$42:$R$49,0)),"")</f>
        <v/>
      </c>
      <c r="Y18" s="69" t="str">
        <f>IFERROR(INDEX(Calculations!$P$2:$P$65,(6-1)*8+MATCH(1,Calculations!$R$42:$R$49,0)),"")</f>
        <v/>
      </c>
    </row>
    <row r="19" spans="1:25">
      <c r="A19" s="69" t="str">
        <f>IF(AND(2&lt;=Setup!$B$5,2&lt;=Setup!$B$6),2,"")</f>
        <v/>
      </c>
      <c r="B19" s="2" t="str">
        <f>IFERROR(INDEX(Calculations!$E$2:$E$65,(2-1)*8+MATCH(2,Calculations!$R$10:$R$17,0)),"")</f>
        <v/>
      </c>
      <c r="C19" s="69" t="str">
        <f>IFERROR(INDEX(Calculations!$G$2:$G$65,(2-1)*8+MATCH(2,Calculations!$R$10:$R$17,0)),"")</f>
        <v/>
      </c>
      <c r="D19" s="69" t="str">
        <f>IFERROR(INDEX(Calculations!$H$2:$H$65,(2-1)*8+MATCH(2,Calculations!$R$10:$R$17,0)),"")</f>
        <v/>
      </c>
      <c r="E19" s="69" t="str">
        <f>IFERROR(INDEX(Calculations!$I$2:$I$65,(2-1)*8+MATCH(2,Calculations!$R$10:$R$17,0)),"")</f>
        <v/>
      </c>
      <c r="F19" s="69" t="str">
        <f>IFERROR(INDEX(Calculations!$J$2:$J$65,(2-1)*8+MATCH(2,Calculations!$R$10:$R$17,0)),"")</f>
        <v/>
      </c>
      <c r="G19" s="69" t="str">
        <f>IFERROR(INDEX(Calculations!$K$2:$K$65,(2-1)*8+MATCH(2,Calculations!$R$10:$R$17,0)),"")</f>
        <v/>
      </c>
      <c r="H19" s="69" t="str">
        <f>IFERROR(INDEX(Calculations!$L$2:$L$65,(2-1)*8+MATCH(2,Calculations!$R$10:$R$17,0)),"")</f>
        <v/>
      </c>
      <c r="I19" s="69" t="str">
        <f>IFERROR(INDEX(Calculations!$M$2:$M$65,(2-1)*8+MATCH(2,Calculations!$R$10:$R$17,0)),"")</f>
        <v/>
      </c>
      <c r="J19" s="69" t="str">
        <f>IFERROR(INDEX(Calculations!$N$2:$N$65,(2-1)*8+MATCH(2,Calculations!$R$10:$R$17,0)),"")</f>
        <v/>
      </c>
      <c r="K19" s="69" t="str">
        <f>IFERROR(INDEX(Calculations!$O$2:$O$65,(2-1)*8+MATCH(2,Calculations!$R$10:$R$17,0)),"")</f>
        <v/>
      </c>
      <c r="L19" s="69" t="str">
        <f>IFERROR(INDEX(Calculations!$P$2:$P$65,(2-1)*8+MATCH(2,Calculations!$R$10:$R$17,0)),"")</f>
        <v/>
      </c>
      <c r="M19" s="69"/>
      <c r="N19" s="69" t="str">
        <f>IF(AND(6&lt;=Setup!$B$5,2&lt;=Setup!$B$6),2,"")</f>
        <v/>
      </c>
      <c r="O19" s="2" t="str">
        <f>IFERROR(INDEX(Calculations!$E$2:$E$65,(6-1)*8+MATCH(2,Calculations!$R$42:$R$49,0)),"")</f>
        <v/>
      </c>
      <c r="P19" s="69" t="str">
        <f>IFERROR(INDEX(Calculations!$G$2:$G$65,(6-1)*8+MATCH(2,Calculations!$R$42:$R$49,0)),"")</f>
        <v/>
      </c>
      <c r="Q19" s="69" t="str">
        <f>IFERROR(INDEX(Calculations!$H$2:$H$65,(6-1)*8+MATCH(2,Calculations!$R$42:$R$49,0)),"")</f>
        <v/>
      </c>
      <c r="R19" s="69" t="str">
        <f>IFERROR(INDEX(Calculations!$I$2:$I$65,(6-1)*8+MATCH(2,Calculations!$R$42:$R$49,0)),"")</f>
        <v/>
      </c>
      <c r="S19" s="69" t="str">
        <f>IFERROR(INDEX(Calculations!$J$2:$J$65,(6-1)*8+MATCH(2,Calculations!$R$42:$R$49,0)),"")</f>
        <v/>
      </c>
      <c r="T19" s="69" t="str">
        <f>IFERROR(INDEX(Calculations!$K$2:$K$65,(6-1)*8+MATCH(2,Calculations!$R$42:$R$49,0)),"")</f>
        <v/>
      </c>
      <c r="U19" s="69" t="str">
        <f>IFERROR(INDEX(Calculations!$L$2:$L$65,(6-1)*8+MATCH(2,Calculations!$R$42:$R$49,0)),"")</f>
        <v/>
      </c>
      <c r="V19" s="69" t="str">
        <f>IFERROR(INDEX(Calculations!$M$2:$M$65,(6-1)*8+MATCH(2,Calculations!$R$42:$R$49,0)),"")</f>
        <v/>
      </c>
      <c r="W19" s="69" t="str">
        <f>IFERROR(INDEX(Calculations!$N$2:$N$65,(6-1)*8+MATCH(2,Calculations!$R$42:$R$49,0)),"")</f>
        <v/>
      </c>
      <c r="X19" s="69" t="str">
        <f>IFERROR(INDEX(Calculations!$O$2:$O$65,(6-1)*8+MATCH(2,Calculations!$R$42:$R$49,0)),"")</f>
        <v/>
      </c>
      <c r="Y19" s="69" t="str">
        <f>IFERROR(INDEX(Calculations!$P$2:$P$65,(6-1)*8+MATCH(2,Calculations!$R$42:$R$49,0)),"")</f>
        <v/>
      </c>
    </row>
    <row r="20" spans="1:25">
      <c r="A20" s="69" t="str">
        <f>IF(AND(2&lt;=Setup!$B$5,3&lt;=Setup!$B$6),3,"")</f>
        <v/>
      </c>
      <c r="B20" s="2" t="str">
        <f>IFERROR(INDEX(Calculations!$E$2:$E$65,(2-1)*8+MATCH(3,Calculations!$R$10:$R$17,0)),"")</f>
        <v/>
      </c>
      <c r="C20" s="69" t="str">
        <f>IFERROR(INDEX(Calculations!$G$2:$G$65,(2-1)*8+MATCH(3,Calculations!$R$10:$R$17,0)),"")</f>
        <v/>
      </c>
      <c r="D20" s="69" t="str">
        <f>IFERROR(INDEX(Calculations!$H$2:$H$65,(2-1)*8+MATCH(3,Calculations!$R$10:$R$17,0)),"")</f>
        <v/>
      </c>
      <c r="E20" s="69" t="str">
        <f>IFERROR(INDEX(Calculations!$I$2:$I$65,(2-1)*8+MATCH(3,Calculations!$R$10:$R$17,0)),"")</f>
        <v/>
      </c>
      <c r="F20" s="69" t="str">
        <f>IFERROR(INDEX(Calculations!$J$2:$J$65,(2-1)*8+MATCH(3,Calculations!$R$10:$R$17,0)),"")</f>
        <v/>
      </c>
      <c r="G20" s="69" t="str">
        <f>IFERROR(INDEX(Calculations!$K$2:$K$65,(2-1)*8+MATCH(3,Calculations!$R$10:$R$17,0)),"")</f>
        <v/>
      </c>
      <c r="H20" s="69" t="str">
        <f>IFERROR(INDEX(Calculations!$L$2:$L$65,(2-1)*8+MATCH(3,Calculations!$R$10:$R$17,0)),"")</f>
        <v/>
      </c>
      <c r="I20" s="69" t="str">
        <f>IFERROR(INDEX(Calculations!$M$2:$M$65,(2-1)*8+MATCH(3,Calculations!$R$10:$R$17,0)),"")</f>
        <v/>
      </c>
      <c r="J20" s="69" t="str">
        <f>IFERROR(INDEX(Calculations!$N$2:$N$65,(2-1)*8+MATCH(3,Calculations!$R$10:$R$17,0)),"")</f>
        <v/>
      </c>
      <c r="K20" s="69" t="str">
        <f>IFERROR(INDEX(Calculations!$O$2:$O$65,(2-1)*8+MATCH(3,Calculations!$R$10:$R$17,0)),"")</f>
        <v/>
      </c>
      <c r="L20" s="69" t="str">
        <f>IFERROR(INDEX(Calculations!$P$2:$P$65,(2-1)*8+MATCH(3,Calculations!$R$10:$R$17,0)),"")</f>
        <v/>
      </c>
      <c r="M20" s="69"/>
      <c r="N20" s="69" t="str">
        <f>IF(AND(6&lt;=Setup!$B$5,3&lt;=Setup!$B$6),3,"")</f>
        <v/>
      </c>
      <c r="O20" s="2" t="str">
        <f>IFERROR(INDEX(Calculations!$E$2:$E$65,(6-1)*8+MATCH(3,Calculations!$R$42:$R$49,0)),"")</f>
        <v/>
      </c>
      <c r="P20" s="69" t="str">
        <f>IFERROR(INDEX(Calculations!$G$2:$G$65,(6-1)*8+MATCH(3,Calculations!$R$42:$R$49,0)),"")</f>
        <v/>
      </c>
      <c r="Q20" s="69" t="str">
        <f>IFERROR(INDEX(Calculations!$H$2:$H$65,(6-1)*8+MATCH(3,Calculations!$R$42:$R$49,0)),"")</f>
        <v/>
      </c>
      <c r="R20" s="69" t="str">
        <f>IFERROR(INDEX(Calculations!$I$2:$I$65,(6-1)*8+MATCH(3,Calculations!$R$42:$R$49,0)),"")</f>
        <v/>
      </c>
      <c r="S20" s="69" t="str">
        <f>IFERROR(INDEX(Calculations!$J$2:$J$65,(6-1)*8+MATCH(3,Calculations!$R$42:$R$49,0)),"")</f>
        <v/>
      </c>
      <c r="T20" s="69" t="str">
        <f>IFERROR(INDEX(Calculations!$K$2:$K$65,(6-1)*8+MATCH(3,Calculations!$R$42:$R$49,0)),"")</f>
        <v/>
      </c>
      <c r="U20" s="69" t="str">
        <f>IFERROR(INDEX(Calculations!$L$2:$L$65,(6-1)*8+MATCH(3,Calculations!$R$42:$R$49,0)),"")</f>
        <v/>
      </c>
      <c r="V20" s="69" t="str">
        <f>IFERROR(INDEX(Calculations!$M$2:$M$65,(6-1)*8+MATCH(3,Calculations!$R$42:$R$49,0)),"")</f>
        <v/>
      </c>
      <c r="W20" s="69" t="str">
        <f>IFERROR(INDEX(Calculations!$N$2:$N$65,(6-1)*8+MATCH(3,Calculations!$R$42:$R$49,0)),"")</f>
        <v/>
      </c>
      <c r="X20" s="69" t="str">
        <f>IFERROR(INDEX(Calculations!$O$2:$O$65,(6-1)*8+MATCH(3,Calculations!$R$42:$R$49,0)),"")</f>
        <v/>
      </c>
      <c r="Y20" s="69" t="str">
        <f>IFERROR(INDEX(Calculations!$P$2:$P$65,(6-1)*8+MATCH(3,Calculations!$R$42:$R$49,0)),"")</f>
        <v/>
      </c>
    </row>
    <row r="21" spans="1:25">
      <c r="A21" s="69" t="str">
        <f>IF(AND(2&lt;=Setup!$B$5,4&lt;=Setup!$B$6),4,"")</f>
        <v/>
      </c>
      <c r="B21" s="2" t="str">
        <f>IFERROR(INDEX(Calculations!$E$2:$E$65,(2-1)*8+MATCH(4,Calculations!$R$10:$R$17,0)),"")</f>
        <v/>
      </c>
      <c r="C21" s="69" t="str">
        <f>IFERROR(INDEX(Calculations!$G$2:$G$65,(2-1)*8+MATCH(4,Calculations!$R$10:$R$17,0)),"")</f>
        <v/>
      </c>
      <c r="D21" s="69" t="str">
        <f>IFERROR(INDEX(Calculations!$H$2:$H$65,(2-1)*8+MATCH(4,Calculations!$R$10:$R$17,0)),"")</f>
        <v/>
      </c>
      <c r="E21" s="69" t="str">
        <f>IFERROR(INDEX(Calculations!$I$2:$I$65,(2-1)*8+MATCH(4,Calculations!$R$10:$R$17,0)),"")</f>
        <v/>
      </c>
      <c r="F21" s="69" t="str">
        <f>IFERROR(INDEX(Calculations!$J$2:$J$65,(2-1)*8+MATCH(4,Calculations!$R$10:$R$17,0)),"")</f>
        <v/>
      </c>
      <c r="G21" s="69" t="str">
        <f>IFERROR(INDEX(Calculations!$K$2:$K$65,(2-1)*8+MATCH(4,Calculations!$R$10:$R$17,0)),"")</f>
        <v/>
      </c>
      <c r="H21" s="69" t="str">
        <f>IFERROR(INDEX(Calculations!$L$2:$L$65,(2-1)*8+MATCH(4,Calculations!$R$10:$R$17,0)),"")</f>
        <v/>
      </c>
      <c r="I21" s="69" t="str">
        <f>IFERROR(INDEX(Calculations!$M$2:$M$65,(2-1)*8+MATCH(4,Calculations!$R$10:$R$17,0)),"")</f>
        <v/>
      </c>
      <c r="J21" s="69" t="str">
        <f>IFERROR(INDEX(Calculations!$N$2:$N$65,(2-1)*8+MATCH(4,Calculations!$R$10:$R$17,0)),"")</f>
        <v/>
      </c>
      <c r="K21" s="69" t="str">
        <f>IFERROR(INDEX(Calculations!$O$2:$O$65,(2-1)*8+MATCH(4,Calculations!$R$10:$R$17,0)),"")</f>
        <v/>
      </c>
      <c r="L21" s="69" t="str">
        <f>IFERROR(INDEX(Calculations!$P$2:$P$65,(2-1)*8+MATCH(4,Calculations!$R$10:$R$17,0)),"")</f>
        <v/>
      </c>
      <c r="M21" s="69"/>
      <c r="N21" s="69" t="str">
        <f>IF(AND(6&lt;=Setup!$B$5,4&lt;=Setup!$B$6),4,"")</f>
        <v/>
      </c>
      <c r="O21" s="2" t="str">
        <f>IFERROR(INDEX(Calculations!$E$2:$E$65,(6-1)*8+MATCH(4,Calculations!$R$42:$R$49,0)),"")</f>
        <v/>
      </c>
      <c r="P21" s="69" t="str">
        <f>IFERROR(INDEX(Calculations!$G$2:$G$65,(6-1)*8+MATCH(4,Calculations!$R$42:$R$49,0)),"")</f>
        <v/>
      </c>
      <c r="Q21" s="69" t="str">
        <f>IFERROR(INDEX(Calculations!$H$2:$H$65,(6-1)*8+MATCH(4,Calculations!$R$42:$R$49,0)),"")</f>
        <v/>
      </c>
      <c r="R21" s="69" t="str">
        <f>IFERROR(INDEX(Calculations!$I$2:$I$65,(6-1)*8+MATCH(4,Calculations!$R$42:$R$49,0)),"")</f>
        <v/>
      </c>
      <c r="S21" s="69" t="str">
        <f>IFERROR(INDEX(Calculations!$J$2:$J$65,(6-1)*8+MATCH(4,Calculations!$R$42:$R$49,0)),"")</f>
        <v/>
      </c>
      <c r="T21" s="69" t="str">
        <f>IFERROR(INDEX(Calculations!$K$2:$K$65,(6-1)*8+MATCH(4,Calculations!$R$42:$R$49,0)),"")</f>
        <v/>
      </c>
      <c r="U21" s="69" t="str">
        <f>IFERROR(INDEX(Calculations!$L$2:$L$65,(6-1)*8+MATCH(4,Calculations!$R$42:$R$49,0)),"")</f>
        <v/>
      </c>
      <c r="V21" s="69" t="str">
        <f>IFERROR(INDEX(Calculations!$M$2:$M$65,(6-1)*8+MATCH(4,Calculations!$R$42:$R$49,0)),"")</f>
        <v/>
      </c>
      <c r="W21" s="69" t="str">
        <f>IFERROR(INDEX(Calculations!$N$2:$N$65,(6-1)*8+MATCH(4,Calculations!$R$42:$R$49,0)),"")</f>
        <v/>
      </c>
      <c r="X21" s="69" t="str">
        <f>IFERROR(INDEX(Calculations!$O$2:$O$65,(6-1)*8+MATCH(4,Calculations!$R$42:$R$49,0)),"")</f>
        <v/>
      </c>
      <c r="Y21" s="69" t="str">
        <f>IFERROR(INDEX(Calculations!$P$2:$P$65,(6-1)*8+MATCH(4,Calculations!$R$42:$R$49,0)),"")</f>
        <v/>
      </c>
    </row>
    <row r="22" spans="1:25">
      <c r="A22" s="69" t="str">
        <f>IF(AND(2&lt;=Setup!$B$5,5&lt;=Setup!$B$6),5,"")</f>
        <v/>
      </c>
      <c r="B22" s="2" t="str">
        <f>IFERROR(INDEX(Calculations!$E$2:$E$65,(2-1)*8+MATCH(5,Calculations!$R$10:$R$17,0)),"")</f>
        <v/>
      </c>
      <c r="C22" s="69" t="str">
        <f>IFERROR(INDEX(Calculations!$G$2:$G$65,(2-1)*8+MATCH(5,Calculations!$R$10:$R$17,0)),"")</f>
        <v/>
      </c>
      <c r="D22" s="69" t="str">
        <f>IFERROR(INDEX(Calculations!$H$2:$H$65,(2-1)*8+MATCH(5,Calculations!$R$10:$R$17,0)),"")</f>
        <v/>
      </c>
      <c r="E22" s="69" t="str">
        <f>IFERROR(INDEX(Calculations!$I$2:$I$65,(2-1)*8+MATCH(5,Calculations!$R$10:$R$17,0)),"")</f>
        <v/>
      </c>
      <c r="F22" s="69" t="str">
        <f>IFERROR(INDEX(Calculations!$J$2:$J$65,(2-1)*8+MATCH(5,Calculations!$R$10:$R$17,0)),"")</f>
        <v/>
      </c>
      <c r="G22" s="69" t="str">
        <f>IFERROR(INDEX(Calculations!$K$2:$K$65,(2-1)*8+MATCH(5,Calculations!$R$10:$R$17,0)),"")</f>
        <v/>
      </c>
      <c r="H22" s="69" t="str">
        <f>IFERROR(INDEX(Calculations!$L$2:$L$65,(2-1)*8+MATCH(5,Calculations!$R$10:$R$17,0)),"")</f>
        <v/>
      </c>
      <c r="I22" s="69" t="str">
        <f>IFERROR(INDEX(Calculations!$M$2:$M$65,(2-1)*8+MATCH(5,Calculations!$R$10:$R$17,0)),"")</f>
        <v/>
      </c>
      <c r="J22" s="69" t="str">
        <f>IFERROR(INDEX(Calculations!$N$2:$N$65,(2-1)*8+MATCH(5,Calculations!$R$10:$R$17,0)),"")</f>
        <v/>
      </c>
      <c r="K22" s="69" t="str">
        <f>IFERROR(INDEX(Calculations!$O$2:$O$65,(2-1)*8+MATCH(5,Calculations!$R$10:$R$17,0)),"")</f>
        <v/>
      </c>
      <c r="L22" s="69" t="str">
        <f>IFERROR(INDEX(Calculations!$P$2:$P$65,(2-1)*8+MATCH(5,Calculations!$R$10:$R$17,0)),"")</f>
        <v/>
      </c>
      <c r="M22" s="69"/>
      <c r="N22" s="69" t="str">
        <f>IF(AND(6&lt;=Setup!$B$5,5&lt;=Setup!$B$6),5,"")</f>
        <v/>
      </c>
      <c r="O22" s="2" t="str">
        <f>IFERROR(INDEX(Calculations!$E$2:$E$65,(6-1)*8+MATCH(5,Calculations!$R$42:$R$49,0)),"")</f>
        <v/>
      </c>
      <c r="P22" s="69" t="str">
        <f>IFERROR(INDEX(Calculations!$G$2:$G$65,(6-1)*8+MATCH(5,Calculations!$R$42:$R$49,0)),"")</f>
        <v/>
      </c>
      <c r="Q22" s="69" t="str">
        <f>IFERROR(INDEX(Calculations!$H$2:$H$65,(6-1)*8+MATCH(5,Calculations!$R$42:$R$49,0)),"")</f>
        <v/>
      </c>
      <c r="R22" s="69" t="str">
        <f>IFERROR(INDEX(Calculations!$I$2:$I$65,(6-1)*8+MATCH(5,Calculations!$R$42:$R$49,0)),"")</f>
        <v/>
      </c>
      <c r="S22" s="69" t="str">
        <f>IFERROR(INDEX(Calculations!$J$2:$J$65,(6-1)*8+MATCH(5,Calculations!$R$42:$R$49,0)),"")</f>
        <v/>
      </c>
      <c r="T22" s="69" t="str">
        <f>IFERROR(INDEX(Calculations!$K$2:$K$65,(6-1)*8+MATCH(5,Calculations!$R$42:$R$49,0)),"")</f>
        <v/>
      </c>
      <c r="U22" s="69" t="str">
        <f>IFERROR(INDEX(Calculations!$L$2:$L$65,(6-1)*8+MATCH(5,Calculations!$R$42:$R$49,0)),"")</f>
        <v/>
      </c>
      <c r="V22" s="69" t="str">
        <f>IFERROR(INDEX(Calculations!$M$2:$M$65,(6-1)*8+MATCH(5,Calculations!$R$42:$R$49,0)),"")</f>
        <v/>
      </c>
      <c r="W22" s="69" t="str">
        <f>IFERROR(INDEX(Calculations!$N$2:$N$65,(6-1)*8+MATCH(5,Calculations!$R$42:$R$49,0)),"")</f>
        <v/>
      </c>
      <c r="X22" s="69" t="str">
        <f>IFERROR(INDEX(Calculations!$O$2:$O$65,(6-1)*8+MATCH(5,Calculations!$R$42:$R$49,0)),"")</f>
        <v/>
      </c>
      <c r="Y22" s="69" t="str">
        <f>IFERROR(INDEX(Calculations!$P$2:$P$65,(6-1)*8+MATCH(5,Calculations!$R$42:$R$49,0)),"")</f>
        <v/>
      </c>
    </row>
    <row r="23" spans="1:25">
      <c r="A23" s="69" t="str">
        <f>IF(AND(2&lt;=Setup!$B$5,6&lt;=Setup!$B$6),6,"")</f>
        <v/>
      </c>
      <c r="B23" s="2" t="str">
        <f>IFERROR(INDEX(Calculations!$E$2:$E$65,(2-1)*8+MATCH(6,Calculations!$R$10:$R$17,0)),"")</f>
        <v/>
      </c>
      <c r="C23" s="69" t="str">
        <f>IFERROR(INDEX(Calculations!$G$2:$G$65,(2-1)*8+MATCH(6,Calculations!$R$10:$R$17,0)),"")</f>
        <v/>
      </c>
      <c r="D23" s="69" t="str">
        <f>IFERROR(INDEX(Calculations!$H$2:$H$65,(2-1)*8+MATCH(6,Calculations!$R$10:$R$17,0)),"")</f>
        <v/>
      </c>
      <c r="E23" s="69" t="str">
        <f>IFERROR(INDEX(Calculations!$I$2:$I$65,(2-1)*8+MATCH(6,Calculations!$R$10:$R$17,0)),"")</f>
        <v/>
      </c>
      <c r="F23" s="69" t="str">
        <f>IFERROR(INDEX(Calculations!$J$2:$J$65,(2-1)*8+MATCH(6,Calculations!$R$10:$R$17,0)),"")</f>
        <v/>
      </c>
      <c r="G23" s="69" t="str">
        <f>IFERROR(INDEX(Calculations!$K$2:$K$65,(2-1)*8+MATCH(6,Calculations!$R$10:$R$17,0)),"")</f>
        <v/>
      </c>
      <c r="H23" s="69" t="str">
        <f>IFERROR(INDEX(Calculations!$L$2:$L$65,(2-1)*8+MATCH(6,Calculations!$R$10:$R$17,0)),"")</f>
        <v/>
      </c>
      <c r="I23" s="69" t="str">
        <f>IFERROR(INDEX(Calculations!$M$2:$M$65,(2-1)*8+MATCH(6,Calculations!$R$10:$R$17,0)),"")</f>
        <v/>
      </c>
      <c r="J23" s="69" t="str">
        <f>IFERROR(INDEX(Calculations!$N$2:$N$65,(2-1)*8+MATCH(6,Calculations!$R$10:$R$17,0)),"")</f>
        <v/>
      </c>
      <c r="K23" s="69" t="str">
        <f>IFERROR(INDEX(Calculations!$O$2:$O$65,(2-1)*8+MATCH(6,Calculations!$R$10:$R$17,0)),"")</f>
        <v/>
      </c>
      <c r="L23" s="69" t="str">
        <f>IFERROR(INDEX(Calculations!$P$2:$P$65,(2-1)*8+MATCH(6,Calculations!$R$10:$R$17,0)),"")</f>
        <v/>
      </c>
      <c r="M23" s="69"/>
      <c r="N23" s="69" t="str">
        <f>IF(AND(6&lt;=Setup!$B$5,6&lt;=Setup!$B$6),6,"")</f>
        <v/>
      </c>
      <c r="O23" s="2" t="str">
        <f>IFERROR(INDEX(Calculations!$E$2:$E$65,(6-1)*8+MATCH(6,Calculations!$R$42:$R$49,0)),"")</f>
        <v/>
      </c>
      <c r="P23" s="69" t="str">
        <f>IFERROR(INDEX(Calculations!$G$2:$G$65,(6-1)*8+MATCH(6,Calculations!$R$42:$R$49,0)),"")</f>
        <v/>
      </c>
      <c r="Q23" s="69" t="str">
        <f>IFERROR(INDEX(Calculations!$H$2:$H$65,(6-1)*8+MATCH(6,Calculations!$R$42:$R$49,0)),"")</f>
        <v/>
      </c>
      <c r="R23" s="69" t="str">
        <f>IFERROR(INDEX(Calculations!$I$2:$I$65,(6-1)*8+MATCH(6,Calculations!$R$42:$R$49,0)),"")</f>
        <v/>
      </c>
      <c r="S23" s="69" t="str">
        <f>IFERROR(INDEX(Calculations!$J$2:$J$65,(6-1)*8+MATCH(6,Calculations!$R$42:$R$49,0)),"")</f>
        <v/>
      </c>
      <c r="T23" s="69" t="str">
        <f>IFERROR(INDEX(Calculations!$K$2:$K$65,(6-1)*8+MATCH(6,Calculations!$R$42:$R$49,0)),"")</f>
        <v/>
      </c>
      <c r="U23" s="69" t="str">
        <f>IFERROR(INDEX(Calculations!$L$2:$L$65,(6-1)*8+MATCH(6,Calculations!$R$42:$R$49,0)),"")</f>
        <v/>
      </c>
      <c r="V23" s="69" t="str">
        <f>IFERROR(INDEX(Calculations!$M$2:$M$65,(6-1)*8+MATCH(6,Calculations!$R$42:$R$49,0)),"")</f>
        <v/>
      </c>
      <c r="W23" s="69" t="str">
        <f>IFERROR(INDEX(Calculations!$N$2:$N$65,(6-1)*8+MATCH(6,Calculations!$R$42:$R$49,0)),"")</f>
        <v/>
      </c>
      <c r="X23" s="69" t="str">
        <f>IFERROR(INDEX(Calculations!$O$2:$O$65,(6-1)*8+MATCH(6,Calculations!$R$42:$R$49,0)),"")</f>
        <v/>
      </c>
      <c r="Y23" s="69" t="str">
        <f>IFERROR(INDEX(Calculations!$P$2:$P$65,(6-1)*8+MATCH(6,Calculations!$R$42:$R$49,0)),"")</f>
        <v/>
      </c>
    </row>
    <row r="24" spans="1:25">
      <c r="A24" s="69" t="str">
        <f>IF(AND(2&lt;=Setup!$B$5,7&lt;=Setup!$B$6),7,"")</f>
        <v/>
      </c>
      <c r="B24" s="2" t="str">
        <f>IFERROR(INDEX(Calculations!$E$2:$E$65,(2-1)*8+MATCH(7,Calculations!$R$10:$R$17,0)),"")</f>
        <v/>
      </c>
      <c r="C24" s="69" t="str">
        <f>IFERROR(INDEX(Calculations!$G$2:$G$65,(2-1)*8+MATCH(7,Calculations!$R$10:$R$17,0)),"")</f>
        <v/>
      </c>
      <c r="D24" s="69" t="str">
        <f>IFERROR(INDEX(Calculations!$H$2:$H$65,(2-1)*8+MATCH(7,Calculations!$R$10:$R$17,0)),"")</f>
        <v/>
      </c>
      <c r="E24" s="69" t="str">
        <f>IFERROR(INDEX(Calculations!$I$2:$I$65,(2-1)*8+MATCH(7,Calculations!$R$10:$R$17,0)),"")</f>
        <v/>
      </c>
      <c r="F24" s="69" t="str">
        <f>IFERROR(INDEX(Calculations!$J$2:$J$65,(2-1)*8+MATCH(7,Calculations!$R$10:$R$17,0)),"")</f>
        <v/>
      </c>
      <c r="G24" s="69" t="str">
        <f>IFERROR(INDEX(Calculations!$K$2:$K$65,(2-1)*8+MATCH(7,Calculations!$R$10:$R$17,0)),"")</f>
        <v/>
      </c>
      <c r="H24" s="69" t="str">
        <f>IFERROR(INDEX(Calculations!$L$2:$L$65,(2-1)*8+MATCH(7,Calculations!$R$10:$R$17,0)),"")</f>
        <v/>
      </c>
      <c r="I24" s="69" t="str">
        <f>IFERROR(INDEX(Calculations!$M$2:$M$65,(2-1)*8+MATCH(7,Calculations!$R$10:$R$17,0)),"")</f>
        <v/>
      </c>
      <c r="J24" s="69" t="str">
        <f>IFERROR(INDEX(Calculations!$N$2:$N$65,(2-1)*8+MATCH(7,Calculations!$R$10:$R$17,0)),"")</f>
        <v/>
      </c>
      <c r="K24" s="69" t="str">
        <f>IFERROR(INDEX(Calculations!$O$2:$O$65,(2-1)*8+MATCH(7,Calculations!$R$10:$R$17,0)),"")</f>
        <v/>
      </c>
      <c r="L24" s="69" t="str">
        <f>IFERROR(INDEX(Calculations!$P$2:$P$65,(2-1)*8+MATCH(7,Calculations!$R$10:$R$17,0)),"")</f>
        <v/>
      </c>
      <c r="M24" s="69"/>
      <c r="N24" s="69" t="str">
        <f>IF(AND(6&lt;=Setup!$B$5,7&lt;=Setup!$B$6),7,"")</f>
        <v/>
      </c>
      <c r="O24" s="2" t="str">
        <f>IFERROR(INDEX(Calculations!$E$2:$E$65,(6-1)*8+MATCH(7,Calculations!$R$42:$R$49,0)),"")</f>
        <v/>
      </c>
      <c r="P24" s="69" t="str">
        <f>IFERROR(INDEX(Calculations!$G$2:$G$65,(6-1)*8+MATCH(7,Calculations!$R$42:$R$49,0)),"")</f>
        <v/>
      </c>
      <c r="Q24" s="69" t="str">
        <f>IFERROR(INDEX(Calculations!$H$2:$H$65,(6-1)*8+MATCH(7,Calculations!$R$42:$R$49,0)),"")</f>
        <v/>
      </c>
      <c r="R24" s="69" t="str">
        <f>IFERROR(INDEX(Calculations!$I$2:$I$65,(6-1)*8+MATCH(7,Calculations!$R$42:$R$49,0)),"")</f>
        <v/>
      </c>
      <c r="S24" s="69" t="str">
        <f>IFERROR(INDEX(Calculations!$J$2:$J$65,(6-1)*8+MATCH(7,Calculations!$R$42:$R$49,0)),"")</f>
        <v/>
      </c>
      <c r="T24" s="69" t="str">
        <f>IFERROR(INDEX(Calculations!$K$2:$K$65,(6-1)*8+MATCH(7,Calculations!$R$42:$R$49,0)),"")</f>
        <v/>
      </c>
      <c r="U24" s="69" t="str">
        <f>IFERROR(INDEX(Calculations!$L$2:$L$65,(6-1)*8+MATCH(7,Calculations!$R$42:$R$49,0)),"")</f>
        <v/>
      </c>
      <c r="V24" s="69" t="str">
        <f>IFERROR(INDEX(Calculations!$M$2:$M$65,(6-1)*8+MATCH(7,Calculations!$R$42:$R$49,0)),"")</f>
        <v/>
      </c>
      <c r="W24" s="69" t="str">
        <f>IFERROR(INDEX(Calculations!$N$2:$N$65,(6-1)*8+MATCH(7,Calculations!$R$42:$R$49,0)),"")</f>
        <v/>
      </c>
      <c r="X24" s="69" t="str">
        <f>IFERROR(INDEX(Calculations!$O$2:$O$65,(6-1)*8+MATCH(7,Calculations!$R$42:$R$49,0)),"")</f>
        <v/>
      </c>
      <c r="Y24" s="69" t="str">
        <f>IFERROR(INDEX(Calculations!$P$2:$P$65,(6-1)*8+MATCH(7,Calculations!$R$42:$R$49,0)),"")</f>
        <v/>
      </c>
    </row>
    <row r="25" spans="1:25">
      <c r="A25" s="69" t="str">
        <f>IF(AND(2&lt;=Setup!$B$5,8&lt;=Setup!$B$6),8,"")</f>
        <v/>
      </c>
      <c r="B25" s="2" t="str">
        <f>IFERROR(INDEX(Calculations!$E$2:$E$65,(2-1)*8+MATCH(8,Calculations!$R$10:$R$17,0)),"")</f>
        <v/>
      </c>
      <c r="C25" s="69" t="str">
        <f>IFERROR(INDEX(Calculations!$G$2:$G$65,(2-1)*8+MATCH(8,Calculations!$R$10:$R$17,0)),"")</f>
        <v/>
      </c>
      <c r="D25" s="69" t="str">
        <f>IFERROR(INDEX(Calculations!$H$2:$H$65,(2-1)*8+MATCH(8,Calculations!$R$10:$R$17,0)),"")</f>
        <v/>
      </c>
      <c r="E25" s="69" t="str">
        <f>IFERROR(INDEX(Calculations!$I$2:$I$65,(2-1)*8+MATCH(8,Calculations!$R$10:$R$17,0)),"")</f>
        <v/>
      </c>
      <c r="F25" s="69" t="str">
        <f>IFERROR(INDEX(Calculations!$J$2:$J$65,(2-1)*8+MATCH(8,Calculations!$R$10:$R$17,0)),"")</f>
        <v/>
      </c>
      <c r="G25" s="69" t="str">
        <f>IFERROR(INDEX(Calculations!$K$2:$K$65,(2-1)*8+MATCH(8,Calculations!$R$10:$R$17,0)),"")</f>
        <v/>
      </c>
      <c r="H25" s="69" t="str">
        <f>IFERROR(INDEX(Calculations!$L$2:$L$65,(2-1)*8+MATCH(8,Calculations!$R$10:$R$17,0)),"")</f>
        <v/>
      </c>
      <c r="I25" s="69" t="str">
        <f>IFERROR(INDEX(Calculations!$M$2:$M$65,(2-1)*8+MATCH(8,Calculations!$R$10:$R$17,0)),"")</f>
        <v/>
      </c>
      <c r="J25" s="69" t="str">
        <f>IFERROR(INDEX(Calculations!$N$2:$N$65,(2-1)*8+MATCH(8,Calculations!$R$10:$R$17,0)),"")</f>
        <v/>
      </c>
      <c r="K25" s="69" t="str">
        <f>IFERROR(INDEX(Calculations!$O$2:$O$65,(2-1)*8+MATCH(8,Calculations!$R$10:$R$17,0)),"")</f>
        <v/>
      </c>
      <c r="L25" s="69" t="str">
        <f>IFERROR(INDEX(Calculations!$P$2:$P$65,(2-1)*8+MATCH(8,Calculations!$R$10:$R$17,0)),"")</f>
        <v/>
      </c>
      <c r="M25" s="69"/>
      <c r="N25" s="69" t="str">
        <f>IF(AND(6&lt;=Setup!$B$5,8&lt;=Setup!$B$6),8,"")</f>
        <v/>
      </c>
      <c r="O25" s="2" t="str">
        <f>IFERROR(INDEX(Calculations!$E$2:$E$65,(6-1)*8+MATCH(8,Calculations!$R$42:$R$49,0)),"")</f>
        <v/>
      </c>
      <c r="P25" s="69" t="str">
        <f>IFERROR(INDEX(Calculations!$G$2:$G$65,(6-1)*8+MATCH(8,Calculations!$R$42:$R$49,0)),"")</f>
        <v/>
      </c>
      <c r="Q25" s="69" t="str">
        <f>IFERROR(INDEX(Calculations!$H$2:$H$65,(6-1)*8+MATCH(8,Calculations!$R$42:$R$49,0)),"")</f>
        <v/>
      </c>
      <c r="R25" s="69" t="str">
        <f>IFERROR(INDEX(Calculations!$I$2:$I$65,(6-1)*8+MATCH(8,Calculations!$R$42:$R$49,0)),"")</f>
        <v/>
      </c>
      <c r="S25" s="69" t="str">
        <f>IFERROR(INDEX(Calculations!$J$2:$J$65,(6-1)*8+MATCH(8,Calculations!$R$42:$R$49,0)),"")</f>
        <v/>
      </c>
      <c r="T25" s="69" t="str">
        <f>IFERROR(INDEX(Calculations!$K$2:$K$65,(6-1)*8+MATCH(8,Calculations!$R$42:$R$49,0)),"")</f>
        <v/>
      </c>
      <c r="U25" s="69" t="str">
        <f>IFERROR(INDEX(Calculations!$L$2:$L$65,(6-1)*8+MATCH(8,Calculations!$R$42:$R$49,0)),"")</f>
        <v/>
      </c>
      <c r="V25" s="69" t="str">
        <f>IFERROR(INDEX(Calculations!$M$2:$M$65,(6-1)*8+MATCH(8,Calculations!$R$42:$R$49,0)),"")</f>
        <v/>
      </c>
      <c r="W25" s="69" t="str">
        <f>IFERROR(INDEX(Calculations!$N$2:$N$65,(6-1)*8+MATCH(8,Calculations!$R$42:$R$49,0)),"")</f>
        <v/>
      </c>
      <c r="X25" s="69" t="str">
        <f>IFERROR(INDEX(Calculations!$O$2:$O$65,(6-1)*8+MATCH(8,Calculations!$R$42:$R$49,0)),"")</f>
        <v/>
      </c>
      <c r="Y25" s="69" t="str">
        <f>IFERROR(INDEX(Calculations!$P$2:$P$65,(6-1)*8+MATCH(8,Calculations!$R$42:$R$49,0)),"")</f>
        <v/>
      </c>
    </row>
    <row r="26" spans="1: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>
      <c r="A29" s="120" t="str">
        <f>IF(3&lt;=Setup!$B$5,"Pool C","")</f>
        <v/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2"/>
      <c r="N29" s="120" t="str">
        <f>IF(7&lt;=Setup!$B$5,"Pool G","")</f>
        <v/>
      </c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</row>
    <row r="30" spans="1:25" ht="15">
      <c r="A30" s="68" t="s">
        <v>203</v>
      </c>
      <c r="B30" s="3" t="s">
        <v>189</v>
      </c>
      <c r="C30" s="3" t="s">
        <v>204</v>
      </c>
      <c r="D30" s="3" t="s">
        <v>205</v>
      </c>
      <c r="E30" s="3" t="s">
        <v>206</v>
      </c>
      <c r="F30" s="3" t="s">
        <v>207</v>
      </c>
      <c r="G30" s="3" t="s">
        <v>208</v>
      </c>
      <c r="H30" s="3" t="s">
        <v>209</v>
      </c>
      <c r="I30" s="3" t="s">
        <v>210</v>
      </c>
      <c r="J30" s="3" t="s">
        <v>211</v>
      </c>
      <c r="K30" s="3" t="s">
        <v>212</v>
      </c>
      <c r="L30" s="3" t="s">
        <v>213</v>
      </c>
      <c r="M30" s="2"/>
      <c r="N30" s="3" t="s">
        <v>203</v>
      </c>
      <c r="O30" s="3" t="s">
        <v>189</v>
      </c>
      <c r="P30" s="3" t="s">
        <v>204</v>
      </c>
      <c r="Q30" s="3" t="s">
        <v>205</v>
      </c>
      <c r="R30" s="3" t="s">
        <v>206</v>
      </c>
      <c r="S30" s="3" t="s">
        <v>207</v>
      </c>
      <c r="T30" s="3" t="s">
        <v>208</v>
      </c>
      <c r="U30" s="3" t="s">
        <v>209</v>
      </c>
      <c r="V30" s="3" t="s">
        <v>210</v>
      </c>
      <c r="W30" s="3" t="s">
        <v>211</v>
      </c>
      <c r="X30" s="3" t="s">
        <v>212</v>
      </c>
      <c r="Y30" s="3" t="s">
        <v>213</v>
      </c>
    </row>
    <row r="31" spans="1:25">
      <c r="A31" s="69" t="str">
        <f>IF(AND(3&lt;=Setup!$B$5,1&lt;=Setup!$B$6),1,"")</f>
        <v/>
      </c>
      <c r="B31" s="2" t="str">
        <f>IFERROR(INDEX(Calculations!$E$2:$E$65,(3-1)*8+MATCH(1,Calculations!$R$18:$R$25,0)),"")</f>
        <v/>
      </c>
      <c r="C31" s="69" t="str">
        <f>IFERROR(INDEX(Calculations!$G$2:$G$65,(3-1)*8+MATCH(1,Calculations!$R$18:$R$25,0)),"")</f>
        <v/>
      </c>
      <c r="D31" s="69" t="str">
        <f>IFERROR(INDEX(Calculations!$H$2:$H$65,(3-1)*8+MATCH(1,Calculations!$R$18:$R$25,0)),"")</f>
        <v/>
      </c>
      <c r="E31" s="69" t="str">
        <f>IFERROR(INDEX(Calculations!$I$2:$I$65,(3-1)*8+MATCH(1,Calculations!$R$18:$R$25,0)),"")</f>
        <v/>
      </c>
      <c r="F31" s="69" t="str">
        <f>IFERROR(INDEX(Calculations!$J$2:$J$65,(3-1)*8+MATCH(1,Calculations!$R$18:$R$25,0)),"")</f>
        <v/>
      </c>
      <c r="G31" s="69" t="str">
        <f>IFERROR(INDEX(Calculations!$K$2:$K$65,(3-1)*8+MATCH(1,Calculations!$R$18:$R$25,0)),"")</f>
        <v/>
      </c>
      <c r="H31" s="69" t="str">
        <f>IFERROR(INDEX(Calculations!$L$2:$L$65,(3-1)*8+MATCH(1,Calculations!$R$18:$R$25,0)),"")</f>
        <v/>
      </c>
      <c r="I31" s="69" t="str">
        <f>IFERROR(INDEX(Calculations!$M$2:$M$65,(3-1)*8+MATCH(1,Calculations!$R$18:$R$25,0)),"")</f>
        <v/>
      </c>
      <c r="J31" s="69" t="str">
        <f>IFERROR(INDEX(Calculations!$N$2:$N$65,(3-1)*8+MATCH(1,Calculations!$R$18:$R$25,0)),"")</f>
        <v/>
      </c>
      <c r="K31" s="69" t="str">
        <f>IFERROR(INDEX(Calculations!$O$2:$O$65,(3-1)*8+MATCH(1,Calculations!$R$18:$R$25,0)),"")</f>
        <v/>
      </c>
      <c r="L31" s="69" t="str">
        <f>IFERROR(INDEX(Calculations!$P$2:$P$65,(3-1)*8+MATCH(1,Calculations!$R$18:$R$25,0)),"")</f>
        <v/>
      </c>
      <c r="M31" s="69"/>
      <c r="N31" s="69" t="str">
        <f>IF(AND(7&lt;=Setup!$B$5,1&lt;=Setup!$B$6),1,"")</f>
        <v/>
      </c>
      <c r="O31" s="2" t="str">
        <f>IFERROR(INDEX(Calculations!$E$2:$E$65,(7-1)*8+MATCH(1,Calculations!$R$50:$R$57,0)),"")</f>
        <v/>
      </c>
      <c r="P31" s="69" t="str">
        <f>IFERROR(INDEX(Calculations!$G$2:$G$65,(7-1)*8+MATCH(1,Calculations!$R$50:$R$57,0)),"")</f>
        <v/>
      </c>
      <c r="Q31" s="69" t="str">
        <f>IFERROR(INDEX(Calculations!$H$2:$H$65,(7-1)*8+MATCH(1,Calculations!$R$50:$R$57,0)),"")</f>
        <v/>
      </c>
      <c r="R31" s="69" t="str">
        <f>IFERROR(INDEX(Calculations!$I$2:$I$65,(7-1)*8+MATCH(1,Calculations!$R$50:$R$57,0)),"")</f>
        <v/>
      </c>
      <c r="S31" s="69" t="str">
        <f>IFERROR(INDEX(Calculations!$J$2:$J$65,(7-1)*8+MATCH(1,Calculations!$R$50:$R$57,0)),"")</f>
        <v/>
      </c>
      <c r="T31" s="69" t="str">
        <f>IFERROR(INDEX(Calculations!$K$2:$K$65,(7-1)*8+MATCH(1,Calculations!$R$50:$R$57,0)),"")</f>
        <v/>
      </c>
      <c r="U31" s="69" t="str">
        <f>IFERROR(INDEX(Calculations!$L$2:$L$65,(7-1)*8+MATCH(1,Calculations!$R$50:$R$57,0)),"")</f>
        <v/>
      </c>
      <c r="V31" s="69" t="str">
        <f>IFERROR(INDEX(Calculations!$M$2:$M$65,(7-1)*8+MATCH(1,Calculations!$R$50:$R$57,0)),"")</f>
        <v/>
      </c>
      <c r="W31" s="69" t="str">
        <f>IFERROR(INDEX(Calculations!$N$2:$N$65,(7-1)*8+MATCH(1,Calculations!$R$50:$R$57,0)),"")</f>
        <v/>
      </c>
      <c r="X31" s="69" t="str">
        <f>IFERROR(INDEX(Calculations!$O$2:$O$65,(7-1)*8+MATCH(1,Calculations!$R$50:$R$57,0)),"")</f>
        <v/>
      </c>
      <c r="Y31" s="69" t="str">
        <f>IFERROR(INDEX(Calculations!$P$2:$P$65,(7-1)*8+MATCH(1,Calculations!$R$50:$R$57,0)),"")</f>
        <v/>
      </c>
    </row>
    <row r="32" spans="1:25">
      <c r="A32" s="69" t="str">
        <f>IF(AND(3&lt;=Setup!$B$5,2&lt;=Setup!$B$6),2,"")</f>
        <v/>
      </c>
      <c r="B32" s="2" t="str">
        <f>IFERROR(INDEX(Calculations!$E$2:$E$65,(3-1)*8+MATCH(2,Calculations!$R$18:$R$25,0)),"")</f>
        <v/>
      </c>
      <c r="C32" s="69" t="str">
        <f>IFERROR(INDEX(Calculations!$G$2:$G$65,(3-1)*8+MATCH(2,Calculations!$R$18:$R$25,0)),"")</f>
        <v/>
      </c>
      <c r="D32" s="69" t="str">
        <f>IFERROR(INDEX(Calculations!$H$2:$H$65,(3-1)*8+MATCH(2,Calculations!$R$18:$R$25,0)),"")</f>
        <v/>
      </c>
      <c r="E32" s="69" t="str">
        <f>IFERROR(INDEX(Calculations!$I$2:$I$65,(3-1)*8+MATCH(2,Calculations!$R$18:$R$25,0)),"")</f>
        <v/>
      </c>
      <c r="F32" s="69" t="str">
        <f>IFERROR(INDEX(Calculations!$J$2:$J$65,(3-1)*8+MATCH(2,Calculations!$R$18:$R$25,0)),"")</f>
        <v/>
      </c>
      <c r="G32" s="69" t="str">
        <f>IFERROR(INDEX(Calculations!$K$2:$K$65,(3-1)*8+MATCH(2,Calculations!$R$18:$R$25,0)),"")</f>
        <v/>
      </c>
      <c r="H32" s="69" t="str">
        <f>IFERROR(INDEX(Calculations!$L$2:$L$65,(3-1)*8+MATCH(2,Calculations!$R$18:$R$25,0)),"")</f>
        <v/>
      </c>
      <c r="I32" s="69" t="str">
        <f>IFERROR(INDEX(Calculations!$M$2:$M$65,(3-1)*8+MATCH(2,Calculations!$R$18:$R$25,0)),"")</f>
        <v/>
      </c>
      <c r="J32" s="69" t="str">
        <f>IFERROR(INDEX(Calculations!$N$2:$N$65,(3-1)*8+MATCH(2,Calculations!$R$18:$R$25,0)),"")</f>
        <v/>
      </c>
      <c r="K32" s="69" t="str">
        <f>IFERROR(INDEX(Calculations!$O$2:$O$65,(3-1)*8+MATCH(2,Calculations!$R$18:$R$25,0)),"")</f>
        <v/>
      </c>
      <c r="L32" s="69" t="str">
        <f>IFERROR(INDEX(Calculations!$P$2:$P$65,(3-1)*8+MATCH(2,Calculations!$R$18:$R$25,0)),"")</f>
        <v/>
      </c>
      <c r="M32" s="69"/>
      <c r="N32" s="69" t="str">
        <f>IF(AND(7&lt;=Setup!$B$5,2&lt;=Setup!$B$6),2,"")</f>
        <v/>
      </c>
      <c r="O32" s="2" t="str">
        <f>IFERROR(INDEX(Calculations!$E$2:$E$65,(7-1)*8+MATCH(2,Calculations!$R$50:$R$57,0)),"")</f>
        <v/>
      </c>
      <c r="P32" s="69" t="str">
        <f>IFERROR(INDEX(Calculations!$G$2:$G$65,(7-1)*8+MATCH(2,Calculations!$R$50:$R$57,0)),"")</f>
        <v/>
      </c>
      <c r="Q32" s="69" t="str">
        <f>IFERROR(INDEX(Calculations!$H$2:$H$65,(7-1)*8+MATCH(2,Calculations!$R$50:$R$57,0)),"")</f>
        <v/>
      </c>
      <c r="R32" s="69" t="str">
        <f>IFERROR(INDEX(Calculations!$I$2:$I$65,(7-1)*8+MATCH(2,Calculations!$R$50:$R$57,0)),"")</f>
        <v/>
      </c>
      <c r="S32" s="69" t="str">
        <f>IFERROR(INDEX(Calculations!$J$2:$J$65,(7-1)*8+MATCH(2,Calculations!$R$50:$R$57,0)),"")</f>
        <v/>
      </c>
      <c r="T32" s="69" t="str">
        <f>IFERROR(INDEX(Calculations!$K$2:$K$65,(7-1)*8+MATCH(2,Calculations!$R$50:$R$57,0)),"")</f>
        <v/>
      </c>
      <c r="U32" s="69" t="str">
        <f>IFERROR(INDEX(Calculations!$L$2:$L$65,(7-1)*8+MATCH(2,Calculations!$R$50:$R$57,0)),"")</f>
        <v/>
      </c>
      <c r="V32" s="69" t="str">
        <f>IFERROR(INDEX(Calculations!$M$2:$M$65,(7-1)*8+MATCH(2,Calculations!$R$50:$R$57,0)),"")</f>
        <v/>
      </c>
      <c r="W32" s="69" t="str">
        <f>IFERROR(INDEX(Calculations!$N$2:$N$65,(7-1)*8+MATCH(2,Calculations!$R$50:$R$57,0)),"")</f>
        <v/>
      </c>
      <c r="X32" s="69" t="str">
        <f>IFERROR(INDEX(Calculations!$O$2:$O$65,(7-1)*8+MATCH(2,Calculations!$R$50:$R$57,0)),"")</f>
        <v/>
      </c>
      <c r="Y32" s="69" t="str">
        <f>IFERROR(INDEX(Calculations!$P$2:$P$65,(7-1)*8+MATCH(2,Calculations!$R$50:$R$57,0)),"")</f>
        <v/>
      </c>
    </row>
    <row r="33" spans="1:25">
      <c r="A33" s="69" t="str">
        <f>IF(AND(3&lt;=Setup!$B$5,3&lt;=Setup!$B$6),3,"")</f>
        <v/>
      </c>
      <c r="B33" s="2" t="str">
        <f>IFERROR(INDEX(Calculations!$E$2:$E$65,(3-1)*8+MATCH(3,Calculations!$R$18:$R$25,0)),"")</f>
        <v/>
      </c>
      <c r="C33" s="69" t="str">
        <f>IFERROR(INDEX(Calculations!$G$2:$G$65,(3-1)*8+MATCH(3,Calculations!$R$18:$R$25,0)),"")</f>
        <v/>
      </c>
      <c r="D33" s="69" t="str">
        <f>IFERROR(INDEX(Calculations!$H$2:$H$65,(3-1)*8+MATCH(3,Calculations!$R$18:$R$25,0)),"")</f>
        <v/>
      </c>
      <c r="E33" s="69" t="str">
        <f>IFERROR(INDEX(Calculations!$I$2:$I$65,(3-1)*8+MATCH(3,Calculations!$R$18:$R$25,0)),"")</f>
        <v/>
      </c>
      <c r="F33" s="69" t="str">
        <f>IFERROR(INDEX(Calculations!$J$2:$J$65,(3-1)*8+MATCH(3,Calculations!$R$18:$R$25,0)),"")</f>
        <v/>
      </c>
      <c r="G33" s="69" t="str">
        <f>IFERROR(INDEX(Calculations!$K$2:$K$65,(3-1)*8+MATCH(3,Calculations!$R$18:$R$25,0)),"")</f>
        <v/>
      </c>
      <c r="H33" s="69" t="str">
        <f>IFERROR(INDEX(Calculations!$L$2:$L$65,(3-1)*8+MATCH(3,Calculations!$R$18:$R$25,0)),"")</f>
        <v/>
      </c>
      <c r="I33" s="69" t="str">
        <f>IFERROR(INDEX(Calculations!$M$2:$M$65,(3-1)*8+MATCH(3,Calculations!$R$18:$R$25,0)),"")</f>
        <v/>
      </c>
      <c r="J33" s="69" t="str">
        <f>IFERROR(INDEX(Calculations!$N$2:$N$65,(3-1)*8+MATCH(3,Calculations!$R$18:$R$25,0)),"")</f>
        <v/>
      </c>
      <c r="K33" s="69" t="str">
        <f>IFERROR(INDEX(Calculations!$O$2:$O$65,(3-1)*8+MATCH(3,Calculations!$R$18:$R$25,0)),"")</f>
        <v/>
      </c>
      <c r="L33" s="69" t="str">
        <f>IFERROR(INDEX(Calculations!$P$2:$P$65,(3-1)*8+MATCH(3,Calculations!$R$18:$R$25,0)),"")</f>
        <v/>
      </c>
      <c r="M33" s="69"/>
      <c r="N33" s="69" t="str">
        <f>IF(AND(7&lt;=Setup!$B$5,3&lt;=Setup!$B$6),3,"")</f>
        <v/>
      </c>
      <c r="O33" s="2" t="str">
        <f>IFERROR(INDEX(Calculations!$E$2:$E$65,(7-1)*8+MATCH(3,Calculations!$R$50:$R$57,0)),"")</f>
        <v/>
      </c>
      <c r="P33" s="69" t="str">
        <f>IFERROR(INDEX(Calculations!$G$2:$G$65,(7-1)*8+MATCH(3,Calculations!$R$50:$R$57,0)),"")</f>
        <v/>
      </c>
      <c r="Q33" s="69" t="str">
        <f>IFERROR(INDEX(Calculations!$H$2:$H$65,(7-1)*8+MATCH(3,Calculations!$R$50:$R$57,0)),"")</f>
        <v/>
      </c>
      <c r="R33" s="69" t="str">
        <f>IFERROR(INDEX(Calculations!$I$2:$I$65,(7-1)*8+MATCH(3,Calculations!$R$50:$R$57,0)),"")</f>
        <v/>
      </c>
      <c r="S33" s="69" t="str">
        <f>IFERROR(INDEX(Calculations!$J$2:$J$65,(7-1)*8+MATCH(3,Calculations!$R$50:$R$57,0)),"")</f>
        <v/>
      </c>
      <c r="T33" s="69" t="str">
        <f>IFERROR(INDEX(Calculations!$K$2:$K$65,(7-1)*8+MATCH(3,Calculations!$R$50:$R$57,0)),"")</f>
        <v/>
      </c>
      <c r="U33" s="69" t="str">
        <f>IFERROR(INDEX(Calculations!$L$2:$L$65,(7-1)*8+MATCH(3,Calculations!$R$50:$R$57,0)),"")</f>
        <v/>
      </c>
      <c r="V33" s="69" t="str">
        <f>IFERROR(INDEX(Calculations!$M$2:$M$65,(7-1)*8+MATCH(3,Calculations!$R$50:$R$57,0)),"")</f>
        <v/>
      </c>
      <c r="W33" s="69" t="str">
        <f>IFERROR(INDEX(Calculations!$N$2:$N$65,(7-1)*8+MATCH(3,Calculations!$R$50:$R$57,0)),"")</f>
        <v/>
      </c>
      <c r="X33" s="69" t="str">
        <f>IFERROR(INDEX(Calculations!$O$2:$O$65,(7-1)*8+MATCH(3,Calculations!$R$50:$R$57,0)),"")</f>
        <v/>
      </c>
      <c r="Y33" s="69" t="str">
        <f>IFERROR(INDEX(Calculations!$P$2:$P$65,(7-1)*8+MATCH(3,Calculations!$R$50:$R$57,0)),"")</f>
        <v/>
      </c>
    </row>
    <row r="34" spans="1:25">
      <c r="A34" s="69" t="str">
        <f>IF(AND(3&lt;=Setup!$B$5,4&lt;=Setup!$B$6),4,"")</f>
        <v/>
      </c>
      <c r="B34" s="2" t="str">
        <f>IFERROR(INDEX(Calculations!$E$2:$E$65,(3-1)*8+MATCH(4,Calculations!$R$18:$R$25,0)),"")</f>
        <v/>
      </c>
      <c r="C34" s="69" t="str">
        <f>IFERROR(INDEX(Calculations!$G$2:$G$65,(3-1)*8+MATCH(4,Calculations!$R$18:$R$25,0)),"")</f>
        <v/>
      </c>
      <c r="D34" s="69" t="str">
        <f>IFERROR(INDEX(Calculations!$H$2:$H$65,(3-1)*8+MATCH(4,Calculations!$R$18:$R$25,0)),"")</f>
        <v/>
      </c>
      <c r="E34" s="69" t="str">
        <f>IFERROR(INDEX(Calculations!$I$2:$I$65,(3-1)*8+MATCH(4,Calculations!$R$18:$R$25,0)),"")</f>
        <v/>
      </c>
      <c r="F34" s="69" t="str">
        <f>IFERROR(INDEX(Calculations!$J$2:$J$65,(3-1)*8+MATCH(4,Calculations!$R$18:$R$25,0)),"")</f>
        <v/>
      </c>
      <c r="G34" s="69" t="str">
        <f>IFERROR(INDEX(Calculations!$K$2:$K$65,(3-1)*8+MATCH(4,Calculations!$R$18:$R$25,0)),"")</f>
        <v/>
      </c>
      <c r="H34" s="69" t="str">
        <f>IFERROR(INDEX(Calculations!$L$2:$L$65,(3-1)*8+MATCH(4,Calculations!$R$18:$R$25,0)),"")</f>
        <v/>
      </c>
      <c r="I34" s="69" t="str">
        <f>IFERROR(INDEX(Calculations!$M$2:$M$65,(3-1)*8+MATCH(4,Calculations!$R$18:$R$25,0)),"")</f>
        <v/>
      </c>
      <c r="J34" s="69" t="str">
        <f>IFERROR(INDEX(Calculations!$N$2:$N$65,(3-1)*8+MATCH(4,Calculations!$R$18:$R$25,0)),"")</f>
        <v/>
      </c>
      <c r="K34" s="69" t="str">
        <f>IFERROR(INDEX(Calculations!$O$2:$O$65,(3-1)*8+MATCH(4,Calculations!$R$18:$R$25,0)),"")</f>
        <v/>
      </c>
      <c r="L34" s="69" t="str">
        <f>IFERROR(INDEX(Calculations!$P$2:$P$65,(3-1)*8+MATCH(4,Calculations!$R$18:$R$25,0)),"")</f>
        <v/>
      </c>
      <c r="M34" s="69"/>
      <c r="N34" s="69" t="str">
        <f>IF(AND(7&lt;=Setup!$B$5,4&lt;=Setup!$B$6),4,"")</f>
        <v/>
      </c>
      <c r="O34" s="2" t="str">
        <f>IFERROR(INDEX(Calculations!$E$2:$E$65,(7-1)*8+MATCH(4,Calculations!$R$50:$R$57,0)),"")</f>
        <v/>
      </c>
      <c r="P34" s="69" t="str">
        <f>IFERROR(INDEX(Calculations!$G$2:$G$65,(7-1)*8+MATCH(4,Calculations!$R$50:$R$57,0)),"")</f>
        <v/>
      </c>
      <c r="Q34" s="69" t="str">
        <f>IFERROR(INDEX(Calculations!$H$2:$H$65,(7-1)*8+MATCH(4,Calculations!$R$50:$R$57,0)),"")</f>
        <v/>
      </c>
      <c r="R34" s="69" t="str">
        <f>IFERROR(INDEX(Calculations!$I$2:$I$65,(7-1)*8+MATCH(4,Calculations!$R$50:$R$57,0)),"")</f>
        <v/>
      </c>
      <c r="S34" s="69" t="str">
        <f>IFERROR(INDEX(Calculations!$J$2:$J$65,(7-1)*8+MATCH(4,Calculations!$R$50:$R$57,0)),"")</f>
        <v/>
      </c>
      <c r="T34" s="69" t="str">
        <f>IFERROR(INDEX(Calculations!$K$2:$K$65,(7-1)*8+MATCH(4,Calculations!$R$50:$R$57,0)),"")</f>
        <v/>
      </c>
      <c r="U34" s="69" t="str">
        <f>IFERROR(INDEX(Calculations!$L$2:$L$65,(7-1)*8+MATCH(4,Calculations!$R$50:$R$57,0)),"")</f>
        <v/>
      </c>
      <c r="V34" s="69" t="str">
        <f>IFERROR(INDEX(Calculations!$M$2:$M$65,(7-1)*8+MATCH(4,Calculations!$R$50:$R$57,0)),"")</f>
        <v/>
      </c>
      <c r="W34" s="69" t="str">
        <f>IFERROR(INDEX(Calculations!$N$2:$N$65,(7-1)*8+MATCH(4,Calculations!$R$50:$R$57,0)),"")</f>
        <v/>
      </c>
      <c r="X34" s="69" t="str">
        <f>IFERROR(INDEX(Calculations!$O$2:$O$65,(7-1)*8+MATCH(4,Calculations!$R$50:$R$57,0)),"")</f>
        <v/>
      </c>
      <c r="Y34" s="69" t="str">
        <f>IFERROR(INDEX(Calculations!$P$2:$P$65,(7-1)*8+MATCH(4,Calculations!$R$50:$R$57,0)),"")</f>
        <v/>
      </c>
    </row>
    <row r="35" spans="1:25">
      <c r="A35" s="69" t="str">
        <f>IF(AND(3&lt;=Setup!$B$5,5&lt;=Setup!$B$6),5,"")</f>
        <v/>
      </c>
      <c r="B35" s="2" t="str">
        <f>IFERROR(INDEX(Calculations!$E$2:$E$65,(3-1)*8+MATCH(5,Calculations!$R$18:$R$25,0)),"")</f>
        <v/>
      </c>
      <c r="C35" s="69" t="str">
        <f>IFERROR(INDEX(Calculations!$G$2:$G$65,(3-1)*8+MATCH(5,Calculations!$R$18:$R$25,0)),"")</f>
        <v/>
      </c>
      <c r="D35" s="69" t="str">
        <f>IFERROR(INDEX(Calculations!$H$2:$H$65,(3-1)*8+MATCH(5,Calculations!$R$18:$R$25,0)),"")</f>
        <v/>
      </c>
      <c r="E35" s="69" t="str">
        <f>IFERROR(INDEX(Calculations!$I$2:$I$65,(3-1)*8+MATCH(5,Calculations!$R$18:$R$25,0)),"")</f>
        <v/>
      </c>
      <c r="F35" s="69" t="str">
        <f>IFERROR(INDEX(Calculations!$J$2:$J$65,(3-1)*8+MATCH(5,Calculations!$R$18:$R$25,0)),"")</f>
        <v/>
      </c>
      <c r="G35" s="69" t="str">
        <f>IFERROR(INDEX(Calculations!$K$2:$K$65,(3-1)*8+MATCH(5,Calculations!$R$18:$R$25,0)),"")</f>
        <v/>
      </c>
      <c r="H35" s="69" t="str">
        <f>IFERROR(INDEX(Calculations!$L$2:$L$65,(3-1)*8+MATCH(5,Calculations!$R$18:$R$25,0)),"")</f>
        <v/>
      </c>
      <c r="I35" s="69" t="str">
        <f>IFERROR(INDEX(Calculations!$M$2:$M$65,(3-1)*8+MATCH(5,Calculations!$R$18:$R$25,0)),"")</f>
        <v/>
      </c>
      <c r="J35" s="69" t="str">
        <f>IFERROR(INDEX(Calculations!$N$2:$N$65,(3-1)*8+MATCH(5,Calculations!$R$18:$R$25,0)),"")</f>
        <v/>
      </c>
      <c r="K35" s="69" t="str">
        <f>IFERROR(INDEX(Calculations!$O$2:$O$65,(3-1)*8+MATCH(5,Calculations!$R$18:$R$25,0)),"")</f>
        <v/>
      </c>
      <c r="L35" s="69" t="str">
        <f>IFERROR(INDEX(Calculations!$P$2:$P$65,(3-1)*8+MATCH(5,Calculations!$R$18:$R$25,0)),"")</f>
        <v/>
      </c>
      <c r="M35" s="69"/>
      <c r="N35" s="69" t="str">
        <f>IF(AND(7&lt;=Setup!$B$5,5&lt;=Setup!$B$6),5,"")</f>
        <v/>
      </c>
      <c r="O35" s="2" t="str">
        <f>IFERROR(INDEX(Calculations!$E$2:$E$65,(7-1)*8+MATCH(5,Calculations!$R$50:$R$57,0)),"")</f>
        <v/>
      </c>
      <c r="P35" s="69" t="str">
        <f>IFERROR(INDEX(Calculations!$G$2:$G$65,(7-1)*8+MATCH(5,Calculations!$R$50:$R$57,0)),"")</f>
        <v/>
      </c>
      <c r="Q35" s="69" t="str">
        <f>IFERROR(INDEX(Calculations!$H$2:$H$65,(7-1)*8+MATCH(5,Calculations!$R$50:$R$57,0)),"")</f>
        <v/>
      </c>
      <c r="R35" s="69" t="str">
        <f>IFERROR(INDEX(Calculations!$I$2:$I$65,(7-1)*8+MATCH(5,Calculations!$R$50:$R$57,0)),"")</f>
        <v/>
      </c>
      <c r="S35" s="69" t="str">
        <f>IFERROR(INDEX(Calculations!$J$2:$J$65,(7-1)*8+MATCH(5,Calculations!$R$50:$R$57,0)),"")</f>
        <v/>
      </c>
      <c r="T35" s="69" t="str">
        <f>IFERROR(INDEX(Calculations!$K$2:$K$65,(7-1)*8+MATCH(5,Calculations!$R$50:$R$57,0)),"")</f>
        <v/>
      </c>
      <c r="U35" s="69" t="str">
        <f>IFERROR(INDEX(Calculations!$L$2:$L$65,(7-1)*8+MATCH(5,Calculations!$R$50:$R$57,0)),"")</f>
        <v/>
      </c>
      <c r="V35" s="69" t="str">
        <f>IFERROR(INDEX(Calculations!$M$2:$M$65,(7-1)*8+MATCH(5,Calculations!$R$50:$R$57,0)),"")</f>
        <v/>
      </c>
      <c r="W35" s="69" t="str">
        <f>IFERROR(INDEX(Calculations!$N$2:$N$65,(7-1)*8+MATCH(5,Calculations!$R$50:$R$57,0)),"")</f>
        <v/>
      </c>
      <c r="X35" s="69" t="str">
        <f>IFERROR(INDEX(Calculations!$O$2:$O$65,(7-1)*8+MATCH(5,Calculations!$R$50:$R$57,0)),"")</f>
        <v/>
      </c>
      <c r="Y35" s="69" t="str">
        <f>IFERROR(INDEX(Calculations!$P$2:$P$65,(7-1)*8+MATCH(5,Calculations!$R$50:$R$57,0)),"")</f>
        <v/>
      </c>
    </row>
    <row r="36" spans="1:25">
      <c r="A36" s="69" t="str">
        <f>IF(AND(3&lt;=Setup!$B$5,6&lt;=Setup!$B$6),6,"")</f>
        <v/>
      </c>
      <c r="B36" s="2" t="str">
        <f>IFERROR(INDEX(Calculations!$E$2:$E$65,(3-1)*8+MATCH(6,Calculations!$R$18:$R$25,0)),"")</f>
        <v/>
      </c>
      <c r="C36" s="69" t="str">
        <f>IFERROR(INDEX(Calculations!$G$2:$G$65,(3-1)*8+MATCH(6,Calculations!$R$18:$R$25,0)),"")</f>
        <v/>
      </c>
      <c r="D36" s="69" t="str">
        <f>IFERROR(INDEX(Calculations!$H$2:$H$65,(3-1)*8+MATCH(6,Calculations!$R$18:$R$25,0)),"")</f>
        <v/>
      </c>
      <c r="E36" s="69" t="str">
        <f>IFERROR(INDEX(Calculations!$I$2:$I$65,(3-1)*8+MATCH(6,Calculations!$R$18:$R$25,0)),"")</f>
        <v/>
      </c>
      <c r="F36" s="69" t="str">
        <f>IFERROR(INDEX(Calculations!$J$2:$J$65,(3-1)*8+MATCH(6,Calculations!$R$18:$R$25,0)),"")</f>
        <v/>
      </c>
      <c r="G36" s="69" t="str">
        <f>IFERROR(INDEX(Calculations!$K$2:$K$65,(3-1)*8+MATCH(6,Calculations!$R$18:$R$25,0)),"")</f>
        <v/>
      </c>
      <c r="H36" s="69" t="str">
        <f>IFERROR(INDEX(Calculations!$L$2:$L$65,(3-1)*8+MATCH(6,Calculations!$R$18:$R$25,0)),"")</f>
        <v/>
      </c>
      <c r="I36" s="69" t="str">
        <f>IFERROR(INDEX(Calculations!$M$2:$M$65,(3-1)*8+MATCH(6,Calculations!$R$18:$R$25,0)),"")</f>
        <v/>
      </c>
      <c r="J36" s="69" t="str">
        <f>IFERROR(INDEX(Calculations!$N$2:$N$65,(3-1)*8+MATCH(6,Calculations!$R$18:$R$25,0)),"")</f>
        <v/>
      </c>
      <c r="K36" s="69" t="str">
        <f>IFERROR(INDEX(Calculations!$O$2:$O$65,(3-1)*8+MATCH(6,Calculations!$R$18:$R$25,0)),"")</f>
        <v/>
      </c>
      <c r="L36" s="69" t="str">
        <f>IFERROR(INDEX(Calculations!$P$2:$P$65,(3-1)*8+MATCH(6,Calculations!$R$18:$R$25,0)),"")</f>
        <v/>
      </c>
      <c r="M36" s="69"/>
      <c r="N36" s="69" t="str">
        <f>IF(AND(7&lt;=Setup!$B$5,6&lt;=Setup!$B$6),6,"")</f>
        <v/>
      </c>
      <c r="O36" s="2" t="str">
        <f>IFERROR(INDEX(Calculations!$E$2:$E$65,(7-1)*8+MATCH(6,Calculations!$R$50:$R$57,0)),"")</f>
        <v/>
      </c>
      <c r="P36" s="69" t="str">
        <f>IFERROR(INDEX(Calculations!$G$2:$G$65,(7-1)*8+MATCH(6,Calculations!$R$50:$R$57,0)),"")</f>
        <v/>
      </c>
      <c r="Q36" s="69" t="str">
        <f>IFERROR(INDEX(Calculations!$H$2:$H$65,(7-1)*8+MATCH(6,Calculations!$R$50:$R$57,0)),"")</f>
        <v/>
      </c>
      <c r="R36" s="69" t="str">
        <f>IFERROR(INDEX(Calculations!$I$2:$I$65,(7-1)*8+MATCH(6,Calculations!$R$50:$R$57,0)),"")</f>
        <v/>
      </c>
      <c r="S36" s="69" t="str">
        <f>IFERROR(INDEX(Calculations!$J$2:$J$65,(7-1)*8+MATCH(6,Calculations!$R$50:$R$57,0)),"")</f>
        <v/>
      </c>
      <c r="T36" s="69" t="str">
        <f>IFERROR(INDEX(Calculations!$K$2:$K$65,(7-1)*8+MATCH(6,Calculations!$R$50:$R$57,0)),"")</f>
        <v/>
      </c>
      <c r="U36" s="69" t="str">
        <f>IFERROR(INDEX(Calculations!$L$2:$L$65,(7-1)*8+MATCH(6,Calculations!$R$50:$R$57,0)),"")</f>
        <v/>
      </c>
      <c r="V36" s="69" t="str">
        <f>IFERROR(INDEX(Calculations!$M$2:$M$65,(7-1)*8+MATCH(6,Calculations!$R$50:$R$57,0)),"")</f>
        <v/>
      </c>
      <c r="W36" s="69" t="str">
        <f>IFERROR(INDEX(Calculations!$N$2:$N$65,(7-1)*8+MATCH(6,Calculations!$R$50:$R$57,0)),"")</f>
        <v/>
      </c>
      <c r="X36" s="69" t="str">
        <f>IFERROR(INDEX(Calculations!$O$2:$O$65,(7-1)*8+MATCH(6,Calculations!$R$50:$R$57,0)),"")</f>
        <v/>
      </c>
      <c r="Y36" s="69" t="str">
        <f>IFERROR(INDEX(Calculations!$P$2:$P$65,(7-1)*8+MATCH(6,Calculations!$R$50:$R$57,0)),"")</f>
        <v/>
      </c>
    </row>
    <row r="37" spans="1:25">
      <c r="A37" s="69" t="str">
        <f>IF(AND(3&lt;=Setup!$B$5,7&lt;=Setup!$B$6),7,"")</f>
        <v/>
      </c>
      <c r="B37" s="2" t="str">
        <f>IFERROR(INDEX(Calculations!$E$2:$E$65,(3-1)*8+MATCH(7,Calculations!$R$18:$R$25,0)),"")</f>
        <v/>
      </c>
      <c r="C37" s="69" t="str">
        <f>IFERROR(INDEX(Calculations!$G$2:$G$65,(3-1)*8+MATCH(7,Calculations!$R$18:$R$25,0)),"")</f>
        <v/>
      </c>
      <c r="D37" s="69" t="str">
        <f>IFERROR(INDEX(Calculations!$H$2:$H$65,(3-1)*8+MATCH(7,Calculations!$R$18:$R$25,0)),"")</f>
        <v/>
      </c>
      <c r="E37" s="69" t="str">
        <f>IFERROR(INDEX(Calculations!$I$2:$I$65,(3-1)*8+MATCH(7,Calculations!$R$18:$R$25,0)),"")</f>
        <v/>
      </c>
      <c r="F37" s="69" t="str">
        <f>IFERROR(INDEX(Calculations!$J$2:$J$65,(3-1)*8+MATCH(7,Calculations!$R$18:$R$25,0)),"")</f>
        <v/>
      </c>
      <c r="G37" s="69" t="str">
        <f>IFERROR(INDEX(Calculations!$K$2:$K$65,(3-1)*8+MATCH(7,Calculations!$R$18:$R$25,0)),"")</f>
        <v/>
      </c>
      <c r="H37" s="69" t="str">
        <f>IFERROR(INDEX(Calculations!$L$2:$L$65,(3-1)*8+MATCH(7,Calculations!$R$18:$R$25,0)),"")</f>
        <v/>
      </c>
      <c r="I37" s="69" t="str">
        <f>IFERROR(INDEX(Calculations!$M$2:$M$65,(3-1)*8+MATCH(7,Calculations!$R$18:$R$25,0)),"")</f>
        <v/>
      </c>
      <c r="J37" s="69" t="str">
        <f>IFERROR(INDEX(Calculations!$N$2:$N$65,(3-1)*8+MATCH(7,Calculations!$R$18:$R$25,0)),"")</f>
        <v/>
      </c>
      <c r="K37" s="69" t="str">
        <f>IFERROR(INDEX(Calculations!$O$2:$O$65,(3-1)*8+MATCH(7,Calculations!$R$18:$R$25,0)),"")</f>
        <v/>
      </c>
      <c r="L37" s="69" t="str">
        <f>IFERROR(INDEX(Calculations!$P$2:$P$65,(3-1)*8+MATCH(7,Calculations!$R$18:$R$25,0)),"")</f>
        <v/>
      </c>
      <c r="M37" s="69"/>
      <c r="N37" s="69" t="str">
        <f>IF(AND(7&lt;=Setup!$B$5,7&lt;=Setup!$B$6),7,"")</f>
        <v/>
      </c>
      <c r="O37" s="2" t="str">
        <f>IFERROR(INDEX(Calculations!$E$2:$E$65,(7-1)*8+MATCH(7,Calculations!$R$50:$R$57,0)),"")</f>
        <v/>
      </c>
      <c r="P37" s="69" t="str">
        <f>IFERROR(INDEX(Calculations!$G$2:$G$65,(7-1)*8+MATCH(7,Calculations!$R$50:$R$57,0)),"")</f>
        <v/>
      </c>
      <c r="Q37" s="69" t="str">
        <f>IFERROR(INDEX(Calculations!$H$2:$H$65,(7-1)*8+MATCH(7,Calculations!$R$50:$R$57,0)),"")</f>
        <v/>
      </c>
      <c r="R37" s="69" t="str">
        <f>IFERROR(INDEX(Calculations!$I$2:$I$65,(7-1)*8+MATCH(7,Calculations!$R$50:$R$57,0)),"")</f>
        <v/>
      </c>
      <c r="S37" s="69" t="str">
        <f>IFERROR(INDEX(Calculations!$J$2:$J$65,(7-1)*8+MATCH(7,Calculations!$R$50:$R$57,0)),"")</f>
        <v/>
      </c>
      <c r="T37" s="69" t="str">
        <f>IFERROR(INDEX(Calculations!$K$2:$K$65,(7-1)*8+MATCH(7,Calculations!$R$50:$R$57,0)),"")</f>
        <v/>
      </c>
      <c r="U37" s="69" t="str">
        <f>IFERROR(INDEX(Calculations!$L$2:$L$65,(7-1)*8+MATCH(7,Calculations!$R$50:$R$57,0)),"")</f>
        <v/>
      </c>
      <c r="V37" s="69" t="str">
        <f>IFERROR(INDEX(Calculations!$M$2:$M$65,(7-1)*8+MATCH(7,Calculations!$R$50:$R$57,0)),"")</f>
        <v/>
      </c>
      <c r="W37" s="69" t="str">
        <f>IFERROR(INDEX(Calculations!$N$2:$N$65,(7-1)*8+MATCH(7,Calculations!$R$50:$R$57,0)),"")</f>
        <v/>
      </c>
      <c r="X37" s="69" t="str">
        <f>IFERROR(INDEX(Calculations!$O$2:$O$65,(7-1)*8+MATCH(7,Calculations!$R$50:$R$57,0)),"")</f>
        <v/>
      </c>
      <c r="Y37" s="69" t="str">
        <f>IFERROR(INDEX(Calculations!$P$2:$P$65,(7-1)*8+MATCH(7,Calculations!$R$50:$R$57,0)),"")</f>
        <v/>
      </c>
    </row>
    <row r="38" spans="1:25">
      <c r="A38" s="69" t="str">
        <f>IF(AND(3&lt;=Setup!$B$5,8&lt;=Setup!$B$6),8,"")</f>
        <v/>
      </c>
      <c r="B38" s="2" t="str">
        <f>IFERROR(INDEX(Calculations!$E$2:$E$65,(3-1)*8+MATCH(8,Calculations!$R$18:$R$25,0)),"")</f>
        <v/>
      </c>
      <c r="C38" s="69" t="str">
        <f>IFERROR(INDEX(Calculations!$G$2:$G$65,(3-1)*8+MATCH(8,Calculations!$R$18:$R$25,0)),"")</f>
        <v/>
      </c>
      <c r="D38" s="69" t="str">
        <f>IFERROR(INDEX(Calculations!$H$2:$H$65,(3-1)*8+MATCH(8,Calculations!$R$18:$R$25,0)),"")</f>
        <v/>
      </c>
      <c r="E38" s="69" t="str">
        <f>IFERROR(INDEX(Calculations!$I$2:$I$65,(3-1)*8+MATCH(8,Calculations!$R$18:$R$25,0)),"")</f>
        <v/>
      </c>
      <c r="F38" s="69" t="str">
        <f>IFERROR(INDEX(Calculations!$J$2:$J$65,(3-1)*8+MATCH(8,Calculations!$R$18:$R$25,0)),"")</f>
        <v/>
      </c>
      <c r="G38" s="69" t="str">
        <f>IFERROR(INDEX(Calculations!$K$2:$K$65,(3-1)*8+MATCH(8,Calculations!$R$18:$R$25,0)),"")</f>
        <v/>
      </c>
      <c r="H38" s="69" t="str">
        <f>IFERROR(INDEX(Calculations!$L$2:$L$65,(3-1)*8+MATCH(8,Calculations!$R$18:$R$25,0)),"")</f>
        <v/>
      </c>
      <c r="I38" s="69" t="str">
        <f>IFERROR(INDEX(Calculations!$M$2:$M$65,(3-1)*8+MATCH(8,Calculations!$R$18:$R$25,0)),"")</f>
        <v/>
      </c>
      <c r="J38" s="69" t="str">
        <f>IFERROR(INDEX(Calculations!$N$2:$N$65,(3-1)*8+MATCH(8,Calculations!$R$18:$R$25,0)),"")</f>
        <v/>
      </c>
      <c r="K38" s="69" t="str">
        <f>IFERROR(INDEX(Calculations!$O$2:$O$65,(3-1)*8+MATCH(8,Calculations!$R$18:$R$25,0)),"")</f>
        <v/>
      </c>
      <c r="L38" s="69" t="str">
        <f>IFERROR(INDEX(Calculations!$P$2:$P$65,(3-1)*8+MATCH(8,Calculations!$R$18:$R$25,0)),"")</f>
        <v/>
      </c>
      <c r="M38" s="69"/>
      <c r="N38" s="69" t="str">
        <f>IF(AND(7&lt;=Setup!$B$5,8&lt;=Setup!$B$6),8,"")</f>
        <v/>
      </c>
      <c r="O38" s="2" t="str">
        <f>IFERROR(INDEX(Calculations!$E$2:$E$65,(7-1)*8+MATCH(8,Calculations!$R$50:$R$57,0)),"")</f>
        <v/>
      </c>
      <c r="P38" s="69" t="str">
        <f>IFERROR(INDEX(Calculations!$G$2:$G$65,(7-1)*8+MATCH(8,Calculations!$R$50:$R$57,0)),"")</f>
        <v/>
      </c>
      <c r="Q38" s="69" t="str">
        <f>IFERROR(INDEX(Calculations!$H$2:$H$65,(7-1)*8+MATCH(8,Calculations!$R$50:$R$57,0)),"")</f>
        <v/>
      </c>
      <c r="R38" s="69" t="str">
        <f>IFERROR(INDEX(Calculations!$I$2:$I$65,(7-1)*8+MATCH(8,Calculations!$R$50:$R$57,0)),"")</f>
        <v/>
      </c>
      <c r="S38" s="69" t="str">
        <f>IFERROR(INDEX(Calculations!$J$2:$J$65,(7-1)*8+MATCH(8,Calculations!$R$50:$R$57,0)),"")</f>
        <v/>
      </c>
      <c r="T38" s="69" t="str">
        <f>IFERROR(INDEX(Calculations!$K$2:$K$65,(7-1)*8+MATCH(8,Calculations!$R$50:$R$57,0)),"")</f>
        <v/>
      </c>
      <c r="U38" s="69" t="str">
        <f>IFERROR(INDEX(Calculations!$L$2:$L$65,(7-1)*8+MATCH(8,Calculations!$R$50:$R$57,0)),"")</f>
        <v/>
      </c>
      <c r="V38" s="69" t="str">
        <f>IFERROR(INDEX(Calculations!$M$2:$M$65,(7-1)*8+MATCH(8,Calculations!$R$50:$R$57,0)),"")</f>
        <v/>
      </c>
      <c r="W38" s="69" t="str">
        <f>IFERROR(INDEX(Calculations!$N$2:$N$65,(7-1)*8+MATCH(8,Calculations!$R$50:$R$57,0)),"")</f>
        <v/>
      </c>
      <c r="X38" s="69" t="str">
        <f>IFERROR(INDEX(Calculations!$O$2:$O$65,(7-1)*8+MATCH(8,Calculations!$R$50:$R$57,0)),"")</f>
        <v/>
      </c>
      <c r="Y38" s="69" t="str">
        <f>IFERROR(INDEX(Calculations!$P$2:$P$65,(7-1)*8+MATCH(8,Calculations!$R$50:$R$57,0)),"")</f>
        <v/>
      </c>
    </row>
    <row r="39" spans="1: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>
      <c r="A42" s="120" t="str">
        <f>IF(4&lt;=Setup!$B$5,"Pool D","")</f>
        <v/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2"/>
      <c r="N42" s="120" t="str">
        <f>IF(8&lt;=Setup!$B$5,"Pool H","")</f>
        <v/>
      </c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</row>
    <row r="43" spans="1:25" ht="15">
      <c r="A43" s="68" t="s">
        <v>203</v>
      </c>
      <c r="B43" s="3" t="s">
        <v>189</v>
      </c>
      <c r="C43" s="3" t="s">
        <v>204</v>
      </c>
      <c r="D43" s="3" t="s">
        <v>205</v>
      </c>
      <c r="E43" s="3" t="s">
        <v>206</v>
      </c>
      <c r="F43" s="3" t="s">
        <v>207</v>
      </c>
      <c r="G43" s="3" t="s">
        <v>208</v>
      </c>
      <c r="H43" s="3" t="s">
        <v>209</v>
      </c>
      <c r="I43" s="3" t="s">
        <v>210</v>
      </c>
      <c r="J43" s="3" t="s">
        <v>211</v>
      </c>
      <c r="K43" s="3" t="s">
        <v>212</v>
      </c>
      <c r="L43" s="3" t="s">
        <v>213</v>
      </c>
      <c r="M43" s="2"/>
      <c r="N43" s="3" t="s">
        <v>203</v>
      </c>
      <c r="O43" s="3" t="s">
        <v>189</v>
      </c>
      <c r="P43" s="3" t="s">
        <v>204</v>
      </c>
      <c r="Q43" s="3" t="s">
        <v>205</v>
      </c>
      <c r="R43" s="3" t="s">
        <v>206</v>
      </c>
      <c r="S43" s="3" t="s">
        <v>207</v>
      </c>
      <c r="T43" s="3" t="s">
        <v>208</v>
      </c>
      <c r="U43" s="3" t="s">
        <v>209</v>
      </c>
      <c r="V43" s="3" t="s">
        <v>210</v>
      </c>
      <c r="W43" s="3" t="s">
        <v>211</v>
      </c>
      <c r="X43" s="3" t="s">
        <v>212</v>
      </c>
      <c r="Y43" s="3" t="s">
        <v>213</v>
      </c>
    </row>
    <row r="44" spans="1:25">
      <c r="A44" s="69" t="str">
        <f>IF(AND(4&lt;=Setup!$B$5,1&lt;=Setup!$B$6),1,"")</f>
        <v/>
      </c>
      <c r="B44" s="2" t="str">
        <f>IFERROR(INDEX(Calculations!$E$2:$E$65,(4-1)*8+MATCH(1,Calculations!$R$26:$R$33,0)),"")</f>
        <v/>
      </c>
      <c r="C44" s="69" t="str">
        <f>IFERROR(INDEX(Calculations!$G$2:$G$65,(4-1)*8+MATCH(1,Calculations!$R$26:$R$33,0)),"")</f>
        <v/>
      </c>
      <c r="D44" s="69" t="str">
        <f>IFERROR(INDEX(Calculations!$H$2:$H$65,(4-1)*8+MATCH(1,Calculations!$R$26:$R$33,0)),"")</f>
        <v/>
      </c>
      <c r="E44" s="69" t="str">
        <f>IFERROR(INDEX(Calculations!$I$2:$I$65,(4-1)*8+MATCH(1,Calculations!$R$26:$R$33,0)),"")</f>
        <v/>
      </c>
      <c r="F44" s="69" t="str">
        <f>IFERROR(INDEX(Calculations!$J$2:$J$65,(4-1)*8+MATCH(1,Calculations!$R$26:$R$33,0)),"")</f>
        <v/>
      </c>
      <c r="G44" s="69" t="str">
        <f>IFERROR(INDEX(Calculations!$K$2:$K$65,(4-1)*8+MATCH(1,Calculations!$R$26:$R$33,0)),"")</f>
        <v/>
      </c>
      <c r="H44" s="69" t="str">
        <f>IFERROR(INDEX(Calculations!$L$2:$L$65,(4-1)*8+MATCH(1,Calculations!$R$26:$R$33,0)),"")</f>
        <v/>
      </c>
      <c r="I44" s="69" t="str">
        <f>IFERROR(INDEX(Calculations!$M$2:$M$65,(4-1)*8+MATCH(1,Calculations!$R$26:$R$33,0)),"")</f>
        <v/>
      </c>
      <c r="J44" s="69" t="str">
        <f>IFERROR(INDEX(Calculations!$N$2:$N$65,(4-1)*8+MATCH(1,Calculations!$R$26:$R$33,0)),"")</f>
        <v/>
      </c>
      <c r="K44" s="69" t="str">
        <f>IFERROR(INDEX(Calculations!$O$2:$O$65,(4-1)*8+MATCH(1,Calculations!$R$26:$R$33,0)),"")</f>
        <v/>
      </c>
      <c r="L44" s="69" t="str">
        <f>IFERROR(INDEX(Calculations!$P$2:$P$65,(4-1)*8+MATCH(1,Calculations!$R$26:$R$33,0)),"")</f>
        <v/>
      </c>
      <c r="M44" s="69"/>
      <c r="N44" s="69" t="str">
        <f>IF(AND(8&lt;=Setup!$B$5,1&lt;=Setup!$B$6),1,"")</f>
        <v/>
      </c>
      <c r="O44" s="2" t="str">
        <f>IFERROR(INDEX(Calculations!$E$2:$E$65,(8-1)*8+MATCH(1,Calculations!$R$58:$R$65,0)),"")</f>
        <v/>
      </c>
      <c r="P44" s="69" t="str">
        <f>IFERROR(INDEX(Calculations!$G$2:$G$65,(8-1)*8+MATCH(1,Calculations!$R$58:$R$65,0)),"")</f>
        <v/>
      </c>
      <c r="Q44" s="69" t="str">
        <f>IFERROR(INDEX(Calculations!$H$2:$H$65,(8-1)*8+MATCH(1,Calculations!$R$58:$R$65,0)),"")</f>
        <v/>
      </c>
      <c r="R44" s="69" t="str">
        <f>IFERROR(INDEX(Calculations!$I$2:$I$65,(8-1)*8+MATCH(1,Calculations!$R$58:$R$65,0)),"")</f>
        <v/>
      </c>
      <c r="S44" s="69" t="str">
        <f>IFERROR(INDEX(Calculations!$J$2:$J$65,(8-1)*8+MATCH(1,Calculations!$R$58:$R$65,0)),"")</f>
        <v/>
      </c>
      <c r="T44" s="69" t="str">
        <f>IFERROR(INDEX(Calculations!$K$2:$K$65,(8-1)*8+MATCH(1,Calculations!$R$58:$R$65,0)),"")</f>
        <v/>
      </c>
      <c r="U44" s="69" t="str">
        <f>IFERROR(INDEX(Calculations!$L$2:$L$65,(8-1)*8+MATCH(1,Calculations!$R$58:$R$65,0)),"")</f>
        <v/>
      </c>
      <c r="V44" s="69" t="str">
        <f>IFERROR(INDEX(Calculations!$M$2:$M$65,(8-1)*8+MATCH(1,Calculations!$R$58:$R$65,0)),"")</f>
        <v/>
      </c>
      <c r="W44" s="69" t="str">
        <f>IFERROR(INDEX(Calculations!$N$2:$N$65,(8-1)*8+MATCH(1,Calculations!$R$58:$R$65,0)),"")</f>
        <v/>
      </c>
      <c r="X44" s="69" t="str">
        <f>IFERROR(INDEX(Calculations!$O$2:$O$65,(8-1)*8+MATCH(1,Calculations!$R$58:$R$65,0)),"")</f>
        <v/>
      </c>
      <c r="Y44" s="69" t="str">
        <f>IFERROR(INDEX(Calculations!$P$2:$P$65,(8-1)*8+MATCH(1,Calculations!$R$58:$R$65,0)),"")</f>
        <v/>
      </c>
    </row>
    <row r="45" spans="1:25">
      <c r="A45" s="69" t="str">
        <f>IF(AND(4&lt;=Setup!$B$5,2&lt;=Setup!$B$6),2,"")</f>
        <v/>
      </c>
      <c r="B45" s="2" t="str">
        <f>IFERROR(INDEX(Calculations!$E$2:$E$65,(4-1)*8+MATCH(2,Calculations!$R$26:$R$33,0)),"")</f>
        <v/>
      </c>
      <c r="C45" s="69" t="str">
        <f>IFERROR(INDEX(Calculations!$G$2:$G$65,(4-1)*8+MATCH(2,Calculations!$R$26:$R$33,0)),"")</f>
        <v/>
      </c>
      <c r="D45" s="69" t="str">
        <f>IFERROR(INDEX(Calculations!$H$2:$H$65,(4-1)*8+MATCH(2,Calculations!$R$26:$R$33,0)),"")</f>
        <v/>
      </c>
      <c r="E45" s="69" t="str">
        <f>IFERROR(INDEX(Calculations!$I$2:$I$65,(4-1)*8+MATCH(2,Calculations!$R$26:$R$33,0)),"")</f>
        <v/>
      </c>
      <c r="F45" s="69" t="str">
        <f>IFERROR(INDEX(Calculations!$J$2:$J$65,(4-1)*8+MATCH(2,Calculations!$R$26:$R$33,0)),"")</f>
        <v/>
      </c>
      <c r="G45" s="69" t="str">
        <f>IFERROR(INDEX(Calculations!$K$2:$K$65,(4-1)*8+MATCH(2,Calculations!$R$26:$R$33,0)),"")</f>
        <v/>
      </c>
      <c r="H45" s="69" t="str">
        <f>IFERROR(INDEX(Calculations!$L$2:$L$65,(4-1)*8+MATCH(2,Calculations!$R$26:$R$33,0)),"")</f>
        <v/>
      </c>
      <c r="I45" s="69" t="str">
        <f>IFERROR(INDEX(Calculations!$M$2:$M$65,(4-1)*8+MATCH(2,Calculations!$R$26:$R$33,0)),"")</f>
        <v/>
      </c>
      <c r="J45" s="69" t="str">
        <f>IFERROR(INDEX(Calculations!$N$2:$N$65,(4-1)*8+MATCH(2,Calculations!$R$26:$R$33,0)),"")</f>
        <v/>
      </c>
      <c r="K45" s="69" t="str">
        <f>IFERROR(INDEX(Calculations!$O$2:$O$65,(4-1)*8+MATCH(2,Calculations!$R$26:$R$33,0)),"")</f>
        <v/>
      </c>
      <c r="L45" s="69" t="str">
        <f>IFERROR(INDEX(Calculations!$P$2:$P$65,(4-1)*8+MATCH(2,Calculations!$R$26:$R$33,0)),"")</f>
        <v/>
      </c>
      <c r="M45" s="69"/>
      <c r="N45" s="69" t="str">
        <f>IF(AND(8&lt;=Setup!$B$5,2&lt;=Setup!$B$6),2,"")</f>
        <v/>
      </c>
      <c r="O45" s="2" t="str">
        <f>IFERROR(INDEX(Calculations!$E$2:$E$65,(8-1)*8+MATCH(2,Calculations!$R$58:$R$65,0)),"")</f>
        <v/>
      </c>
      <c r="P45" s="69" t="str">
        <f>IFERROR(INDEX(Calculations!$G$2:$G$65,(8-1)*8+MATCH(2,Calculations!$R$58:$R$65,0)),"")</f>
        <v/>
      </c>
      <c r="Q45" s="69" t="str">
        <f>IFERROR(INDEX(Calculations!$H$2:$H$65,(8-1)*8+MATCH(2,Calculations!$R$58:$R$65,0)),"")</f>
        <v/>
      </c>
      <c r="R45" s="69" t="str">
        <f>IFERROR(INDEX(Calculations!$I$2:$I$65,(8-1)*8+MATCH(2,Calculations!$R$58:$R$65,0)),"")</f>
        <v/>
      </c>
      <c r="S45" s="69" t="str">
        <f>IFERROR(INDEX(Calculations!$J$2:$J$65,(8-1)*8+MATCH(2,Calculations!$R$58:$R$65,0)),"")</f>
        <v/>
      </c>
      <c r="T45" s="69" t="str">
        <f>IFERROR(INDEX(Calculations!$K$2:$K$65,(8-1)*8+MATCH(2,Calculations!$R$58:$R$65,0)),"")</f>
        <v/>
      </c>
      <c r="U45" s="69" t="str">
        <f>IFERROR(INDEX(Calculations!$L$2:$L$65,(8-1)*8+MATCH(2,Calculations!$R$58:$R$65,0)),"")</f>
        <v/>
      </c>
      <c r="V45" s="69" t="str">
        <f>IFERROR(INDEX(Calculations!$M$2:$M$65,(8-1)*8+MATCH(2,Calculations!$R$58:$R$65,0)),"")</f>
        <v/>
      </c>
      <c r="W45" s="69" t="str">
        <f>IFERROR(INDEX(Calculations!$N$2:$N$65,(8-1)*8+MATCH(2,Calculations!$R$58:$R$65,0)),"")</f>
        <v/>
      </c>
      <c r="X45" s="69" t="str">
        <f>IFERROR(INDEX(Calculations!$O$2:$O$65,(8-1)*8+MATCH(2,Calculations!$R$58:$R$65,0)),"")</f>
        <v/>
      </c>
      <c r="Y45" s="69" t="str">
        <f>IFERROR(INDEX(Calculations!$P$2:$P$65,(8-1)*8+MATCH(2,Calculations!$R$58:$R$65,0)),"")</f>
        <v/>
      </c>
    </row>
    <row r="46" spans="1:25">
      <c r="A46" s="69" t="str">
        <f>IF(AND(4&lt;=Setup!$B$5,3&lt;=Setup!$B$6),3,"")</f>
        <v/>
      </c>
      <c r="B46" s="2" t="str">
        <f>IFERROR(INDEX(Calculations!$E$2:$E$65,(4-1)*8+MATCH(3,Calculations!$R$26:$R$33,0)),"")</f>
        <v/>
      </c>
      <c r="C46" s="69" t="str">
        <f>IFERROR(INDEX(Calculations!$G$2:$G$65,(4-1)*8+MATCH(3,Calculations!$R$26:$R$33,0)),"")</f>
        <v/>
      </c>
      <c r="D46" s="69" t="str">
        <f>IFERROR(INDEX(Calculations!$H$2:$H$65,(4-1)*8+MATCH(3,Calculations!$R$26:$R$33,0)),"")</f>
        <v/>
      </c>
      <c r="E46" s="69" t="str">
        <f>IFERROR(INDEX(Calculations!$I$2:$I$65,(4-1)*8+MATCH(3,Calculations!$R$26:$R$33,0)),"")</f>
        <v/>
      </c>
      <c r="F46" s="69" t="str">
        <f>IFERROR(INDEX(Calculations!$J$2:$J$65,(4-1)*8+MATCH(3,Calculations!$R$26:$R$33,0)),"")</f>
        <v/>
      </c>
      <c r="G46" s="69" t="str">
        <f>IFERROR(INDEX(Calculations!$K$2:$K$65,(4-1)*8+MATCH(3,Calculations!$R$26:$R$33,0)),"")</f>
        <v/>
      </c>
      <c r="H46" s="69" t="str">
        <f>IFERROR(INDEX(Calculations!$L$2:$L$65,(4-1)*8+MATCH(3,Calculations!$R$26:$R$33,0)),"")</f>
        <v/>
      </c>
      <c r="I46" s="69" t="str">
        <f>IFERROR(INDEX(Calculations!$M$2:$M$65,(4-1)*8+MATCH(3,Calculations!$R$26:$R$33,0)),"")</f>
        <v/>
      </c>
      <c r="J46" s="69" t="str">
        <f>IFERROR(INDEX(Calculations!$N$2:$N$65,(4-1)*8+MATCH(3,Calculations!$R$26:$R$33,0)),"")</f>
        <v/>
      </c>
      <c r="K46" s="69" t="str">
        <f>IFERROR(INDEX(Calculations!$O$2:$O$65,(4-1)*8+MATCH(3,Calculations!$R$26:$R$33,0)),"")</f>
        <v/>
      </c>
      <c r="L46" s="69" t="str">
        <f>IFERROR(INDEX(Calculations!$P$2:$P$65,(4-1)*8+MATCH(3,Calculations!$R$26:$R$33,0)),"")</f>
        <v/>
      </c>
      <c r="M46" s="69"/>
      <c r="N46" s="69" t="str">
        <f>IF(AND(8&lt;=Setup!$B$5,3&lt;=Setup!$B$6),3,"")</f>
        <v/>
      </c>
      <c r="O46" s="2" t="str">
        <f>IFERROR(INDEX(Calculations!$E$2:$E$65,(8-1)*8+MATCH(3,Calculations!$R$58:$R$65,0)),"")</f>
        <v/>
      </c>
      <c r="P46" s="69" t="str">
        <f>IFERROR(INDEX(Calculations!$G$2:$G$65,(8-1)*8+MATCH(3,Calculations!$R$58:$R$65,0)),"")</f>
        <v/>
      </c>
      <c r="Q46" s="69" t="str">
        <f>IFERROR(INDEX(Calculations!$H$2:$H$65,(8-1)*8+MATCH(3,Calculations!$R$58:$R$65,0)),"")</f>
        <v/>
      </c>
      <c r="R46" s="69" t="str">
        <f>IFERROR(INDEX(Calculations!$I$2:$I$65,(8-1)*8+MATCH(3,Calculations!$R$58:$R$65,0)),"")</f>
        <v/>
      </c>
      <c r="S46" s="69" t="str">
        <f>IFERROR(INDEX(Calculations!$J$2:$J$65,(8-1)*8+MATCH(3,Calculations!$R$58:$R$65,0)),"")</f>
        <v/>
      </c>
      <c r="T46" s="69" t="str">
        <f>IFERROR(INDEX(Calculations!$K$2:$K$65,(8-1)*8+MATCH(3,Calculations!$R$58:$R$65,0)),"")</f>
        <v/>
      </c>
      <c r="U46" s="69" t="str">
        <f>IFERROR(INDEX(Calculations!$L$2:$L$65,(8-1)*8+MATCH(3,Calculations!$R$58:$R$65,0)),"")</f>
        <v/>
      </c>
      <c r="V46" s="69" t="str">
        <f>IFERROR(INDEX(Calculations!$M$2:$M$65,(8-1)*8+MATCH(3,Calculations!$R$58:$R$65,0)),"")</f>
        <v/>
      </c>
      <c r="W46" s="69" t="str">
        <f>IFERROR(INDEX(Calculations!$N$2:$N$65,(8-1)*8+MATCH(3,Calculations!$R$58:$R$65,0)),"")</f>
        <v/>
      </c>
      <c r="X46" s="69" t="str">
        <f>IFERROR(INDEX(Calculations!$O$2:$O$65,(8-1)*8+MATCH(3,Calculations!$R$58:$R$65,0)),"")</f>
        <v/>
      </c>
      <c r="Y46" s="69" t="str">
        <f>IFERROR(INDEX(Calculations!$P$2:$P$65,(8-1)*8+MATCH(3,Calculations!$R$58:$R$65,0)),"")</f>
        <v/>
      </c>
    </row>
    <row r="47" spans="1:25">
      <c r="A47" s="69" t="str">
        <f>IF(AND(4&lt;=Setup!$B$5,4&lt;=Setup!$B$6),4,"")</f>
        <v/>
      </c>
      <c r="B47" s="2" t="str">
        <f>IFERROR(INDEX(Calculations!$E$2:$E$65,(4-1)*8+MATCH(4,Calculations!$R$26:$R$33,0)),"")</f>
        <v/>
      </c>
      <c r="C47" s="69" t="str">
        <f>IFERROR(INDEX(Calculations!$G$2:$G$65,(4-1)*8+MATCH(4,Calculations!$R$26:$R$33,0)),"")</f>
        <v/>
      </c>
      <c r="D47" s="69" t="str">
        <f>IFERROR(INDEX(Calculations!$H$2:$H$65,(4-1)*8+MATCH(4,Calculations!$R$26:$R$33,0)),"")</f>
        <v/>
      </c>
      <c r="E47" s="69" t="str">
        <f>IFERROR(INDEX(Calculations!$I$2:$I$65,(4-1)*8+MATCH(4,Calculations!$R$26:$R$33,0)),"")</f>
        <v/>
      </c>
      <c r="F47" s="69" t="str">
        <f>IFERROR(INDEX(Calculations!$J$2:$J$65,(4-1)*8+MATCH(4,Calculations!$R$26:$R$33,0)),"")</f>
        <v/>
      </c>
      <c r="G47" s="69" t="str">
        <f>IFERROR(INDEX(Calculations!$K$2:$K$65,(4-1)*8+MATCH(4,Calculations!$R$26:$R$33,0)),"")</f>
        <v/>
      </c>
      <c r="H47" s="69" t="str">
        <f>IFERROR(INDEX(Calculations!$L$2:$L$65,(4-1)*8+MATCH(4,Calculations!$R$26:$R$33,0)),"")</f>
        <v/>
      </c>
      <c r="I47" s="69" t="str">
        <f>IFERROR(INDEX(Calculations!$M$2:$M$65,(4-1)*8+MATCH(4,Calculations!$R$26:$R$33,0)),"")</f>
        <v/>
      </c>
      <c r="J47" s="69" t="str">
        <f>IFERROR(INDEX(Calculations!$N$2:$N$65,(4-1)*8+MATCH(4,Calculations!$R$26:$R$33,0)),"")</f>
        <v/>
      </c>
      <c r="K47" s="69" t="str">
        <f>IFERROR(INDEX(Calculations!$O$2:$O$65,(4-1)*8+MATCH(4,Calculations!$R$26:$R$33,0)),"")</f>
        <v/>
      </c>
      <c r="L47" s="69" t="str">
        <f>IFERROR(INDEX(Calculations!$P$2:$P$65,(4-1)*8+MATCH(4,Calculations!$R$26:$R$33,0)),"")</f>
        <v/>
      </c>
      <c r="M47" s="69"/>
      <c r="N47" s="69" t="str">
        <f>IF(AND(8&lt;=Setup!$B$5,4&lt;=Setup!$B$6),4,"")</f>
        <v/>
      </c>
      <c r="O47" s="2" t="str">
        <f>IFERROR(INDEX(Calculations!$E$2:$E$65,(8-1)*8+MATCH(4,Calculations!$R$58:$R$65,0)),"")</f>
        <v/>
      </c>
      <c r="P47" s="69" t="str">
        <f>IFERROR(INDEX(Calculations!$G$2:$G$65,(8-1)*8+MATCH(4,Calculations!$R$58:$R$65,0)),"")</f>
        <v/>
      </c>
      <c r="Q47" s="69" t="str">
        <f>IFERROR(INDEX(Calculations!$H$2:$H$65,(8-1)*8+MATCH(4,Calculations!$R$58:$R$65,0)),"")</f>
        <v/>
      </c>
      <c r="R47" s="69" t="str">
        <f>IFERROR(INDEX(Calculations!$I$2:$I$65,(8-1)*8+MATCH(4,Calculations!$R$58:$R$65,0)),"")</f>
        <v/>
      </c>
      <c r="S47" s="69" t="str">
        <f>IFERROR(INDEX(Calculations!$J$2:$J$65,(8-1)*8+MATCH(4,Calculations!$R$58:$R$65,0)),"")</f>
        <v/>
      </c>
      <c r="T47" s="69" t="str">
        <f>IFERROR(INDEX(Calculations!$K$2:$K$65,(8-1)*8+MATCH(4,Calculations!$R$58:$R$65,0)),"")</f>
        <v/>
      </c>
      <c r="U47" s="69" t="str">
        <f>IFERROR(INDEX(Calculations!$L$2:$L$65,(8-1)*8+MATCH(4,Calculations!$R$58:$R$65,0)),"")</f>
        <v/>
      </c>
      <c r="V47" s="69" t="str">
        <f>IFERROR(INDEX(Calculations!$M$2:$M$65,(8-1)*8+MATCH(4,Calculations!$R$58:$R$65,0)),"")</f>
        <v/>
      </c>
      <c r="W47" s="69" t="str">
        <f>IFERROR(INDEX(Calculations!$N$2:$N$65,(8-1)*8+MATCH(4,Calculations!$R$58:$R$65,0)),"")</f>
        <v/>
      </c>
      <c r="X47" s="69" t="str">
        <f>IFERROR(INDEX(Calculations!$O$2:$O$65,(8-1)*8+MATCH(4,Calculations!$R$58:$R$65,0)),"")</f>
        <v/>
      </c>
      <c r="Y47" s="69" t="str">
        <f>IFERROR(INDEX(Calculations!$P$2:$P$65,(8-1)*8+MATCH(4,Calculations!$R$58:$R$65,0)),"")</f>
        <v/>
      </c>
    </row>
    <row r="48" spans="1:25">
      <c r="A48" s="69" t="str">
        <f>IF(AND(4&lt;=Setup!$B$5,5&lt;=Setup!$B$6),5,"")</f>
        <v/>
      </c>
      <c r="B48" s="2" t="str">
        <f>IFERROR(INDEX(Calculations!$E$2:$E$65,(4-1)*8+MATCH(5,Calculations!$R$26:$R$33,0)),"")</f>
        <v/>
      </c>
      <c r="C48" s="69" t="str">
        <f>IFERROR(INDEX(Calculations!$G$2:$G$65,(4-1)*8+MATCH(5,Calculations!$R$26:$R$33,0)),"")</f>
        <v/>
      </c>
      <c r="D48" s="69" t="str">
        <f>IFERROR(INDEX(Calculations!$H$2:$H$65,(4-1)*8+MATCH(5,Calculations!$R$26:$R$33,0)),"")</f>
        <v/>
      </c>
      <c r="E48" s="69" t="str">
        <f>IFERROR(INDEX(Calculations!$I$2:$I$65,(4-1)*8+MATCH(5,Calculations!$R$26:$R$33,0)),"")</f>
        <v/>
      </c>
      <c r="F48" s="69" t="str">
        <f>IFERROR(INDEX(Calculations!$J$2:$J$65,(4-1)*8+MATCH(5,Calculations!$R$26:$R$33,0)),"")</f>
        <v/>
      </c>
      <c r="G48" s="69" t="str">
        <f>IFERROR(INDEX(Calculations!$K$2:$K$65,(4-1)*8+MATCH(5,Calculations!$R$26:$R$33,0)),"")</f>
        <v/>
      </c>
      <c r="H48" s="69" t="str">
        <f>IFERROR(INDEX(Calculations!$L$2:$L$65,(4-1)*8+MATCH(5,Calculations!$R$26:$R$33,0)),"")</f>
        <v/>
      </c>
      <c r="I48" s="69" t="str">
        <f>IFERROR(INDEX(Calculations!$M$2:$M$65,(4-1)*8+MATCH(5,Calculations!$R$26:$R$33,0)),"")</f>
        <v/>
      </c>
      <c r="J48" s="69" t="str">
        <f>IFERROR(INDEX(Calculations!$N$2:$N$65,(4-1)*8+MATCH(5,Calculations!$R$26:$R$33,0)),"")</f>
        <v/>
      </c>
      <c r="K48" s="69" t="str">
        <f>IFERROR(INDEX(Calculations!$O$2:$O$65,(4-1)*8+MATCH(5,Calculations!$R$26:$R$33,0)),"")</f>
        <v/>
      </c>
      <c r="L48" s="69" t="str">
        <f>IFERROR(INDEX(Calculations!$P$2:$P$65,(4-1)*8+MATCH(5,Calculations!$R$26:$R$33,0)),"")</f>
        <v/>
      </c>
      <c r="M48" s="69"/>
      <c r="N48" s="69" t="str">
        <f>IF(AND(8&lt;=Setup!$B$5,5&lt;=Setup!$B$6),5,"")</f>
        <v/>
      </c>
      <c r="O48" s="2" t="str">
        <f>IFERROR(INDEX(Calculations!$E$2:$E$65,(8-1)*8+MATCH(5,Calculations!$R$58:$R$65,0)),"")</f>
        <v/>
      </c>
      <c r="P48" s="69" t="str">
        <f>IFERROR(INDEX(Calculations!$G$2:$G$65,(8-1)*8+MATCH(5,Calculations!$R$58:$R$65,0)),"")</f>
        <v/>
      </c>
      <c r="Q48" s="69" t="str">
        <f>IFERROR(INDEX(Calculations!$H$2:$H$65,(8-1)*8+MATCH(5,Calculations!$R$58:$R$65,0)),"")</f>
        <v/>
      </c>
      <c r="R48" s="69" t="str">
        <f>IFERROR(INDEX(Calculations!$I$2:$I$65,(8-1)*8+MATCH(5,Calculations!$R$58:$R$65,0)),"")</f>
        <v/>
      </c>
      <c r="S48" s="69" t="str">
        <f>IFERROR(INDEX(Calculations!$J$2:$J$65,(8-1)*8+MATCH(5,Calculations!$R$58:$R$65,0)),"")</f>
        <v/>
      </c>
      <c r="T48" s="69" t="str">
        <f>IFERROR(INDEX(Calculations!$K$2:$K$65,(8-1)*8+MATCH(5,Calculations!$R$58:$R$65,0)),"")</f>
        <v/>
      </c>
      <c r="U48" s="69" t="str">
        <f>IFERROR(INDEX(Calculations!$L$2:$L$65,(8-1)*8+MATCH(5,Calculations!$R$58:$R$65,0)),"")</f>
        <v/>
      </c>
      <c r="V48" s="69" t="str">
        <f>IFERROR(INDEX(Calculations!$M$2:$M$65,(8-1)*8+MATCH(5,Calculations!$R$58:$R$65,0)),"")</f>
        <v/>
      </c>
      <c r="W48" s="69" t="str">
        <f>IFERROR(INDEX(Calculations!$N$2:$N$65,(8-1)*8+MATCH(5,Calculations!$R$58:$R$65,0)),"")</f>
        <v/>
      </c>
      <c r="X48" s="69" t="str">
        <f>IFERROR(INDEX(Calculations!$O$2:$O$65,(8-1)*8+MATCH(5,Calculations!$R$58:$R$65,0)),"")</f>
        <v/>
      </c>
      <c r="Y48" s="69" t="str">
        <f>IFERROR(INDEX(Calculations!$P$2:$P$65,(8-1)*8+MATCH(5,Calculations!$R$58:$R$65,0)),"")</f>
        <v/>
      </c>
    </row>
    <row r="49" spans="1:25">
      <c r="A49" s="69" t="str">
        <f>IF(AND(4&lt;=Setup!$B$5,6&lt;=Setup!$B$6),6,"")</f>
        <v/>
      </c>
      <c r="B49" s="2" t="str">
        <f>IFERROR(INDEX(Calculations!$E$2:$E$65,(4-1)*8+MATCH(6,Calculations!$R$26:$R$33,0)),"")</f>
        <v/>
      </c>
      <c r="C49" s="69" t="str">
        <f>IFERROR(INDEX(Calculations!$G$2:$G$65,(4-1)*8+MATCH(6,Calculations!$R$26:$R$33,0)),"")</f>
        <v/>
      </c>
      <c r="D49" s="69" t="str">
        <f>IFERROR(INDEX(Calculations!$H$2:$H$65,(4-1)*8+MATCH(6,Calculations!$R$26:$R$33,0)),"")</f>
        <v/>
      </c>
      <c r="E49" s="69" t="str">
        <f>IFERROR(INDEX(Calculations!$I$2:$I$65,(4-1)*8+MATCH(6,Calculations!$R$26:$R$33,0)),"")</f>
        <v/>
      </c>
      <c r="F49" s="69" t="str">
        <f>IFERROR(INDEX(Calculations!$J$2:$J$65,(4-1)*8+MATCH(6,Calculations!$R$26:$R$33,0)),"")</f>
        <v/>
      </c>
      <c r="G49" s="69" t="str">
        <f>IFERROR(INDEX(Calculations!$K$2:$K$65,(4-1)*8+MATCH(6,Calculations!$R$26:$R$33,0)),"")</f>
        <v/>
      </c>
      <c r="H49" s="69" t="str">
        <f>IFERROR(INDEX(Calculations!$L$2:$L$65,(4-1)*8+MATCH(6,Calculations!$R$26:$R$33,0)),"")</f>
        <v/>
      </c>
      <c r="I49" s="69" t="str">
        <f>IFERROR(INDEX(Calculations!$M$2:$M$65,(4-1)*8+MATCH(6,Calculations!$R$26:$R$33,0)),"")</f>
        <v/>
      </c>
      <c r="J49" s="69" t="str">
        <f>IFERROR(INDEX(Calculations!$N$2:$N$65,(4-1)*8+MATCH(6,Calculations!$R$26:$R$33,0)),"")</f>
        <v/>
      </c>
      <c r="K49" s="69" t="str">
        <f>IFERROR(INDEX(Calculations!$O$2:$O$65,(4-1)*8+MATCH(6,Calculations!$R$26:$R$33,0)),"")</f>
        <v/>
      </c>
      <c r="L49" s="69" t="str">
        <f>IFERROR(INDEX(Calculations!$P$2:$P$65,(4-1)*8+MATCH(6,Calculations!$R$26:$R$33,0)),"")</f>
        <v/>
      </c>
      <c r="M49" s="69"/>
      <c r="N49" s="69" t="str">
        <f>IF(AND(8&lt;=Setup!$B$5,6&lt;=Setup!$B$6),6,"")</f>
        <v/>
      </c>
      <c r="O49" s="2" t="str">
        <f>IFERROR(INDEX(Calculations!$E$2:$E$65,(8-1)*8+MATCH(6,Calculations!$R$58:$R$65,0)),"")</f>
        <v/>
      </c>
      <c r="P49" s="69" t="str">
        <f>IFERROR(INDEX(Calculations!$G$2:$G$65,(8-1)*8+MATCH(6,Calculations!$R$58:$R$65,0)),"")</f>
        <v/>
      </c>
      <c r="Q49" s="69" t="str">
        <f>IFERROR(INDEX(Calculations!$H$2:$H$65,(8-1)*8+MATCH(6,Calculations!$R$58:$R$65,0)),"")</f>
        <v/>
      </c>
      <c r="R49" s="69" t="str">
        <f>IFERROR(INDEX(Calculations!$I$2:$I$65,(8-1)*8+MATCH(6,Calculations!$R$58:$R$65,0)),"")</f>
        <v/>
      </c>
      <c r="S49" s="69" t="str">
        <f>IFERROR(INDEX(Calculations!$J$2:$J$65,(8-1)*8+MATCH(6,Calculations!$R$58:$R$65,0)),"")</f>
        <v/>
      </c>
      <c r="T49" s="69" t="str">
        <f>IFERROR(INDEX(Calculations!$K$2:$K$65,(8-1)*8+MATCH(6,Calculations!$R$58:$R$65,0)),"")</f>
        <v/>
      </c>
      <c r="U49" s="69" t="str">
        <f>IFERROR(INDEX(Calculations!$L$2:$L$65,(8-1)*8+MATCH(6,Calculations!$R$58:$R$65,0)),"")</f>
        <v/>
      </c>
      <c r="V49" s="69" t="str">
        <f>IFERROR(INDEX(Calculations!$M$2:$M$65,(8-1)*8+MATCH(6,Calculations!$R$58:$R$65,0)),"")</f>
        <v/>
      </c>
      <c r="W49" s="69" t="str">
        <f>IFERROR(INDEX(Calculations!$N$2:$N$65,(8-1)*8+MATCH(6,Calculations!$R$58:$R$65,0)),"")</f>
        <v/>
      </c>
      <c r="X49" s="69" t="str">
        <f>IFERROR(INDEX(Calculations!$O$2:$O$65,(8-1)*8+MATCH(6,Calculations!$R$58:$R$65,0)),"")</f>
        <v/>
      </c>
      <c r="Y49" s="69" t="str">
        <f>IFERROR(INDEX(Calculations!$P$2:$P$65,(8-1)*8+MATCH(6,Calculations!$R$58:$R$65,0)),"")</f>
        <v/>
      </c>
    </row>
    <row r="50" spans="1:25">
      <c r="A50" s="69" t="str">
        <f>IF(AND(4&lt;=Setup!$B$5,7&lt;=Setup!$B$6),7,"")</f>
        <v/>
      </c>
      <c r="B50" s="2" t="str">
        <f>IFERROR(INDEX(Calculations!$E$2:$E$65,(4-1)*8+MATCH(7,Calculations!$R$26:$R$33,0)),"")</f>
        <v/>
      </c>
      <c r="C50" s="69" t="str">
        <f>IFERROR(INDEX(Calculations!$G$2:$G$65,(4-1)*8+MATCH(7,Calculations!$R$26:$R$33,0)),"")</f>
        <v/>
      </c>
      <c r="D50" s="69" t="str">
        <f>IFERROR(INDEX(Calculations!$H$2:$H$65,(4-1)*8+MATCH(7,Calculations!$R$26:$R$33,0)),"")</f>
        <v/>
      </c>
      <c r="E50" s="69" t="str">
        <f>IFERROR(INDEX(Calculations!$I$2:$I$65,(4-1)*8+MATCH(7,Calculations!$R$26:$R$33,0)),"")</f>
        <v/>
      </c>
      <c r="F50" s="69" t="str">
        <f>IFERROR(INDEX(Calculations!$J$2:$J$65,(4-1)*8+MATCH(7,Calculations!$R$26:$R$33,0)),"")</f>
        <v/>
      </c>
      <c r="G50" s="69" t="str">
        <f>IFERROR(INDEX(Calculations!$K$2:$K$65,(4-1)*8+MATCH(7,Calculations!$R$26:$R$33,0)),"")</f>
        <v/>
      </c>
      <c r="H50" s="69" t="str">
        <f>IFERROR(INDEX(Calculations!$L$2:$L$65,(4-1)*8+MATCH(7,Calculations!$R$26:$R$33,0)),"")</f>
        <v/>
      </c>
      <c r="I50" s="69" t="str">
        <f>IFERROR(INDEX(Calculations!$M$2:$M$65,(4-1)*8+MATCH(7,Calculations!$R$26:$R$33,0)),"")</f>
        <v/>
      </c>
      <c r="J50" s="69" t="str">
        <f>IFERROR(INDEX(Calculations!$N$2:$N$65,(4-1)*8+MATCH(7,Calculations!$R$26:$R$33,0)),"")</f>
        <v/>
      </c>
      <c r="K50" s="69" t="str">
        <f>IFERROR(INDEX(Calculations!$O$2:$O$65,(4-1)*8+MATCH(7,Calculations!$R$26:$R$33,0)),"")</f>
        <v/>
      </c>
      <c r="L50" s="69" t="str">
        <f>IFERROR(INDEX(Calculations!$P$2:$P$65,(4-1)*8+MATCH(7,Calculations!$R$26:$R$33,0)),"")</f>
        <v/>
      </c>
      <c r="M50" s="69"/>
      <c r="N50" s="69" t="str">
        <f>IF(AND(8&lt;=Setup!$B$5,7&lt;=Setup!$B$6),7,"")</f>
        <v/>
      </c>
      <c r="O50" s="2" t="str">
        <f>IFERROR(INDEX(Calculations!$E$2:$E$65,(8-1)*8+MATCH(7,Calculations!$R$58:$R$65,0)),"")</f>
        <v/>
      </c>
      <c r="P50" s="69" t="str">
        <f>IFERROR(INDEX(Calculations!$G$2:$G$65,(8-1)*8+MATCH(7,Calculations!$R$58:$R$65,0)),"")</f>
        <v/>
      </c>
      <c r="Q50" s="69" t="str">
        <f>IFERROR(INDEX(Calculations!$H$2:$H$65,(8-1)*8+MATCH(7,Calculations!$R$58:$R$65,0)),"")</f>
        <v/>
      </c>
      <c r="R50" s="69" t="str">
        <f>IFERROR(INDEX(Calculations!$I$2:$I$65,(8-1)*8+MATCH(7,Calculations!$R$58:$R$65,0)),"")</f>
        <v/>
      </c>
      <c r="S50" s="69" t="str">
        <f>IFERROR(INDEX(Calculations!$J$2:$J$65,(8-1)*8+MATCH(7,Calculations!$R$58:$R$65,0)),"")</f>
        <v/>
      </c>
      <c r="T50" s="69" t="str">
        <f>IFERROR(INDEX(Calculations!$K$2:$K$65,(8-1)*8+MATCH(7,Calculations!$R$58:$R$65,0)),"")</f>
        <v/>
      </c>
      <c r="U50" s="69" t="str">
        <f>IFERROR(INDEX(Calculations!$L$2:$L$65,(8-1)*8+MATCH(7,Calculations!$R$58:$R$65,0)),"")</f>
        <v/>
      </c>
      <c r="V50" s="69" t="str">
        <f>IFERROR(INDEX(Calculations!$M$2:$M$65,(8-1)*8+MATCH(7,Calculations!$R$58:$R$65,0)),"")</f>
        <v/>
      </c>
      <c r="W50" s="69" t="str">
        <f>IFERROR(INDEX(Calculations!$N$2:$N$65,(8-1)*8+MATCH(7,Calculations!$R$58:$R$65,0)),"")</f>
        <v/>
      </c>
      <c r="X50" s="69" t="str">
        <f>IFERROR(INDEX(Calculations!$O$2:$O$65,(8-1)*8+MATCH(7,Calculations!$R$58:$R$65,0)),"")</f>
        <v/>
      </c>
      <c r="Y50" s="69" t="str">
        <f>IFERROR(INDEX(Calculations!$P$2:$P$65,(8-1)*8+MATCH(7,Calculations!$R$58:$R$65,0)),"")</f>
        <v/>
      </c>
    </row>
    <row r="51" spans="1:25">
      <c r="A51" s="69" t="str">
        <f>IF(AND(4&lt;=Setup!$B$5,8&lt;=Setup!$B$6),8,"")</f>
        <v/>
      </c>
      <c r="B51" s="2" t="str">
        <f>IFERROR(INDEX(Calculations!$E$2:$E$65,(4-1)*8+MATCH(8,Calculations!$R$26:$R$33,0)),"")</f>
        <v/>
      </c>
      <c r="C51" s="69" t="str">
        <f>IFERROR(INDEX(Calculations!$G$2:$G$65,(4-1)*8+MATCH(8,Calculations!$R$26:$R$33,0)),"")</f>
        <v/>
      </c>
      <c r="D51" s="69" t="str">
        <f>IFERROR(INDEX(Calculations!$H$2:$H$65,(4-1)*8+MATCH(8,Calculations!$R$26:$R$33,0)),"")</f>
        <v/>
      </c>
      <c r="E51" s="69" t="str">
        <f>IFERROR(INDEX(Calculations!$I$2:$I$65,(4-1)*8+MATCH(8,Calculations!$R$26:$R$33,0)),"")</f>
        <v/>
      </c>
      <c r="F51" s="69" t="str">
        <f>IFERROR(INDEX(Calculations!$J$2:$J$65,(4-1)*8+MATCH(8,Calculations!$R$26:$R$33,0)),"")</f>
        <v/>
      </c>
      <c r="G51" s="69" t="str">
        <f>IFERROR(INDEX(Calculations!$K$2:$K$65,(4-1)*8+MATCH(8,Calculations!$R$26:$R$33,0)),"")</f>
        <v/>
      </c>
      <c r="H51" s="69" t="str">
        <f>IFERROR(INDEX(Calculations!$L$2:$L$65,(4-1)*8+MATCH(8,Calculations!$R$26:$R$33,0)),"")</f>
        <v/>
      </c>
      <c r="I51" s="69" t="str">
        <f>IFERROR(INDEX(Calculations!$M$2:$M$65,(4-1)*8+MATCH(8,Calculations!$R$26:$R$33,0)),"")</f>
        <v/>
      </c>
      <c r="J51" s="69" t="str">
        <f>IFERROR(INDEX(Calculations!$N$2:$N$65,(4-1)*8+MATCH(8,Calculations!$R$26:$R$33,0)),"")</f>
        <v/>
      </c>
      <c r="K51" s="69" t="str">
        <f>IFERROR(INDEX(Calculations!$O$2:$O$65,(4-1)*8+MATCH(8,Calculations!$R$26:$R$33,0)),"")</f>
        <v/>
      </c>
      <c r="L51" s="69" t="str">
        <f>IFERROR(INDEX(Calculations!$P$2:$P$65,(4-1)*8+MATCH(8,Calculations!$R$26:$R$33,0)),"")</f>
        <v/>
      </c>
      <c r="M51" s="69"/>
      <c r="N51" s="69" t="str">
        <f>IF(AND(8&lt;=Setup!$B$5,8&lt;=Setup!$B$6),8,"")</f>
        <v/>
      </c>
      <c r="O51" s="2" t="str">
        <f>IFERROR(INDEX(Calculations!$E$2:$E$65,(8-1)*8+MATCH(8,Calculations!$R$58:$R$65,0)),"")</f>
        <v/>
      </c>
      <c r="P51" s="69" t="str">
        <f>IFERROR(INDEX(Calculations!$G$2:$G$65,(8-1)*8+MATCH(8,Calculations!$R$58:$R$65,0)),"")</f>
        <v/>
      </c>
      <c r="Q51" s="69" t="str">
        <f>IFERROR(INDEX(Calculations!$H$2:$H$65,(8-1)*8+MATCH(8,Calculations!$R$58:$R$65,0)),"")</f>
        <v/>
      </c>
      <c r="R51" s="69" t="str">
        <f>IFERROR(INDEX(Calculations!$I$2:$I$65,(8-1)*8+MATCH(8,Calculations!$R$58:$R$65,0)),"")</f>
        <v/>
      </c>
      <c r="S51" s="69" t="str">
        <f>IFERROR(INDEX(Calculations!$J$2:$J$65,(8-1)*8+MATCH(8,Calculations!$R$58:$R$65,0)),"")</f>
        <v/>
      </c>
      <c r="T51" s="69" t="str">
        <f>IFERROR(INDEX(Calculations!$K$2:$K$65,(8-1)*8+MATCH(8,Calculations!$R$58:$R$65,0)),"")</f>
        <v/>
      </c>
      <c r="U51" s="69" t="str">
        <f>IFERROR(INDEX(Calculations!$L$2:$L$65,(8-1)*8+MATCH(8,Calculations!$R$58:$R$65,0)),"")</f>
        <v/>
      </c>
      <c r="V51" s="69" t="str">
        <f>IFERROR(INDEX(Calculations!$M$2:$M$65,(8-1)*8+MATCH(8,Calculations!$R$58:$R$65,0)),"")</f>
        <v/>
      </c>
      <c r="W51" s="69" t="str">
        <f>IFERROR(INDEX(Calculations!$N$2:$N$65,(8-1)*8+MATCH(8,Calculations!$R$58:$R$65,0)),"")</f>
        <v/>
      </c>
      <c r="X51" s="69" t="str">
        <f>IFERROR(INDEX(Calculations!$O$2:$O$65,(8-1)*8+MATCH(8,Calculations!$R$58:$R$65,0)),"")</f>
        <v/>
      </c>
      <c r="Y51" s="69" t="str">
        <f>IFERROR(INDEX(Calculations!$P$2:$P$65,(8-1)*8+MATCH(8,Calculations!$R$58:$R$65,0)),"")</f>
        <v/>
      </c>
    </row>
  </sheetData>
  <mergeCells count="9">
    <mergeCell ref="A1:Y1"/>
    <mergeCell ref="A3:L3"/>
    <mergeCell ref="A16:L16"/>
    <mergeCell ref="A29:L29"/>
    <mergeCell ref="A42:L42"/>
    <mergeCell ref="N3:Y3"/>
    <mergeCell ref="N16:Y16"/>
    <mergeCell ref="N29:Y29"/>
    <mergeCell ref="N42:Y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4"/>
  <sheetViews>
    <sheetView showGridLines="0" workbookViewId="0">
      <selection activeCell="F35" sqref="F35"/>
    </sheetView>
  </sheetViews>
  <sheetFormatPr defaultRowHeight="14.25"/>
  <cols>
    <col min="1" max="1" width="15" customWidth="1"/>
    <col min="2" max="2" width="11" customWidth="1"/>
    <col min="3" max="4" width="24" customWidth="1"/>
    <col min="5" max="14" width="8" customWidth="1"/>
    <col min="15" max="16" width="9" customWidth="1"/>
    <col min="17" max="17" width="24" customWidth="1"/>
    <col min="18" max="18" width="18" customWidth="1"/>
  </cols>
  <sheetData>
    <row r="1" spans="1:18" ht="24" customHeight="1">
      <c r="A1" s="122" t="s">
        <v>234</v>
      </c>
      <c r="B1" s="123"/>
      <c r="C1" s="123"/>
      <c r="D1" s="123"/>
      <c r="E1" s="123"/>
      <c r="F1" s="123"/>
      <c r="G1" s="123"/>
      <c r="H1" s="123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24" customHeight="1">
      <c r="A2" s="102" t="s">
        <v>218</v>
      </c>
      <c r="B2" s="103" t="str">
        <f>Setup!$B$3</f>
        <v>Set Score Tournament</v>
      </c>
      <c r="C2" s="102" t="s">
        <v>235</v>
      </c>
      <c r="D2" s="103" t="str">
        <f>Setup!$E$5</f>
        <v>Manual finals required</v>
      </c>
      <c r="E2" s="102" t="s">
        <v>236</v>
      </c>
      <c r="F2" s="103" t="str">
        <f>Setup!$B$7&amp;"-set maximum"</f>
        <v>-set maximum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18" ht="20.100000000000001" customHeight="1">
      <c r="A3" s="124" t="s">
        <v>237</v>
      </c>
      <c r="B3" s="125"/>
      <c r="C3" s="125"/>
      <c r="D3" s="125"/>
      <c r="E3" s="125"/>
      <c r="F3" s="125"/>
      <c r="G3" s="125"/>
      <c r="H3" s="125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8.1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</row>
    <row r="5" spans="1:18" ht="21.95" customHeight="1" thickBot="1">
      <c r="A5" s="128" t="s">
        <v>151</v>
      </c>
      <c r="B5" s="128" t="s">
        <v>150</v>
      </c>
      <c r="C5" s="128" t="s">
        <v>152</v>
      </c>
      <c r="D5" s="128" t="s">
        <v>153</v>
      </c>
      <c r="E5" s="104" t="s">
        <v>154</v>
      </c>
      <c r="F5" s="104" t="s">
        <v>155</v>
      </c>
      <c r="G5" s="104" t="s">
        <v>156</v>
      </c>
      <c r="H5" s="104" t="s">
        <v>157</v>
      </c>
      <c r="I5" s="104" t="s">
        <v>158</v>
      </c>
      <c r="J5" s="104" t="s">
        <v>159</v>
      </c>
      <c r="K5" s="104" t="s">
        <v>160</v>
      </c>
      <c r="L5" s="104" t="s">
        <v>161</v>
      </c>
      <c r="M5" s="104" t="s">
        <v>162</v>
      </c>
      <c r="N5" s="104" t="s">
        <v>163</v>
      </c>
      <c r="O5" s="104" t="s">
        <v>164</v>
      </c>
      <c r="P5" s="104" t="s">
        <v>165</v>
      </c>
      <c r="Q5" s="104" t="s">
        <v>167</v>
      </c>
      <c r="R5" s="104" t="s">
        <v>166</v>
      </c>
    </row>
    <row r="6" spans="1:18" ht="15" thickTop="1">
      <c r="A6" s="107" t="str">
        <f>IF(Setup!$E$4=16,"Round of 16","")</f>
        <v/>
      </c>
      <c r="B6" s="107" t="str">
        <f>IF(A6="","","R16 1")</f>
        <v/>
      </c>
      <c r="C6" s="107" t="str">
        <f>IF(A6="","",IFERROR(INDEX(Calculations!$E$2:$E$65,(1-1)*8+MATCH(1,Calculations!$R$2:$R$9,0)),""))</f>
        <v/>
      </c>
      <c r="D6" s="107" t="str">
        <f>IF(A6="","",IFERROR(INDEX(Calculations!$E$2:$E$65,(2-1)*8+MATCH(2,Calculations!$R$10:$R$17,0)),""))</f>
        <v/>
      </c>
      <c r="E6" s="129"/>
      <c r="F6" s="130"/>
      <c r="G6" s="129"/>
      <c r="H6" s="130"/>
      <c r="I6" s="129"/>
      <c r="J6" s="130"/>
      <c r="K6" s="129"/>
      <c r="L6" s="130"/>
      <c r="M6" s="129"/>
      <c r="N6" s="130"/>
      <c r="O6" s="105" t="str">
        <f t="shared" ref="O6:O13" si="0">IF(A6="","",IF(AND(ISNUMBER(E6),ISNUMBER(F6),E6&gt;F6),1,0)+IF(AND(ISNUMBER(G6),ISNUMBER(H6),G6&gt;H6),1,0)+IF(AND(ISNUMBER(I6),ISNUMBER(J6),I6&gt;J6),1,0)+IF(AND(ISNUMBER(K6),ISNUMBER(L6),K6&gt;L6),1,0)+IF(AND(ISNUMBER(M6),ISNUMBER(N6),M6&gt;N6),1,0))</f>
        <v/>
      </c>
      <c r="P6" s="105" t="str">
        <f t="shared" ref="P6:P13" si="1">IF(A6="","",IF(AND(ISNUMBER(E6),ISNUMBER(F6),F6&gt;E6),1,0)+IF(AND(ISNUMBER(G6),ISNUMBER(H6),H6&gt;G6),1,0)+IF(AND(ISNUMBER(I6),ISNUMBER(J6),J6&gt;I6),1,0)+IF(AND(ISNUMBER(K6),ISNUMBER(L6),L6&gt;K6),1,0)+IF(AND(ISNUMBER(M6),ISNUMBER(N6),N6&gt;M6),1,0))</f>
        <v/>
      </c>
      <c r="Q6" s="107" t="str">
        <f>IF(A6="","",IF(OR(O6&gt;=Setup!$B$8,P6&gt;=Setup!$B$8),IF(O6&gt;P6,C6,D6),""))</f>
        <v/>
      </c>
      <c r="R6" s="107" t="str">
        <f>IF(A6="","",IF(OR(C6="",D6=""),"Waiting for teams",IF(OR(O6&gt;=Setup!$B$8,P6&gt;=Setup!$B$8),"Complete","Waiting")))</f>
        <v/>
      </c>
    </row>
    <row r="7" spans="1:18">
      <c r="A7" s="107" t="str">
        <f>IF(Setup!$E$4=16,"Round of 16","")</f>
        <v/>
      </c>
      <c r="B7" s="107" t="str">
        <f>IF(A7="","","R16 2")</f>
        <v/>
      </c>
      <c r="C7" s="107" t="str">
        <f>IF(A7="","",IFERROR(INDEX(Calculations!$E$2:$E$65,(3-1)*8+MATCH(1,Calculations!$R$18:$R$25,0)),""))</f>
        <v/>
      </c>
      <c r="D7" s="107" t="str">
        <f>IF(A7="","",IFERROR(INDEX(Calculations!$E$2:$E$65,(4-1)*8+MATCH(2,Calculations!$R$26:$R$33,0)),""))</f>
        <v/>
      </c>
      <c r="E7" s="131"/>
      <c r="F7" s="132"/>
      <c r="G7" s="131"/>
      <c r="H7" s="132"/>
      <c r="I7" s="131"/>
      <c r="J7" s="132"/>
      <c r="K7" s="131"/>
      <c r="L7" s="132"/>
      <c r="M7" s="131"/>
      <c r="N7" s="132"/>
      <c r="O7" s="105" t="str">
        <f t="shared" si="0"/>
        <v/>
      </c>
      <c r="P7" s="105" t="str">
        <f t="shared" si="1"/>
        <v/>
      </c>
      <c r="Q7" s="107" t="str">
        <f>IF(A7="","",IF(OR(O7&gt;=Setup!$B$8,P7&gt;=Setup!$B$8),IF(O7&gt;P7,C7,D7),""))</f>
        <v/>
      </c>
      <c r="R7" s="107" t="str">
        <f>IF(A7="","",IF(OR(C7="",D7=""),"Waiting for teams",IF(OR(O7&gt;=Setup!$B$8,P7&gt;=Setup!$B$8),"Complete","Waiting")))</f>
        <v/>
      </c>
    </row>
    <row r="8" spans="1:18">
      <c r="A8" s="107" t="str">
        <f>IF(Setup!$E$4=16,"Round of 16","")</f>
        <v/>
      </c>
      <c r="B8" s="107" t="str">
        <f>IF(A8="","","R16 3")</f>
        <v/>
      </c>
      <c r="C8" s="107" t="str">
        <f>IF(A8="","",IFERROR(INDEX(Calculations!$E$2:$E$65,(2-1)*8+MATCH(1,Calculations!$R$10:$R$17,0)),""))</f>
        <v/>
      </c>
      <c r="D8" s="107" t="str">
        <f>IF(A8="","",IFERROR(INDEX(Calculations!$E$2:$E$65,(1-1)*8+MATCH(2,Calculations!$R$2:$R$9,0)),""))</f>
        <v/>
      </c>
      <c r="E8" s="131"/>
      <c r="F8" s="132"/>
      <c r="G8" s="131"/>
      <c r="H8" s="132"/>
      <c r="I8" s="131"/>
      <c r="J8" s="132"/>
      <c r="K8" s="131"/>
      <c r="L8" s="132"/>
      <c r="M8" s="131"/>
      <c r="N8" s="132"/>
      <c r="O8" s="105" t="str">
        <f t="shared" si="0"/>
        <v/>
      </c>
      <c r="P8" s="105" t="str">
        <f t="shared" si="1"/>
        <v/>
      </c>
      <c r="Q8" s="107" t="str">
        <f>IF(A8="","",IF(OR(O8&gt;=Setup!$B$8,P8&gt;=Setup!$B$8),IF(O8&gt;P8,C8,D8),""))</f>
        <v/>
      </c>
      <c r="R8" s="107" t="str">
        <f>IF(A8="","",IF(OR(C8="",D8=""),"Waiting for teams",IF(OR(O8&gt;=Setup!$B$8,P8&gt;=Setup!$B$8),"Complete","Waiting")))</f>
        <v/>
      </c>
    </row>
    <row r="9" spans="1:18">
      <c r="A9" s="107" t="str">
        <f>IF(Setup!$E$4=16,"Round of 16","")</f>
        <v/>
      </c>
      <c r="B9" s="107" t="str">
        <f>IF(A9="","","R16 4")</f>
        <v/>
      </c>
      <c r="C9" s="107" t="str">
        <f>IF(A9="","",IFERROR(INDEX(Calculations!$E$2:$E$65,(4-1)*8+MATCH(1,Calculations!$R$26:$R$33,0)),""))</f>
        <v/>
      </c>
      <c r="D9" s="107" t="str">
        <f>IF(A9="","",IFERROR(INDEX(Calculations!$E$2:$E$65,(3-1)*8+MATCH(2,Calculations!$R$18:$R$25,0)),""))</f>
        <v/>
      </c>
      <c r="E9" s="131"/>
      <c r="F9" s="132"/>
      <c r="G9" s="131"/>
      <c r="H9" s="132"/>
      <c r="I9" s="131"/>
      <c r="J9" s="132"/>
      <c r="K9" s="131"/>
      <c r="L9" s="132"/>
      <c r="M9" s="131"/>
      <c r="N9" s="132"/>
      <c r="O9" s="105" t="str">
        <f t="shared" si="0"/>
        <v/>
      </c>
      <c r="P9" s="105" t="str">
        <f t="shared" si="1"/>
        <v/>
      </c>
      <c r="Q9" s="107" t="str">
        <f>IF(A9="","",IF(OR(O9&gt;=Setup!$B$8,P9&gt;=Setup!$B$8),IF(O9&gt;P9,C9,D9),""))</f>
        <v/>
      </c>
      <c r="R9" s="107" t="str">
        <f>IF(A9="","",IF(OR(C9="",D9=""),"Waiting for teams",IF(OR(O9&gt;=Setup!$B$8,P9&gt;=Setup!$B$8),"Complete","Waiting")))</f>
        <v/>
      </c>
    </row>
    <row r="10" spans="1:18">
      <c r="A10" s="107" t="str">
        <f>IF(Setup!$E$4=16,"Round of 16","")</f>
        <v/>
      </c>
      <c r="B10" s="107" t="str">
        <f>IF(A10="","","R16 5")</f>
        <v/>
      </c>
      <c r="C10" s="107" t="str">
        <f>IF(A10="","",IFERROR(INDEX(Calculations!$E$2:$E$65,(5-1)*8+MATCH(1,Calculations!$R$34:$R$41,0)),""))</f>
        <v/>
      </c>
      <c r="D10" s="107" t="str">
        <f>IF(A10="","",IFERROR(INDEX(Calculations!$E$2:$E$65,(6-1)*8+MATCH(2,Calculations!$R$42:$R$49,0)),""))</f>
        <v/>
      </c>
      <c r="E10" s="131"/>
      <c r="F10" s="132"/>
      <c r="G10" s="131"/>
      <c r="H10" s="132"/>
      <c r="I10" s="131"/>
      <c r="J10" s="132"/>
      <c r="K10" s="131"/>
      <c r="L10" s="132"/>
      <c r="M10" s="131"/>
      <c r="N10" s="132"/>
      <c r="O10" s="105" t="str">
        <f t="shared" si="0"/>
        <v/>
      </c>
      <c r="P10" s="105" t="str">
        <f t="shared" si="1"/>
        <v/>
      </c>
      <c r="Q10" s="107" t="str">
        <f>IF(A10="","",IF(OR(O10&gt;=Setup!$B$8,P10&gt;=Setup!$B$8),IF(O10&gt;P10,C10,D10),""))</f>
        <v/>
      </c>
      <c r="R10" s="107" t="str">
        <f>IF(A10="","",IF(OR(C10="",D10=""),"Waiting for teams",IF(OR(O10&gt;=Setup!$B$8,P10&gt;=Setup!$B$8),"Complete","Waiting")))</f>
        <v/>
      </c>
    </row>
    <row r="11" spans="1:18">
      <c r="A11" s="107" t="str">
        <f>IF(Setup!$E$4=16,"Round of 16","")</f>
        <v/>
      </c>
      <c r="B11" s="107" t="str">
        <f>IF(A11="","","R16 6")</f>
        <v/>
      </c>
      <c r="C11" s="107" t="str">
        <f>IF(A11="","",IFERROR(INDEX(Calculations!$E$2:$E$65,(7-1)*8+MATCH(1,Calculations!$R$50:$R$57,0)),""))</f>
        <v/>
      </c>
      <c r="D11" s="107" t="str">
        <f>IF(A11="","",IFERROR(INDEX(Calculations!$E$2:$E$65,(8-1)*8+MATCH(2,Calculations!$R$58:$R$65,0)),""))</f>
        <v/>
      </c>
      <c r="E11" s="131"/>
      <c r="F11" s="132"/>
      <c r="G11" s="131"/>
      <c r="H11" s="132"/>
      <c r="I11" s="131"/>
      <c r="J11" s="132"/>
      <c r="K11" s="131"/>
      <c r="L11" s="132"/>
      <c r="M11" s="131"/>
      <c r="N11" s="132"/>
      <c r="O11" s="105" t="str">
        <f t="shared" si="0"/>
        <v/>
      </c>
      <c r="P11" s="105" t="str">
        <f t="shared" si="1"/>
        <v/>
      </c>
      <c r="Q11" s="107" t="str">
        <f>IF(A11="","",IF(OR(O11&gt;=Setup!$B$8,P11&gt;=Setup!$B$8),IF(O11&gt;P11,C11,D11),""))</f>
        <v/>
      </c>
      <c r="R11" s="107" t="str">
        <f>IF(A11="","",IF(OR(C11="",D11=""),"Waiting for teams",IF(OR(O11&gt;=Setup!$B$8,P11&gt;=Setup!$B$8),"Complete","Waiting")))</f>
        <v/>
      </c>
    </row>
    <row r="12" spans="1:18">
      <c r="A12" s="107" t="str">
        <f>IF(Setup!$E$4=16,"Round of 16","")</f>
        <v/>
      </c>
      <c r="B12" s="107" t="str">
        <f>IF(A12="","","R16 7")</f>
        <v/>
      </c>
      <c r="C12" s="107" t="str">
        <f>IF(A12="","",IFERROR(INDEX(Calculations!$E$2:$E$65,(6-1)*8+MATCH(1,Calculations!$R$42:$R$49,0)),""))</f>
        <v/>
      </c>
      <c r="D12" s="107" t="str">
        <f>IF(A12="","",IFERROR(INDEX(Calculations!$E$2:$E$65,(5-1)*8+MATCH(2,Calculations!$R$34:$R$41,0)),""))</f>
        <v/>
      </c>
      <c r="E12" s="131"/>
      <c r="F12" s="132"/>
      <c r="G12" s="131"/>
      <c r="H12" s="132"/>
      <c r="I12" s="131"/>
      <c r="J12" s="132"/>
      <c r="K12" s="131"/>
      <c r="L12" s="132"/>
      <c r="M12" s="131"/>
      <c r="N12" s="132"/>
      <c r="O12" s="105" t="str">
        <f t="shared" si="0"/>
        <v/>
      </c>
      <c r="P12" s="105" t="str">
        <f t="shared" si="1"/>
        <v/>
      </c>
      <c r="Q12" s="107" t="str">
        <f>IF(A12="","",IF(OR(O12&gt;=Setup!$B$8,P12&gt;=Setup!$B$8),IF(O12&gt;P12,C12,D12),""))</f>
        <v/>
      </c>
      <c r="R12" s="107" t="str">
        <f>IF(A12="","",IF(OR(C12="",D12=""),"Waiting for teams",IF(OR(O12&gt;=Setup!$B$8,P12&gt;=Setup!$B$8),"Complete","Waiting")))</f>
        <v/>
      </c>
    </row>
    <row r="13" spans="1:18" ht="15" thickBot="1">
      <c r="A13" s="107" t="str">
        <f>IF(Setup!$E$4=16,"Round of 16","")</f>
        <v/>
      </c>
      <c r="B13" s="107" t="str">
        <f>IF(A13="","","R16 8")</f>
        <v/>
      </c>
      <c r="C13" s="107" t="str">
        <f>IF(A13="","",IFERROR(INDEX(Calculations!$E$2:$E$65,(8-1)*8+MATCH(1,Calculations!$R$58:$R$65,0)),""))</f>
        <v/>
      </c>
      <c r="D13" s="107" t="str">
        <f>IF(A13="","",IFERROR(INDEX(Calculations!$E$2:$E$65,(7-1)*8+MATCH(2,Calculations!$R$50:$R$57,0)),""))</f>
        <v/>
      </c>
      <c r="E13" s="133"/>
      <c r="F13" s="134"/>
      <c r="G13" s="133"/>
      <c r="H13" s="134"/>
      <c r="I13" s="133"/>
      <c r="J13" s="134"/>
      <c r="K13" s="133"/>
      <c r="L13" s="134"/>
      <c r="M13" s="133"/>
      <c r="N13" s="134"/>
      <c r="O13" s="105" t="str">
        <f t="shared" si="0"/>
        <v/>
      </c>
      <c r="P13" s="105" t="str">
        <f t="shared" si="1"/>
        <v/>
      </c>
      <c r="Q13" s="107" t="str">
        <f>IF(A13="","",IF(OR(O13&gt;=Setup!$B$8,P13&gt;=Setup!$B$8),IF(O13&gt;P13,C13,D13),""))</f>
        <v/>
      </c>
      <c r="R13" s="107" t="str">
        <f>IF(A13="","",IF(OR(C13="",D13=""),"Waiting for teams",IF(OR(O13&gt;=Setup!$B$8,P13&gt;=Setup!$B$8),"Complete","Waiting")))</f>
        <v/>
      </c>
    </row>
    <row r="14" spans="1:18" ht="15" thickTop="1">
      <c r="A14" s="108"/>
      <c r="B14" s="108"/>
      <c r="C14" s="108"/>
      <c r="D14" s="108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8"/>
      <c r="R14" s="108"/>
    </row>
    <row r="15" spans="1:18" ht="15" thickBot="1">
      <c r="A15" s="108"/>
      <c r="B15" s="108"/>
      <c r="C15" s="108"/>
      <c r="D15" s="108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8"/>
      <c r="R15" s="108"/>
    </row>
    <row r="16" spans="1:18" ht="15" thickTop="1">
      <c r="A16" s="107" t="str">
        <f>IF(OR(Setup!$E$4=8,Setup!$E$4=16),"Quarter-final","")</f>
        <v/>
      </c>
      <c r="B16" s="107" t="str">
        <f>IF(A16="","","QF 1")</f>
        <v/>
      </c>
      <c r="C16" s="107" t="str">
        <f>IF(A16="","",IF(Setup!$E$4=16,IF(R6="Complete",Q6,"Winner R16 1"),IF(Setup!$B$5=4,IFERROR(INDEX(Calculations!$E$2:$E$65,(1-1)*8+MATCH(1,Calculations!$R$2:$R$9,0)),""),IF(Setup!$B$5=8,IFERROR(INDEX(Calculations!$E$2:$E$65,(1-1)*8+MATCH(1,Calculations!$R$2:$R$9,0)),""),IF(Setup!$B$5=2,IFERROR(INDEX(Calculations!$E$2:$E$65,(1-1)*8+MATCH(1,Calculations!$R$2:$R$9,0)),""),IFERROR(INDEX(Calculations!$E$2:$E$65,(1-1)*8+MATCH(1,Calculations!$R$2:$R$9,0)),""))))))</f>
        <v/>
      </c>
      <c r="D16" s="107" t="str">
        <f>IF(A16="","",IF(Setup!$E$4=16,IF(R7="Complete",Q7,"Winner R16 2"),IF(Setup!$B$5=4,IFERROR(INDEX(Calculations!$E$2:$E$65,(2-1)*8+MATCH(2,Calculations!$R$10:$R$17,0)),""),IF(Setup!$B$5=8,IFERROR(INDEX(Calculations!$E$2:$E$65,(2-1)*8+MATCH(1,Calculations!$R$10:$R$17,0)),""),IF(Setup!$B$5=2,IFERROR(INDEX(Calculations!$E$2:$E$65,(2-1)*8+MATCH(4,Calculations!$R$10:$R$17,0)),""),IFERROR(INDEX(Calculations!$E$2:$E$65,(1-1)*8+MATCH(8,Calculations!$R$2:$R$9,0)),""))))))</f>
        <v/>
      </c>
      <c r="E16" s="129"/>
      <c r="F16" s="130"/>
      <c r="G16" s="129"/>
      <c r="H16" s="130"/>
      <c r="I16" s="129"/>
      <c r="J16" s="130"/>
      <c r="K16" s="129"/>
      <c r="L16" s="130"/>
      <c r="M16" s="129"/>
      <c r="N16" s="130"/>
      <c r="O16" s="105" t="str">
        <f>IF(A16="","",IF(AND(ISNUMBER(E16),ISNUMBER(F16),E16&gt;F16),1,0)+IF(AND(ISNUMBER(G16),ISNUMBER(H16),G16&gt;H16),1,0)+IF(AND(ISNUMBER(I16),ISNUMBER(J16),I16&gt;J16),1,0)+IF(AND(ISNUMBER(K16),ISNUMBER(L16),K16&gt;L16),1,0)+IF(AND(ISNUMBER(M16),ISNUMBER(N16),M16&gt;N16),1,0))</f>
        <v/>
      </c>
      <c r="P16" s="105" t="str">
        <f>IF(A16="","",IF(AND(ISNUMBER(E16),ISNUMBER(F16),F16&gt;E16),1,0)+IF(AND(ISNUMBER(G16),ISNUMBER(H16),H16&gt;G16),1,0)+IF(AND(ISNUMBER(I16),ISNUMBER(J16),J16&gt;I16),1,0)+IF(AND(ISNUMBER(K16),ISNUMBER(L16),L16&gt;K16),1,0)+IF(AND(ISNUMBER(M16),ISNUMBER(N16),N16&gt;M16),1,0))</f>
        <v/>
      </c>
      <c r="Q16" s="107" t="str">
        <f>IF(A16="","",IF(OR(O16&gt;=Setup!$B$8,P16&gt;=Setup!$B$8),IF(O16&gt;P16,C16,D16),""))</f>
        <v/>
      </c>
      <c r="R16" s="107" t="str">
        <f>IF(A16="","",IF(OR(C16="",D16=""),"Waiting for teams",IF(OR(O16&gt;=Setup!$B$8,P16&gt;=Setup!$B$8),"Complete","Waiting")))</f>
        <v/>
      </c>
    </row>
    <row r="17" spans="1:18">
      <c r="A17" s="107" t="str">
        <f>IF(OR(Setup!$E$4=8,Setup!$E$4=16),"Quarter-final","")</f>
        <v/>
      </c>
      <c r="B17" s="107" t="str">
        <f>IF(A17="","","QF 2")</f>
        <v/>
      </c>
      <c r="C17" s="107" t="str">
        <f>IF(A17="","",IF(Setup!$E$4=16,IF(R8="Complete",Q8,"Winner R16 3"),IF(Setup!$B$5=4,IFERROR(INDEX(Calculations!$E$2:$E$65,(2-1)*8+MATCH(1,Calculations!$R$10:$R$17,0)),""),IF(Setup!$B$5=8,IFERROR(INDEX(Calculations!$E$2:$E$65,(3-1)*8+MATCH(1,Calculations!$R$18:$R$25,0)),""),IF(Setup!$B$5=2,IFERROR(INDEX(Calculations!$E$2:$E$65,(2-1)*8+MATCH(1,Calculations!$R$10:$R$17,0)),""),IFERROR(INDEX(Calculations!$E$2:$E$65,(1-1)*8+MATCH(4,Calculations!$R$2:$R$9,0)),""))))))</f>
        <v/>
      </c>
      <c r="D17" s="107" t="str">
        <f>IF(A17="","",IF(Setup!$E$4=16,IF(R9="Complete",Q9,"Winner R16 4"),IF(Setup!$B$5=4,IFERROR(INDEX(Calculations!$E$2:$E$65,(1-1)*8+MATCH(2,Calculations!$R$2:$R$9,0)),""),IF(Setup!$B$5=8,IFERROR(INDEX(Calculations!$E$2:$E$65,(4-1)*8+MATCH(1,Calculations!$R$26:$R$33,0)),""),IF(Setup!$B$5=2,IFERROR(INDEX(Calculations!$E$2:$E$65,(1-1)*8+MATCH(4,Calculations!$R$2:$R$9,0)),""),IFERROR(INDEX(Calculations!$E$2:$E$65,(1-1)*8+MATCH(5,Calculations!$R$2:$R$9,0)),""))))))</f>
        <v/>
      </c>
      <c r="E17" s="131"/>
      <c r="F17" s="132"/>
      <c r="G17" s="131"/>
      <c r="H17" s="132"/>
      <c r="I17" s="131"/>
      <c r="J17" s="132"/>
      <c r="K17" s="131"/>
      <c r="L17" s="132"/>
      <c r="M17" s="131"/>
      <c r="N17" s="132"/>
      <c r="O17" s="105" t="str">
        <f>IF(A17="","",IF(AND(ISNUMBER(E17),ISNUMBER(F17),E17&gt;F17),1,0)+IF(AND(ISNUMBER(G17),ISNUMBER(H17),G17&gt;H17),1,0)+IF(AND(ISNUMBER(I17),ISNUMBER(J17),I17&gt;J17),1,0)+IF(AND(ISNUMBER(K17),ISNUMBER(L17),K17&gt;L17),1,0)+IF(AND(ISNUMBER(M17),ISNUMBER(N17),M17&gt;N17),1,0))</f>
        <v/>
      </c>
      <c r="P17" s="105" t="str">
        <f>IF(A17="","",IF(AND(ISNUMBER(E17),ISNUMBER(F17),F17&gt;E17),1,0)+IF(AND(ISNUMBER(G17),ISNUMBER(H17),H17&gt;G17),1,0)+IF(AND(ISNUMBER(I17),ISNUMBER(J17),J17&gt;I17),1,0)+IF(AND(ISNUMBER(K17),ISNUMBER(L17),L17&gt;K17),1,0)+IF(AND(ISNUMBER(M17),ISNUMBER(N17),N17&gt;M17),1,0))</f>
        <v/>
      </c>
      <c r="Q17" s="107" t="str">
        <f>IF(A17="","",IF(OR(O17&gt;=Setup!$B$8,P17&gt;=Setup!$B$8),IF(O17&gt;P17,C17,D17),""))</f>
        <v/>
      </c>
      <c r="R17" s="107" t="str">
        <f>IF(A17="","",IF(OR(C17="",D17=""),"Waiting for teams",IF(OR(O17&gt;=Setup!$B$8,P17&gt;=Setup!$B$8),"Complete","Waiting")))</f>
        <v/>
      </c>
    </row>
    <row r="18" spans="1:18">
      <c r="A18" s="107" t="str">
        <f>IF(OR(Setup!$E$4=8,Setup!$E$4=16),"Quarter-final","")</f>
        <v/>
      </c>
      <c r="B18" s="107" t="str">
        <f>IF(A18="","","QF 3")</f>
        <v/>
      </c>
      <c r="C18" s="107" t="str">
        <f>IF(A18="","",IF(Setup!$E$4=16,IF(R10="Complete",Q10,"Winner R16 5"),IF(Setup!$B$5=4,IFERROR(INDEX(Calculations!$E$2:$E$65,(3-1)*8+MATCH(1,Calculations!$R$18:$R$25,0)),""),IF(Setup!$B$5=8,IFERROR(INDEX(Calculations!$E$2:$E$65,(5-1)*8+MATCH(1,Calculations!$R$34:$R$41,0)),""),IF(Setup!$B$5=2,IFERROR(INDEX(Calculations!$E$2:$E$65,(1-1)*8+MATCH(2,Calculations!$R$2:$R$9,0)),""),IFERROR(INDEX(Calculations!$E$2:$E$65,(1-1)*8+MATCH(2,Calculations!$R$2:$R$9,0)),""))))))</f>
        <v/>
      </c>
      <c r="D18" s="107" t="str">
        <f>IF(A18="","",IF(Setup!$E$4=16,IF(R11="Complete",Q11,"Winner R16 6"),IF(Setup!$B$5=4,IFERROR(INDEX(Calculations!$E$2:$E$65,(4-1)*8+MATCH(2,Calculations!$R$26:$R$33,0)),""),IF(Setup!$B$5=8,IFERROR(INDEX(Calculations!$E$2:$E$65,(6-1)*8+MATCH(1,Calculations!$R$42:$R$49,0)),""),IF(Setup!$B$5=2,IFERROR(INDEX(Calculations!$E$2:$E$65,(2-1)*8+MATCH(3,Calculations!$R$10:$R$17,0)),""),IFERROR(INDEX(Calculations!$E$2:$E$65,(1-1)*8+MATCH(7,Calculations!$R$2:$R$9,0)),""))))))</f>
        <v/>
      </c>
      <c r="E18" s="131"/>
      <c r="F18" s="132"/>
      <c r="G18" s="131"/>
      <c r="H18" s="132"/>
      <c r="I18" s="131"/>
      <c r="J18" s="132"/>
      <c r="K18" s="131"/>
      <c r="L18" s="132"/>
      <c r="M18" s="131"/>
      <c r="N18" s="132"/>
      <c r="O18" s="105" t="str">
        <f>IF(A18="","",IF(AND(ISNUMBER(E18),ISNUMBER(F18),E18&gt;F18),1,0)+IF(AND(ISNUMBER(G18),ISNUMBER(H18),G18&gt;H18),1,0)+IF(AND(ISNUMBER(I18),ISNUMBER(J18),I18&gt;J18),1,0)+IF(AND(ISNUMBER(K18),ISNUMBER(L18),K18&gt;L18),1,0)+IF(AND(ISNUMBER(M18),ISNUMBER(N18),M18&gt;N18),1,0))</f>
        <v/>
      </c>
      <c r="P18" s="105" t="str">
        <f>IF(A18="","",IF(AND(ISNUMBER(E18),ISNUMBER(F18),F18&gt;E18),1,0)+IF(AND(ISNUMBER(G18),ISNUMBER(H18),H18&gt;G18),1,0)+IF(AND(ISNUMBER(I18),ISNUMBER(J18),J18&gt;I18),1,0)+IF(AND(ISNUMBER(K18),ISNUMBER(L18),L18&gt;K18),1,0)+IF(AND(ISNUMBER(M18),ISNUMBER(N18),N18&gt;M18),1,0))</f>
        <v/>
      </c>
      <c r="Q18" s="107" t="str">
        <f>IF(A18="","",IF(OR(O18&gt;=Setup!$B$8,P18&gt;=Setup!$B$8),IF(O18&gt;P18,C18,D18),""))</f>
        <v/>
      </c>
      <c r="R18" s="107" t="str">
        <f>IF(A18="","",IF(OR(C18="",D18=""),"Waiting for teams",IF(OR(O18&gt;=Setup!$B$8,P18&gt;=Setup!$B$8),"Complete","Waiting")))</f>
        <v/>
      </c>
    </row>
    <row r="19" spans="1:18" ht="15" thickBot="1">
      <c r="A19" s="107" t="str">
        <f>IF(OR(Setup!$E$4=8,Setup!$E$4=16),"Quarter-final","")</f>
        <v/>
      </c>
      <c r="B19" s="107" t="str">
        <f>IF(A19="","","QF 4")</f>
        <v/>
      </c>
      <c r="C19" s="107" t="str">
        <f>IF(A19="","",IF(Setup!$E$4=16,IF(R12="Complete",Q12,"Winner R16 7"),IF(Setup!$B$5=4,IFERROR(INDEX(Calculations!$E$2:$E$65,(4-1)*8+MATCH(1,Calculations!$R$26:$R$33,0)),""),IF(Setup!$B$5=8,IFERROR(INDEX(Calculations!$E$2:$E$65,(7-1)*8+MATCH(1,Calculations!$R$50:$R$57,0)),""),IF(Setup!$B$5=2,IFERROR(INDEX(Calculations!$E$2:$E$65,(2-1)*8+MATCH(2,Calculations!$R$10:$R$17,0)),""),IFERROR(INDEX(Calculations!$E$2:$E$65,(1-1)*8+MATCH(3,Calculations!$R$2:$R$9,0)),""))))))</f>
        <v/>
      </c>
      <c r="D19" s="107" t="str">
        <f>IF(A19="","",IF(Setup!$E$4=16,IF(R13="Complete",Q13,"Winner R16 8"),IF(Setup!$B$5=4,IFERROR(INDEX(Calculations!$E$2:$E$65,(3-1)*8+MATCH(2,Calculations!$R$18:$R$25,0)),""),IF(Setup!$B$5=8,IFERROR(INDEX(Calculations!$E$2:$E$65,(8-1)*8+MATCH(1,Calculations!$R$58:$R$65,0)),""),IF(Setup!$B$5=2,IFERROR(INDEX(Calculations!$E$2:$E$65,(1-1)*8+MATCH(3,Calculations!$R$2:$R$9,0)),""),IFERROR(INDEX(Calculations!$E$2:$E$65,(1-1)*8+MATCH(6,Calculations!$R$2:$R$9,0)),""))))))</f>
        <v/>
      </c>
      <c r="E19" s="133"/>
      <c r="F19" s="134"/>
      <c r="G19" s="133"/>
      <c r="H19" s="134"/>
      <c r="I19" s="133"/>
      <c r="J19" s="134"/>
      <c r="K19" s="133"/>
      <c r="L19" s="134"/>
      <c r="M19" s="133"/>
      <c r="N19" s="134"/>
      <c r="O19" s="105" t="str">
        <f>IF(A19="","",IF(AND(ISNUMBER(E19),ISNUMBER(F19),E19&gt;F19),1,0)+IF(AND(ISNUMBER(G19),ISNUMBER(H19),G19&gt;H19),1,0)+IF(AND(ISNUMBER(I19),ISNUMBER(J19),I19&gt;J19),1,0)+IF(AND(ISNUMBER(K19),ISNUMBER(L19),K19&gt;L19),1,0)+IF(AND(ISNUMBER(M19),ISNUMBER(N19),M19&gt;N19),1,0))</f>
        <v/>
      </c>
      <c r="P19" s="105" t="str">
        <f>IF(A19="","",IF(AND(ISNUMBER(E19),ISNUMBER(F19),F19&gt;E19),1,0)+IF(AND(ISNUMBER(G19),ISNUMBER(H19),H19&gt;G19),1,0)+IF(AND(ISNUMBER(I19),ISNUMBER(J19),J19&gt;I19),1,0)+IF(AND(ISNUMBER(K19),ISNUMBER(L19),L19&gt;K19),1,0)+IF(AND(ISNUMBER(M19),ISNUMBER(N19),N19&gt;M19),1,0))</f>
        <v/>
      </c>
      <c r="Q19" s="107" t="str">
        <f>IF(A19="","",IF(OR(O19&gt;=Setup!$B$8,P19&gt;=Setup!$B$8),IF(O19&gt;P19,C19,D19),""))</f>
        <v/>
      </c>
      <c r="R19" s="107" t="str">
        <f>IF(A19="","",IF(OR(C19="",D19=""),"Waiting for teams",IF(OR(O19&gt;=Setup!$B$8,P19&gt;=Setup!$B$8),"Complete","Waiting")))</f>
        <v/>
      </c>
    </row>
    <row r="20" spans="1:18" ht="15" thickTop="1">
      <c r="A20" s="108"/>
      <c r="B20" s="108"/>
      <c r="C20" s="108"/>
      <c r="D20" s="108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8"/>
      <c r="R20" s="108"/>
    </row>
    <row r="21" spans="1:18" ht="15" thickBot="1">
      <c r="A21" s="108"/>
      <c r="B21" s="108"/>
      <c r="C21" s="108"/>
      <c r="D21" s="108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8"/>
      <c r="R21" s="108"/>
    </row>
    <row r="22" spans="1:18" ht="15" thickTop="1">
      <c r="A22" s="107" t="str">
        <f>IF(OR(Setup!$E$4=4,Setup!$E$4=8,Setup!$E$4=16),"Semi-final","")</f>
        <v/>
      </c>
      <c r="B22" s="107" t="str">
        <f>IF(A22="","","SF 1")</f>
        <v/>
      </c>
      <c r="C22" s="107" t="str">
        <f>IF(A22="","",IF(OR(Setup!$E$4=8,Setup!$E$4=16),IF($R16&lt;&gt;"Complete","Winner QF 1",$Q16),IF(Setup!$B$5=1,IFERROR(INDEX(Calculations!$E$2:$E$65,(1-1)*8+MATCH(1,Calculations!$R$2:$R$9,0)),""),IF(Setup!$B$5=2,IFERROR(INDEX(Calculations!$E$2:$E$65,(1-1)*8+MATCH(1,Calculations!$R$2:$R$9,0)),""),IFERROR(INDEX(Calculations!$E$2:$E$65,(1-1)*8+MATCH(1,Calculations!$R$2:$R$9,0)),"")))))</f>
        <v/>
      </c>
      <c r="D22" s="107" t="str">
        <f>IF(A22="","",IF(OR(Setup!$E$4=8,Setup!$E$4=16),IF($R17&lt;&gt;"Complete","Winner QF 2",$Q17),IF(Setup!$B$5=1,IFERROR(INDEX(Calculations!$E$2:$E$65,(1-1)*8+MATCH(4,Calculations!$R$2:$R$9,0)),""),IF(Setup!$B$5=2,IFERROR(INDEX(Calculations!$E$2:$E$65,(2-1)*8+MATCH(2,Calculations!$R$10:$R$17,0)),""),IFERROR(INDEX(Calculations!$E$2:$E$65,(2-1)*8+MATCH(1,Calculations!$R$10:$R$17,0)),"")))))</f>
        <v/>
      </c>
      <c r="E22" s="129"/>
      <c r="F22" s="130"/>
      <c r="G22" s="129"/>
      <c r="H22" s="130"/>
      <c r="I22" s="129"/>
      <c r="J22" s="130"/>
      <c r="K22" s="129"/>
      <c r="L22" s="130"/>
      <c r="M22" s="129"/>
      <c r="N22" s="130"/>
      <c r="O22" s="105" t="str">
        <f>IF(A22="","",IF(AND(ISNUMBER(E22),ISNUMBER(F22),E22&gt;F22),1,0)+IF(AND(ISNUMBER(G22),ISNUMBER(H22),G22&gt;H22),1,0)+IF(AND(ISNUMBER(I22),ISNUMBER(J22),I22&gt;J22),1,0)+IF(AND(ISNUMBER(K22),ISNUMBER(L22),K22&gt;L22),1,0)+IF(AND(ISNUMBER(M22),ISNUMBER(N22),M22&gt;N22),1,0))</f>
        <v/>
      </c>
      <c r="P22" s="105" t="str">
        <f>IF(A22="","",IF(AND(ISNUMBER(E22),ISNUMBER(F22),F22&gt;E22),1,0)+IF(AND(ISNUMBER(G22),ISNUMBER(H22),H22&gt;G22),1,0)+IF(AND(ISNUMBER(I22),ISNUMBER(J22),J22&gt;I22),1,0)+IF(AND(ISNUMBER(K22),ISNUMBER(L22),L22&gt;K22),1,0)+IF(AND(ISNUMBER(M22),ISNUMBER(N22),N22&gt;M22),1,0))</f>
        <v/>
      </c>
      <c r="Q22" s="107" t="str">
        <f>IF(A22="","",IF(OR(O22&gt;=Setup!$B$8,P22&gt;=Setup!$B$8),IF(O22&gt;P22,C22,D22),""))</f>
        <v/>
      </c>
      <c r="R22" s="107" t="str">
        <f>IF(A22="","",IF(OR(C22="",D22=""),"Waiting for teams",IF(OR(O22&gt;=Setup!$B$8,P22&gt;=Setup!$B$8),"Complete","Waiting")))</f>
        <v/>
      </c>
    </row>
    <row r="23" spans="1:18" ht="15" thickBot="1">
      <c r="A23" s="107" t="str">
        <f>IF(OR(Setup!$E$4=4,Setup!$E$4=8,Setup!$E$4=16),"Semi-final","")</f>
        <v/>
      </c>
      <c r="B23" s="107" t="str">
        <f>IF(A23="","","SF 2")</f>
        <v/>
      </c>
      <c r="C23" s="107" t="str">
        <f>IF(A23="","",IF(OR(Setup!$E$4=8,Setup!$E$4=16),IF($R18&lt;&gt;"Complete","Winner QF 3",$Q18),IF(Setup!$B$5=1,IFERROR(INDEX(Calculations!$E$2:$E$65,(1-1)*8+MATCH(2,Calculations!$R$2:$R$9,0)),""),IF(Setup!$B$5=2,IFERROR(INDEX(Calculations!$E$2:$E$65,(2-1)*8+MATCH(1,Calculations!$R$10:$R$17,0)),""),IFERROR(INDEX(Calculations!$E$2:$E$65,(3-1)*8+MATCH(1,Calculations!$R$18:$R$25,0)),"")))))</f>
        <v/>
      </c>
      <c r="D23" s="107" t="str">
        <f>IF(A23="","",IF(OR(Setup!$E$4=8,Setup!$E$4=16),IF($R19&lt;&gt;"Complete","Winner QF 4",$Q19),IF(Setup!$B$5=1,IFERROR(INDEX(Calculations!$E$2:$E$65,(1-1)*8+MATCH(3,Calculations!$R$2:$R$9,0)),""),IF(Setup!$B$5=2,IFERROR(INDEX(Calculations!$E$2:$E$65,(1-1)*8+MATCH(2,Calculations!$R$2:$R$9,0)),""),IFERROR(INDEX(Calculations!$E$2:$E$65,(4-1)*8+MATCH(1,Calculations!$R$26:$R$33,0)),"")))))</f>
        <v/>
      </c>
      <c r="E23" s="133"/>
      <c r="F23" s="134"/>
      <c r="G23" s="133"/>
      <c r="H23" s="134"/>
      <c r="I23" s="133"/>
      <c r="J23" s="134"/>
      <c r="K23" s="133"/>
      <c r="L23" s="134"/>
      <c r="M23" s="133"/>
      <c r="N23" s="134"/>
      <c r="O23" s="105" t="str">
        <f>IF(A23="","",IF(AND(ISNUMBER(E23),ISNUMBER(F23),E23&gt;F23),1,0)+IF(AND(ISNUMBER(G23),ISNUMBER(H23),G23&gt;H23),1,0)+IF(AND(ISNUMBER(I23),ISNUMBER(J23),I23&gt;J23),1,0)+IF(AND(ISNUMBER(K23),ISNUMBER(L23),K23&gt;L23),1,0)+IF(AND(ISNUMBER(M23),ISNUMBER(N23),M23&gt;N23),1,0))</f>
        <v/>
      </c>
      <c r="P23" s="105" t="str">
        <f>IF(A23="","",IF(AND(ISNUMBER(E23),ISNUMBER(F23),F23&gt;E23),1,0)+IF(AND(ISNUMBER(G23),ISNUMBER(H23),H23&gt;G23),1,0)+IF(AND(ISNUMBER(I23),ISNUMBER(J23),J23&gt;I23),1,0)+IF(AND(ISNUMBER(K23),ISNUMBER(L23),L23&gt;K23),1,0)+IF(AND(ISNUMBER(M23),ISNUMBER(N23),N23&gt;M23),1,0))</f>
        <v/>
      </c>
      <c r="Q23" s="107" t="str">
        <f>IF(A23="","",IF(OR(O23&gt;=Setup!$B$8,P23&gt;=Setup!$B$8),IF(O23&gt;P23,C23,D23),""))</f>
        <v/>
      </c>
      <c r="R23" s="107" t="str">
        <f>IF(A23="","",IF(OR(C23="",D23=""),"Waiting for teams",IF(OR(O23&gt;=Setup!$B$8,P23&gt;=Setup!$B$8),"Complete","Waiting")))</f>
        <v/>
      </c>
    </row>
    <row r="24" spans="1:18" ht="15" thickTop="1">
      <c r="A24" s="108"/>
      <c r="B24" s="108"/>
      <c r="C24" s="108"/>
      <c r="D24" s="108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8"/>
      <c r="R24" s="108"/>
    </row>
    <row r="25" spans="1:18" ht="15" thickBot="1">
      <c r="A25" s="108"/>
      <c r="B25" s="108"/>
      <c r="C25" s="108"/>
      <c r="D25" s="108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8"/>
      <c r="R25" s="108"/>
    </row>
    <row r="26" spans="1:18" ht="15.75" thickTop="1" thickBot="1">
      <c r="A26" s="107" t="str">
        <f>IF(OR(Setup!$E$4=2,Setup!$E$4=4,Setup!$E$4=8,Setup!$E$4=16),"Final","")</f>
        <v/>
      </c>
      <c r="B26" s="107" t="str">
        <f>IF(A26="","","Final")</f>
        <v/>
      </c>
      <c r="C26" s="107" t="str">
        <f>IF(A26="","",IF(Setup!$E$4=2,IF(Setup!$B$5=1,IFERROR(INDEX(Calculations!$E$2:$E$65,(1-1)*8+MATCH(1,Calculations!$R$2:$R$9,0)),""),IFERROR(INDEX(Calculations!$E$2:$E$65,(1-1)*8+MATCH(1,Calculations!$R$2:$R$9,0)),"")),IF($R22&lt;&gt;"Complete","Winner SF 1",$Q22)))</f>
        <v/>
      </c>
      <c r="D26" s="107" t="str">
        <f>IF(A26="","",IF(Setup!$E$4=2,IF(Setup!$B$5=1,IFERROR(INDEX(Calculations!$E$2:$E$65,(1-1)*8+MATCH(2,Calculations!$R$2:$R$9,0)),""),IFERROR(INDEX(Calculations!$E$2:$E$65,(2-1)*8+MATCH(1,Calculations!$R$10:$R$17,0)),"")),IF($R23&lt;&gt;"Complete","Winner SF 2",$Q23)))</f>
        <v/>
      </c>
      <c r="E26" s="135"/>
      <c r="F26" s="136"/>
      <c r="G26" s="135"/>
      <c r="H26" s="136"/>
      <c r="I26" s="135"/>
      <c r="J26" s="136"/>
      <c r="K26" s="135"/>
      <c r="L26" s="136"/>
      <c r="M26" s="135"/>
      <c r="N26" s="136"/>
      <c r="O26" s="105" t="str">
        <f>IF(A26="","",IF(AND(ISNUMBER(E26),ISNUMBER(F26),E26&gt;F26),1,0)+IF(AND(ISNUMBER(G26),ISNUMBER(H26),G26&gt;H26),1,0)+IF(AND(ISNUMBER(I26),ISNUMBER(J26),I26&gt;J26),1,0)+IF(AND(ISNUMBER(K26),ISNUMBER(L26),K26&gt;L26),1,0)+IF(AND(ISNUMBER(M26),ISNUMBER(N26),M26&gt;N26),1,0))</f>
        <v/>
      </c>
      <c r="P26" s="105" t="str">
        <f>IF(A26="","",IF(AND(ISNUMBER(E26),ISNUMBER(F26),F26&gt;E26),1,0)+IF(AND(ISNUMBER(G26),ISNUMBER(H26),H26&gt;G26),1,0)+IF(AND(ISNUMBER(I26),ISNUMBER(J26),J26&gt;I26),1,0)+IF(AND(ISNUMBER(K26),ISNUMBER(L26),L26&gt;K26),1,0)+IF(AND(ISNUMBER(M26),ISNUMBER(N26),N26&gt;M26),1,0))</f>
        <v/>
      </c>
      <c r="Q26" s="107" t="str">
        <f>IF(A26="","",IF(OR(O26&gt;=Setup!$B$8,P26&gt;=Setup!$B$8),IF(O26&gt;P26,C26,D26),""))</f>
        <v/>
      </c>
      <c r="R26" s="107" t="str">
        <f>IF(A26="","",IF(OR(C26="",D26=""),"Waiting for teams",IF(OR(O26&gt;=Setup!$B$8,P26&gt;=Setup!$B$8),"Complete","Waiting")))</f>
        <v/>
      </c>
    </row>
    <row r="27" spans="1:18" ht="15" thickTop="1">
      <c r="A27" s="108"/>
      <c r="B27" s="108"/>
      <c r="C27" s="108"/>
      <c r="D27" s="108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8"/>
      <c r="R27" s="108"/>
    </row>
    <row r="28" spans="1:18" ht="15" thickBot="1">
      <c r="A28" s="108"/>
      <c r="B28" s="108"/>
      <c r="C28" s="108"/>
      <c r="D28" s="108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8"/>
      <c r="R28" s="108"/>
    </row>
    <row r="29" spans="1:18" ht="15.75" thickTop="1" thickBot="1">
      <c r="A29" s="107" t="str">
        <f>IF(AND(Setup!$E$6="Yes",OR(Setup!$E$4=4,Setup!$E$4=8,Setup!$E$4=16)),"Third Place","")</f>
        <v/>
      </c>
      <c r="B29" s="107" t="str">
        <f>IF(A29="","","Third Place")</f>
        <v/>
      </c>
      <c r="C29" s="107" t="str">
        <f>IF(A29="","",IF($R22&lt;&gt;"Complete","Loser SF 1",IF($O22&lt;$P22,$C22,$D22)))</f>
        <v/>
      </c>
      <c r="D29" s="107" t="str">
        <f>IF(A29="","",IF($R23&lt;&gt;"Complete","Loser SF 2",IF($O23&lt;$P23,$C23,$D23)))</f>
        <v/>
      </c>
      <c r="E29" s="135"/>
      <c r="F29" s="136"/>
      <c r="G29" s="135"/>
      <c r="H29" s="136"/>
      <c r="I29" s="135"/>
      <c r="J29" s="136"/>
      <c r="K29" s="135"/>
      <c r="L29" s="136"/>
      <c r="M29" s="135"/>
      <c r="N29" s="136"/>
      <c r="O29" s="105" t="str">
        <f>IF(A29="","",IF(AND(ISNUMBER(E29),ISNUMBER(F29),E29&gt;F29),1,0)+IF(AND(ISNUMBER(G29),ISNUMBER(H29),G29&gt;H29),1,0)+IF(AND(ISNUMBER(I29),ISNUMBER(J29),I29&gt;J29),1,0)+IF(AND(ISNUMBER(K29),ISNUMBER(L29),K29&gt;L29),1,0)+IF(AND(ISNUMBER(M29),ISNUMBER(N29),M29&gt;N29),1,0))</f>
        <v/>
      </c>
      <c r="P29" s="105" t="str">
        <f>IF(A29="","",IF(AND(ISNUMBER(E29),ISNUMBER(F29),F29&gt;E29),1,0)+IF(AND(ISNUMBER(G29),ISNUMBER(H29),H29&gt;G29),1,0)+IF(AND(ISNUMBER(I29),ISNUMBER(J29),J29&gt;I29),1,0)+IF(AND(ISNUMBER(K29),ISNUMBER(L29),L29&gt;K29),1,0)+IF(AND(ISNUMBER(M29),ISNUMBER(N29),N29&gt;M29),1,0))</f>
        <v/>
      </c>
      <c r="Q29" s="107" t="str">
        <f>IF(A29="","",IF(OR(O29&gt;=Setup!$B$8,P29&gt;=Setup!$B$8),IF(O29&gt;P29,C29,D29),""))</f>
        <v/>
      </c>
      <c r="R29" s="107" t="str">
        <f>IF(A29="","",IF(OR(C29="",D29=""),"Waiting for teams",IF(OR(O29&gt;=Setup!$B$8,P29&gt;=Setup!$B$8),"Complete","Waiting")))</f>
        <v/>
      </c>
    </row>
    <row r="30" spans="1:18" ht="15" thickTop="1">
      <c r="A30" s="108"/>
      <c r="B30" s="108"/>
      <c r="C30" s="108"/>
      <c r="D30" s="108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8"/>
      <c r="R30" s="108"/>
    </row>
    <row r="31" spans="1:18">
      <c r="A31" s="108"/>
      <c r="B31" s="108"/>
      <c r="C31" s="108"/>
      <c r="D31" s="108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8"/>
      <c r="R31" s="108"/>
    </row>
    <row r="32" spans="1:18">
      <c r="A32" s="108"/>
      <c r="B32" s="108"/>
      <c r="C32" s="108"/>
      <c r="D32" s="108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8"/>
      <c r="R32" s="108"/>
    </row>
    <row r="33" spans="1:18">
      <c r="A33" s="108"/>
      <c r="B33" s="108"/>
      <c r="C33" s="108"/>
      <c r="D33" s="108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8"/>
      <c r="R33" s="108"/>
    </row>
    <row r="34" spans="1:18">
      <c r="A34" s="108"/>
      <c r="B34" s="108"/>
      <c r="C34" s="108"/>
      <c r="D34" s="108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8"/>
      <c r="R34" s="108"/>
    </row>
  </sheetData>
  <mergeCells count="3">
    <mergeCell ref="A1:H1"/>
    <mergeCell ref="A3:H3"/>
    <mergeCell ref="A5:D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700-000002000000}">
            <xm:f>Setup!$B$7=3</xm:f>
            <x14:dxf>
              <font>
                <color rgb="FFA6A6A6"/>
              </font>
              <fill>
                <patternFill>
                  <bgColor rgb="FFF2F2F2"/>
                </patternFill>
              </fill>
            </x14:dxf>
          </x14:cfRule>
          <x14:cfRule type="expression" priority="18" id="{00000000-000E-0000-0700-000012000000}">
            <xm:f>Setup!$B$7=3</xm:f>
            <x14:dxf>
              <font>
                <color rgb="FFA6A6A6"/>
              </font>
              <fill>
                <patternFill patternType="solid">
                  <bgColor rgb="FFF2F2F2"/>
                </patternFill>
              </fill>
            </x14:dxf>
          </x14:cfRule>
          <xm:sqref>K6:N13</xm:sqref>
        </x14:conditionalFormatting>
        <x14:conditionalFormatting xmlns:xm="http://schemas.microsoft.com/office/excel/2006/main">
          <x14:cfRule type="expression" priority="1" id="{00000000-000E-0000-0700-000001000000}">
            <xm:f>Setup!$B$7=3</xm:f>
            <x14:dxf>
              <font>
                <color rgb="FFBFBFBF"/>
              </font>
              <fill>
                <patternFill>
                  <bgColor rgb="FFF2F2F2"/>
                </patternFill>
              </fill>
            </x14:dxf>
          </x14:cfRule>
          <xm:sqref>K6:N29</xm:sqref>
        </x14:conditionalFormatting>
        <x14:conditionalFormatting xmlns:xm="http://schemas.microsoft.com/office/excel/2006/main">
          <x14:cfRule type="expression" priority="10" id="{00000000-000E-0000-0700-00000A000000}">
            <xm:f>Setup!$B$7=3</xm:f>
            <x14:dxf>
              <font>
                <color rgb="FFA6A6A6"/>
              </font>
              <fill>
                <patternFill>
                  <bgColor rgb="FFF2F2F2"/>
                </patternFill>
              </fill>
            </x14:dxf>
          </x14:cfRule>
          <x14:cfRule type="expression" priority="26" id="{00000000-000E-0000-0700-00001A000000}">
            <xm:f>Setup!$B$7=3</xm:f>
            <x14:dxf>
              <font>
                <color rgb="FFA6A6A6"/>
              </font>
              <fill>
                <patternFill patternType="solid">
                  <bgColor rgb="FFF2F2F2"/>
                </patternFill>
              </fill>
            </x14:dxf>
          </x14:cfRule>
          <xm:sqref>K16:N19</xm:sqref>
        </x14:conditionalFormatting>
        <x14:conditionalFormatting xmlns:xm="http://schemas.microsoft.com/office/excel/2006/main">
          <x14:cfRule type="expression" priority="30" id="{00000000-000E-0000-0700-00001E000000}">
            <xm:f>Setup!$B$7=3</xm:f>
            <x14:dxf>
              <font>
                <color rgb="FFA6A6A6"/>
              </font>
              <fill>
                <patternFill patternType="solid">
                  <bgColor rgb="FFF2F2F2"/>
                </patternFill>
              </fill>
            </x14:dxf>
          </x14:cfRule>
          <x14:cfRule type="expression" priority="14" id="{00000000-000E-0000-0700-00000E000000}">
            <xm:f>Setup!$B$7=3</xm:f>
            <x14:dxf>
              <font>
                <color rgb="FFA6A6A6"/>
              </font>
              <fill>
                <patternFill>
                  <bgColor rgb="FFF2F2F2"/>
                </patternFill>
              </fill>
            </x14:dxf>
          </x14:cfRule>
          <xm:sqref>K22:N23</xm:sqref>
        </x14:conditionalFormatting>
        <x14:conditionalFormatting xmlns:xm="http://schemas.microsoft.com/office/excel/2006/main">
          <x14:cfRule type="expression" priority="32" id="{00000000-000E-0000-0700-000020000000}">
            <xm:f>Setup!$B$7=3</xm:f>
            <x14:dxf>
              <font>
                <color rgb="FFA6A6A6"/>
              </font>
              <fill>
                <patternFill patternType="solid">
                  <bgColor rgb="FFF2F2F2"/>
                </patternFill>
              </fill>
            </x14:dxf>
          </x14:cfRule>
          <x14:cfRule type="expression" priority="16" id="{00000000-000E-0000-0700-000010000000}">
            <xm:f>Setup!$B$7=3</xm:f>
            <x14:dxf>
              <font>
                <color rgb="FFA6A6A6"/>
              </font>
              <fill>
                <patternFill>
                  <bgColor rgb="FFF2F2F2"/>
                </patternFill>
              </fill>
            </x14:dxf>
          </x14:cfRule>
          <xm:sqref>K26:N26</xm:sqref>
        </x14:conditionalFormatting>
        <x14:conditionalFormatting xmlns:xm="http://schemas.microsoft.com/office/excel/2006/main">
          <x14:cfRule type="expression" priority="33" id="{00000000-000E-0000-0700-000021000000}">
            <xm:f>Setup!$B$7=3</xm:f>
            <x14:dxf>
              <font>
                <color rgb="FFA6A6A6"/>
              </font>
              <fill>
                <patternFill patternType="solid">
                  <bgColor rgb="FFF2F2F2"/>
                </patternFill>
              </fill>
            </x14:dxf>
          </x14:cfRule>
          <x14:cfRule type="expression" priority="17" id="{00000000-000E-0000-0700-000011000000}">
            <xm:f>Setup!$B$7=3</xm:f>
            <x14:dxf>
              <font>
                <color rgb="FFA6A6A6"/>
              </font>
              <fill>
                <patternFill>
                  <bgColor rgb="FFF2F2F2"/>
                </patternFill>
              </fill>
            </x14:dxf>
          </x14:cfRule>
          <xm:sqref>K29:N29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5"/>
  <sheetViews>
    <sheetView showGridLines="0" workbookViewId="0"/>
  </sheetViews>
  <sheetFormatPr defaultRowHeight="14.25"/>
  <sheetData>
    <row r="1" spans="1:6" ht="24" customHeight="1">
      <c r="A1" t="s">
        <v>49</v>
      </c>
      <c r="B1" t="s">
        <v>214</v>
      </c>
      <c r="C1" t="s">
        <v>151</v>
      </c>
      <c r="D1" t="s">
        <v>169</v>
      </c>
      <c r="E1" t="s">
        <v>170</v>
      </c>
      <c r="F1" t="s">
        <v>215</v>
      </c>
    </row>
    <row r="2" spans="1:6">
      <c r="A2">
        <v>2</v>
      </c>
      <c r="B2">
        <v>1</v>
      </c>
      <c r="C2">
        <v>1</v>
      </c>
      <c r="D2">
        <v>1</v>
      </c>
      <c r="E2">
        <v>2</v>
      </c>
      <c r="F2">
        <v>201</v>
      </c>
    </row>
    <row r="3" spans="1:6">
      <c r="A3">
        <v>3</v>
      </c>
      <c r="B3">
        <v>1</v>
      </c>
      <c r="C3">
        <v>1</v>
      </c>
      <c r="D3">
        <v>2</v>
      </c>
      <c r="E3">
        <v>3</v>
      </c>
      <c r="F3">
        <v>301</v>
      </c>
    </row>
    <row r="4" spans="1:6">
      <c r="A4">
        <v>3</v>
      </c>
      <c r="B4">
        <v>2</v>
      </c>
      <c r="C4">
        <v>2</v>
      </c>
      <c r="D4">
        <v>1</v>
      </c>
      <c r="E4">
        <v>3</v>
      </c>
      <c r="F4">
        <v>302</v>
      </c>
    </row>
    <row r="5" spans="1:6">
      <c r="A5">
        <v>3</v>
      </c>
      <c r="B5">
        <v>3</v>
      </c>
      <c r="C5">
        <v>3</v>
      </c>
      <c r="D5">
        <v>1</v>
      </c>
      <c r="E5">
        <v>2</v>
      </c>
      <c r="F5">
        <v>303</v>
      </c>
    </row>
    <row r="6" spans="1:6">
      <c r="A6">
        <v>4</v>
      </c>
      <c r="B6">
        <v>1</v>
      </c>
      <c r="C6">
        <v>1</v>
      </c>
      <c r="D6">
        <v>1</v>
      </c>
      <c r="E6">
        <v>4</v>
      </c>
      <c r="F6">
        <v>401</v>
      </c>
    </row>
    <row r="7" spans="1:6">
      <c r="A7">
        <v>4</v>
      </c>
      <c r="B7">
        <v>2</v>
      </c>
      <c r="C7">
        <v>1</v>
      </c>
      <c r="D7">
        <v>2</v>
      </c>
      <c r="E7">
        <v>3</v>
      </c>
      <c r="F7">
        <v>402</v>
      </c>
    </row>
    <row r="8" spans="1:6">
      <c r="A8">
        <v>4</v>
      </c>
      <c r="B8">
        <v>3</v>
      </c>
      <c r="C8">
        <v>2</v>
      </c>
      <c r="D8">
        <v>1</v>
      </c>
      <c r="E8">
        <v>3</v>
      </c>
      <c r="F8">
        <v>403</v>
      </c>
    </row>
    <row r="9" spans="1:6">
      <c r="A9">
        <v>4</v>
      </c>
      <c r="B9">
        <v>4</v>
      </c>
      <c r="C9">
        <v>2</v>
      </c>
      <c r="D9">
        <v>4</v>
      </c>
      <c r="E9">
        <v>2</v>
      </c>
      <c r="F9">
        <v>404</v>
      </c>
    </row>
    <row r="10" spans="1:6">
      <c r="A10">
        <v>4</v>
      </c>
      <c r="B10">
        <v>5</v>
      </c>
      <c r="C10">
        <v>3</v>
      </c>
      <c r="D10">
        <v>1</v>
      </c>
      <c r="E10">
        <v>2</v>
      </c>
      <c r="F10">
        <v>405</v>
      </c>
    </row>
    <row r="11" spans="1:6">
      <c r="A11">
        <v>4</v>
      </c>
      <c r="B11">
        <v>6</v>
      </c>
      <c r="C11">
        <v>3</v>
      </c>
      <c r="D11">
        <v>3</v>
      </c>
      <c r="E11">
        <v>4</v>
      </c>
      <c r="F11">
        <v>406</v>
      </c>
    </row>
    <row r="12" spans="1:6">
      <c r="A12">
        <v>5</v>
      </c>
      <c r="B12">
        <v>1</v>
      </c>
      <c r="C12">
        <v>1</v>
      </c>
      <c r="D12">
        <v>2</v>
      </c>
      <c r="E12">
        <v>5</v>
      </c>
      <c r="F12">
        <v>501</v>
      </c>
    </row>
    <row r="13" spans="1:6">
      <c r="A13">
        <v>5</v>
      </c>
      <c r="B13">
        <v>2</v>
      </c>
      <c r="C13">
        <v>1</v>
      </c>
      <c r="D13">
        <v>3</v>
      </c>
      <c r="E13">
        <v>4</v>
      </c>
      <c r="F13">
        <v>502</v>
      </c>
    </row>
    <row r="14" spans="1:6">
      <c r="A14">
        <v>5</v>
      </c>
      <c r="B14">
        <v>3</v>
      </c>
      <c r="C14">
        <v>2</v>
      </c>
      <c r="D14">
        <v>1</v>
      </c>
      <c r="E14">
        <v>5</v>
      </c>
      <c r="F14">
        <v>503</v>
      </c>
    </row>
    <row r="15" spans="1:6">
      <c r="A15">
        <v>5</v>
      </c>
      <c r="B15">
        <v>4</v>
      </c>
      <c r="C15">
        <v>2</v>
      </c>
      <c r="D15">
        <v>2</v>
      </c>
      <c r="E15">
        <v>3</v>
      </c>
      <c r="F15">
        <v>504</v>
      </c>
    </row>
    <row r="16" spans="1:6">
      <c r="A16">
        <v>5</v>
      </c>
      <c r="B16">
        <v>5</v>
      </c>
      <c r="C16">
        <v>3</v>
      </c>
      <c r="D16">
        <v>1</v>
      </c>
      <c r="E16">
        <v>4</v>
      </c>
      <c r="F16">
        <v>505</v>
      </c>
    </row>
    <row r="17" spans="1:6">
      <c r="A17">
        <v>5</v>
      </c>
      <c r="B17">
        <v>6</v>
      </c>
      <c r="C17">
        <v>3</v>
      </c>
      <c r="D17">
        <v>5</v>
      </c>
      <c r="E17">
        <v>3</v>
      </c>
      <c r="F17">
        <v>506</v>
      </c>
    </row>
    <row r="18" spans="1:6">
      <c r="A18">
        <v>5</v>
      </c>
      <c r="B18">
        <v>7</v>
      </c>
      <c r="C18">
        <v>4</v>
      </c>
      <c r="D18">
        <v>1</v>
      </c>
      <c r="E18">
        <v>3</v>
      </c>
      <c r="F18">
        <v>507</v>
      </c>
    </row>
    <row r="19" spans="1:6">
      <c r="A19">
        <v>5</v>
      </c>
      <c r="B19">
        <v>8</v>
      </c>
      <c r="C19">
        <v>4</v>
      </c>
      <c r="D19">
        <v>4</v>
      </c>
      <c r="E19">
        <v>2</v>
      </c>
      <c r="F19">
        <v>508</v>
      </c>
    </row>
    <row r="20" spans="1:6">
      <c r="A20">
        <v>5</v>
      </c>
      <c r="B20">
        <v>9</v>
      </c>
      <c r="C20">
        <v>5</v>
      </c>
      <c r="D20">
        <v>1</v>
      </c>
      <c r="E20">
        <v>2</v>
      </c>
      <c r="F20">
        <v>509</v>
      </c>
    </row>
    <row r="21" spans="1:6">
      <c r="A21">
        <v>5</v>
      </c>
      <c r="B21">
        <v>10</v>
      </c>
      <c r="C21">
        <v>5</v>
      </c>
      <c r="D21">
        <v>4</v>
      </c>
      <c r="E21">
        <v>5</v>
      </c>
      <c r="F21">
        <v>510</v>
      </c>
    </row>
    <row r="22" spans="1:6">
      <c r="A22">
        <v>6</v>
      </c>
      <c r="B22">
        <v>1</v>
      </c>
      <c r="C22">
        <v>1</v>
      </c>
      <c r="D22">
        <v>1</v>
      </c>
      <c r="E22">
        <v>6</v>
      </c>
      <c r="F22">
        <v>601</v>
      </c>
    </row>
    <row r="23" spans="1:6">
      <c r="A23">
        <v>6</v>
      </c>
      <c r="B23">
        <v>2</v>
      </c>
      <c r="C23">
        <v>1</v>
      </c>
      <c r="D23">
        <v>2</v>
      </c>
      <c r="E23">
        <v>5</v>
      </c>
      <c r="F23">
        <v>602</v>
      </c>
    </row>
    <row r="24" spans="1:6">
      <c r="A24">
        <v>6</v>
      </c>
      <c r="B24">
        <v>3</v>
      </c>
      <c r="C24">
        <v>1</v>
      </c>
      <c r="D24">
        <v>3</v>
      </c>
      <c r="E24">
        <v>4</v>
      </c>
      <c r="F24">
        <v>603</v>
      </c>
    </row>
    <row r="25" spans="1:6">
      <c r="A25">
        <v>6</v>
      </c>
      <c r="B25">
        <v>4</v>
      </c>
      <c r="C25">
        <v>2</v>
      </c>
      <c r="D25">
        <v>1</v>
      </c>
      <c r="E25">
        <v>5</v>
      </c>
      <c r="F25">
        <v>604</v>
      </c>
    </row>
    <row r="26" spans="1:6">
      <c r="A26">
        <v>6</v>
      </c>
      <c r="B26">
        <v>5</v>
      </c>
      <c r="C26">
        <v>2</v>
      </c>
      <c r="D26">
        <v>6</v>
      </c>
      <c r="E26">
        <v>4</v>
      </c>
      <c r="F26">
        <v>605</v>
      </c>
    </row>
    <row r="27" spans="1:6">
      <c r="A27">
        <v>6</v>
      </c>
      <c r="B27">
        <v>6</v>
      </c>
      <c r="C27">
        <v>2</v>
      </c>
      <c r="D27">
        <v>2</v>
      </c>
      <c r="E27">
        <v>3</v>
      </c>
      <c r="F27">
        <v>606</v>
      </c>
    </row>
    <row r="28" spans="1:6">
      <c r="A28">
        <v>6</v>
      </c>
      <c r="B28">
        <v>7</v>
      </c>
      <c r="C28">
        <v>3</v>
      </c>
      <c r="D28">
        <v>1</v>
      </c>
      <c r="E28">
        <v>4</v>
      </c>
      <c r="F28">
        <v>607</v>
      </c>
    </row>
    <row r="29" spans="1:6">
      <c r="A29">
        <v>6</v>
      </c>
      <c r="B29">
        <v>8</v>
      </c>
      <c r="C29">
        <v>3</v>
      </c>
      <c r="D29">
        <v>5</v>
      </c>
      <c r="E29">
        <v>3</v>
      </c>
      <c r="F29">
        <v>608</v>
      </c>
    </row>
    <row r="30" spans="1:6">
      <c r="A30">
        <v>6</v>
      </c>
      <c r="B30">
        <v>9</v>
      </c>
      <c r="C30">
        <v>3</v>
      </c>
      <c r="D30">
        <v>6</v>
      </c>
      <c r="E30">
        <v>2</v>
      </c>
      <c r="F30">
        <v>609</v>
      </c>
    </row>
    <row r="31" spans="1:6">
      <c r="A31">
        <v>6</v>
      </c>
      <c r="B31">
        <v>10</v>
      </c>
      <c r="C31">
        <v>4</v>
      </c>
      <c r="D31">
        <v>1</v>
      </c>
      <c r="E31">
        <v>3</v>
      </c>
      <c r="F31">
        <v>610</v>
      </c>
    </row>
    <row r="32" spans="1:6">
      <c r="A32">
        <v>6</v>
      </c>
      <c r="B32">
        <v>11</v>
      </c>
      <c r="C32">
        <v>4</v>
      </c>
      <c r="D32">
        <v>4</v>
      </c>
      <c r="E32">
        <v>2</v>
      </c>
      <c r="F32">
        <v>611</v>
      </c>
    </row>
    <row r="33" spans="1:6">
      <c r="A33">
        <v>6</v>
      </c>
      <c r="B33">
        <v>12</v>
      </c>
      <c r="C33">
        <v>4</v>
      </c>
      <c r="D33">
        <v>5</v>
      </c>
      <c r="E33">
        <v>6</v>
      </c>
      <c r="F33">
        <v>612</v>
      </c>
    </row>
    <row r="34" spans="1:6">
      <c r="A34">
        <v>6</v>
      </c>
      <c r="B34">
        <v>13</v>
      </c>
      <c r="C34">
        <v>5</v>
      </c>
      <c r="D34">
        <v>1</v>
      </c>
      <c r="E34">
        <v>2</v>
      </c>
      <c r="F34">
        <v>613</v>
      </c>
    </row>
    <row r="35" spans="1:6">
      <c r="A35">
        <v>6</v>
      </c>
      <c r="B35">
        <v>14</v>
      </c>
      <c r="C35">
        <v>5</v>
      </c>
      <c r="D35">
        <v>3</v>
      </c>
      <c r="E35">
        <v>6</v>
      </c>
      <c r="F35">
        <v>614</v>
      </c>
    </row>
    <row r="36" spans="1:6">
      <c r="A36">
        <v>6</v>
      </c>
      <c r="B36">
        <v>15</v>
      </c>
      <c r="C36">
        <v>5</v>
      </c>
      <c r="D36">
        <v>4</v>
      </c>
      <c r="E36">
        <v>5</v>
      </c>
      <c r="F36">
        <v>615</v>
      </c>
    </row>
    <row r="37" spans="1:6">
      <c r="A37">
        <v>7</v>
      </c>
      <c r="B37">
        <v>1</v>
      </c>
      <c r="C37">
        <v>1</v>
      </c>
      <c r="D37">
        <v>2</v>
      </c>
      <c r="E37">
        <v>7</v>
      </c>
      <c r="F37">
        <v>701</v>
      </c>
    </row>
    <row r="38" spans="1:6">
      <c r="A38">
        <v>7</v>
      </c>
      <c r="B38">
        <v>2</v>
      </c>
      <c r="C38">
        <v>1</v>
      </c>
      <c r="D38">
        <v>3</v>
      </c>
      <c r="E38">
        <v>6</v>
      </c>
      <c r="F38">
        <v>702</v>
      </c>
    </row>
    <row r="39" spans="1:6">
      <c r="A39">
        <v>7</v>
      </c>
      <c r="B39">
        <v>3</v>
      </c>
      <c r="C39">
        <v>1</v>
      </c>
      <c r="D39">
        <v>4</v>
      </c>
      <c r="E39">
        <v>5</v>
      </c>
      <c r="F39">
        <v>703</v>
      </c>
    </row>
    <row r="40" spans="1:6">
      <c r="A40">
        <v>7</v>
      </c>
      <c r="B40">
        <v>4</v>
      </c>
      <c r="C40">
        <v>2</v>
      </c>
      <c r="D40">
        <v>1</v>
      </c>
      <c r="E40">
        <v>7</v>
      </c>
      <c r="F40">
        <v>704</v>
      </c>
    </row>
    <row r="41" spans="1:6">
      <c r="A41">
        <v>7</v>
      </c>
      <c r="B41">
        <v>5</v>
      </c>
      <c r="C41">
        <v>2</v>
      </c>
      <c r="D41">
        <v>2</v>
      </c>
      <c r="E41">
        <v>5</v>
      </c>
      <c r="F41">
        <v>705</v>
      </c>
    </row>
    <row r="42" spans="1:6">
      <c r="A42">
        <v>7</v>
      </c>
      <c r="B42">
        <v>6</v>
      </c>
      <c r="C42">
        <v>2</v>
      </c>
      <c r="D42">
        <v>3</v>
      </c>
      <c r="E42">
        <v>4</v>
      </c>
      <c r="F42">
        <v>706</v>
      </c>
    </row>
    <row r="43" spans="1:6">
      <c r="A43">
        <v>7</v>
      </c>
      <c r="B43">
        <v>7</v>
      </c>
      <c r="C43">
        <v>3</v>
      </c>
      <c r="D43">
        <v>1</v>
      </c>
      <c r="E43">
        <v>6</v>
      </c>
      <c r="F43">
        <v>707</v>
      </c>
    </row>
    <row r="44" spans="1:6">
      <c r="A44">
        <v>7</v>
      </c>
      <c r="B44">
        <v>8</v>
      </c>
      <c r="C44">
        <v>3</v>
      </c>
      <c r="D44">
        <v>7</v>
      </c>
      <c r="E44">
        <v>5</v>
      </c>
      <c r="F44">
        <v>708</v>
      </c>
    </row>
    <row r="45" spans="1:6">
      <c r="A45">
        <v>7</v>
      </c>
      <c r="B45">
        <v>9</v>
      </c>
      <c r="C45">
        <v>3</v>
      </c>
      <c r="D45">
        <v>2</v>
      </c>
      <c r="E45">
        <v>3</v>
      </c>
      <c r="F45">
        <v>709</v>
      </c>
    </row>
    <row r="46" spans="1:6">
      <c r="A46">
        <v>7</v>
      </c>
      <c r="B46">
        <v>10</v>
      </c>
      <c r="C46">
        <v>4</v>
      </c>
      <c r="D46">
        <v>1</v>
      </c>
      <c r="E46">
        <v>5</v>
      </c>
      <c r="F46">
        <v>710</v>
      </c>
    </row>
    <row r="47" spans="1:6">
      <c r="A47">
        <v>7</v>
      </c>
      <c r="B47">
        <v>11</v>
      </c>
      <c r="C47">
        <v>4</v>
      </c>
      <c r="D47">
        <v>6</v>
      </c>
      <c r="E47">
        <v>4</v>
      </c>
      <c r="F47">
        <v>711</v>
      </c>
    </row>
    <row r="48" spans="1:6">
      <c r="A48">
        <v>7</v>
      </c>
      <c r="B48">
        <v>12</v>
      </c>
      <c r="C48">
        <v>4</v>
      </c>
      <c r="D48">
        <v>7</v>
      </c>
      <c r="E48">
        <v>3</v>
      </c>
      <c r="F48">
        <v>712</v>
      </c>
    </row>
    <row r="49" spans="1:6">
      <c r="A49">
        <v>7</v>
      </c>
      <c r="B49">
        <v>13</v>
      </c>
      <c r="C49">
        <v>5</v>
      </c>
      <c r="D49">
        <v>1</v>
      </c>
      <c r="E49">
        <v>4</v>
      </c>
      <c r="F49">
        <v>713</v>
      </c>
    </row>
    <row r="50" spans="1:6">
      <c r="A50">
        <v>7</v>
      </c>
      <c r="B50">
        <v>14</v>
      </c>
      <c r="C50">
        <v>5</v>
      </c>
      <c r="D50">
        <v>5</v>
      </c>
      <c r="E50">
        <v>3</v>
      </c>
      <c r="F50">
        <v>714</v>
      </c>
    </row>
    <row r="51" spans="1:6">
      <c r="A51">
        <v>7</v>
      </c>
      <c r="B51">
        <v>15</v>
      </c>
      <c r="C51">
        <v>5</v>
      </c>
      <c r="D51">
        <v>6</v>
      </c>
      <c r="E51">
        <v>2</v>
      </c>
      <c r="F51">
        <v>715</v>
      </c>
    </row>
    <row r="52" spans="1:6">
      <c r="A52">
        <v>7</v>
      </c>
      <c r="B52">
        <v>16</v>
      </c>
      <c r="C52">
        <v>6</v>
      </c>
      <c r="D52">
        <v>1</v>
      </c>
      <c r="E52">
        <v>3</v>
      </c>
      <c r="F52">
        <v>716</v>
      </c>
    </row>
    <row r="53" spans="1:6">
      <c r="A53">
        <v>7</v>
      </c>
      <c r="B53">
        <v>17</v>
      </c>
      <c r="C53">
        <v>6</v>
      </c>
      <c r="D53">
        <v>4</v>
      </c>
      <c r="E53">
        <v>2</v>
      </c>
      <c r="F53">
        <v>717</v>
      </c>
    </row>
    <row r="54" spans="1:6">
      <c r="A54">
        <v>7</v>
      </c>
      <c r="B54">
        <v>18</v>
      </c>
      <c r="C54">
        <v>6</v>
      </c>
      <c r="D54">
        <v>6</v>
      </c>
      <c r="E54">
        <v>7</v>
      </c>
      <c r="F54">
        <v>718</v>
      </c>
    </row>
    <row r="55" spans="1:6">
      <c r="A55">
        <v>7</v>
      </c>
      <c r="B55">
        <v>19</v>
      </c>
      <c r="C55">
        <v>7</v>
      </c>
      <c r="D55">
        <v>1</v>
      </c>
      <c r="E55">
        <v>2</v>
      </c>
      <c r="F55">
        <v>719</v>
      </c>
    </row>
    <row r="56" spans="1:6">
      <c r="A56">
        <v>7</v>
      </c>
      <c r="B56">
        <v>20</v>
      </c>
      <c r="C56">
        <v>7</v>
      </c>
      <c r="D56">
        <v>4</v>
      </c>
      <c r="E56">
        <v>7</v>
      </c>
      <c r="F56">
        <v>720</v>
      </c>
    </row>
    <row r="57" spans="1:6">
      <c r="A57">
        <v>7</v>
      </c>
      <c r="B57">
        <v>21</v>
      </c>
      <c r="C57">
        <v>7</v>
      </c>
      <c r="D57">
        <v>5</v>
      </c>
      <c r="E57">
        <v>6</v>
      </c>
      <c r="F57">
        <v>721</v>
      </c>
    </row>
    <row r="58" spans="1:6">
      <c r="A58">
        <v>8</v>
      </c>
      <c r="B58">
        <v>1</v>
      </c>
      <c r="C58">
        <v>1</v>
      </c>
      <c r="D58">
        <v>1</v>
      </c>
      <c r="E58">
        <v>8</v>
      </c>
      <c r="F58">
        <v>801</v>
      </c>
    </row>
    <row r="59" spans="1:6">
      <c r="A59">
        <v>8</v>
      </c>
      <c r="B59">
        <v>2</v>
      </c>
      <c r="C59">
        <v>1</v>
      </c>
      <c r="D59">
        <v>2</v>
      </c>
      <c r="E59">
        <v>7</v>
      </c>
      <c r="F59">
        <v>802</v>
      </c>
    </row>
    <row r="60" spans="1:6">
      <c r="A60">
        <v>8</v>
      </c>
      <c r="B60">
        <v>3</v>
      </c>
      <c r="C60">
        <v>1</v>
      </c>
      <c r="D60">
        <v>3</v>
      </c>
      <c r="E60">
        <v>6</v>
      </c>
      <c r="F60">
        <v>803</v>
      </c>
    </row>
    <row r="61" spans="1:6">
      <c r="A61">
        <v>8</v>
      </c>
      <c r="B61">
        <v>4</v>
      </c>
      <c r="C61">
        <v>1</v>
      </c>
      <c r="D61">
        <v>4</v>
      </c>
      <c r="E61">
        <v>5</v>
      </c>
      <c r="F61">
        <v>804</v>
      </c>
    </row>
    <row r="62" spans="1:6">
      <c r="A62">
        <v>8</v>
      </c>
      <c r="B62">
        <v>5</v>
      </c>
      <c r="C62">
        <v>2</v>
      </c>
      <c r="D62">
        <v>1</v>
      </c>
      <c r="E62">
        <v>7</v>
      </c>
      <c r="F62">
        <v>805</v>
      </c>
    </row>
    <row r="63" spans="1:6">
      <c r="A63">
        <v>8</v>
      </c>
      <c r="B63">
        <v>6</v>
      </c>
      <c r="C63">
        <v>2</v>
      </c>
      <c r="D63">
        <v>8</v>
      </c>
      <c r="E63">
        <v>6</v>
      </c>
      <c r="F63">
        <v>806</v>
      </c>
    </row>
    <row r="64" spans="1:6">
      <c r="A64">
        <v>8</v>
      </c>
      <c r="B64">
        <v>7</v>
      </c>
      <c r="C64">
        <v>2</v>
      </c>
      <c r="D64">
        <v>2</v>
      </c>
      <c r="E64">
        <v>5</v>
      </c>
      <c r="F64">
        <v>807</v>
      </c>
    </row>
    <row r="65" spans="1:6">
      <c r="A65">
        <v>8</v>
      </c>
      <c r="B65">
        <v>8</v>
      </c>
      <c r="C65">
        <v>2</v>
      </c>
      <c r="D65">
        <v>3</v>
      </c>
      <c r="E65">
        <v>4</v>
      </c>
      <c r="F65">
        <v>808</v>
      </c>
    </row>
    <row r="66" spans="1:6">
      <c r="A66">
        <v>8</v>
      </c>
      <c r="B66">
        <v>9</v>
      </c>
      <c r="C66">
        <v>3</v>
      </c>
      <c r="D66">
        <v>1</v>
      </c>
      <c r="E66">
        <v>6</v>
      </c>
      <c r="F66">
        <v>809</v>
      </c>
    </row>
    <row r="67" spans="1:6">
      <c r="A67">
        <v>8</v>
      </c>
      <c r="B67">
        <v>10</v>
      </c>
      <c r="C67">
        <v>3</v>
      </c>
      <c r="D67">
        <v>7</v>
      </c>
      <c r="E67">
        <v>5</v>
      </c>
      <c r="F67">
        <v>810</v>
      </c>
    </row>
    <row r="68" spans="1:6">
      <c r="A68">
        <v>8</v>
      </c>
      <c r="B68">
        <v>11</v>
      </c>
      <c r="C68">
        <v>3</v>
      </c>
      <c r="D68">
        <v>8</v>
      </c>
      <c r="E68">
        <v>4</v>
      </c>
      <c r="F68">
        <v>811</v>
      </c>
    </row>
    <row r="69" spans="1:6">
      <c r="A69">
        <v>8</v>
      </c>
      <c r="B69">
        <v>12</v>
      </c>
      <c r="C69">
        <v>3</v>
      </c>
      <c r="D69">
        <v>2</v>
      </c>
      <c r="E69">
        <v>3</v>
      </c>
      <c r="F69">
        <v>812</v>
      </c>
    </row>
    <row r="70" spans="1:6">
      <c r="A70">
        <v>8</v>
      </c>
      <c r="B70">
        <v>13</v>
      </c>
      <c r="C70">
        <v>4</v>
      </c>
      <c r="D70">
        <v>1</v>
      </c>
      <c r="E70">
        <v>5</v>
      </c>
      <c r="F70">
        <v>813</v>
      </c>
    </row>
    <row r="71" spans="1:6">
      <c r="A71">
        <v>8</v>
      </c>
      <c r="B71">
        <v>14</v>
      </c>
      <c r="C71">
        <v>4</v>
      </c>
      <c r="D71">
        <v>6</v>
      </c>
      <c r="E71">
        <v>4</v>
      </c>
      <c r="F71">
        <v>814</v>
      </c>
    </row>
    <row r="72" spans="1:6">
      <c r="A72">
        <v>8</v>
      </c>
      <c r="B72">
        <v>15</v>
      </c>
      <c r="C72">
        <v>4</v>
      </c>
      <c r="D72">
        <v>7</v>
      </c>
      <c r="E72">
        <v>3</v>
      </c>
      <c r="F72">
        <v>815</v>
      </c>
    </row>
    <row r="73" spans="1:6">
      <c r="A73">
        <v>8</v>
      </c>
      <c r="B73">
        <v>16</v>
      </c>
      <c r="C73">
        <v>4</v>
      </c>
      <c r="D73">
        <v>8</v>
      </c>
      <c r="E73">
        <v>2</v>
      </c>
      <c r="F73">
        <v>816</v>
      </c>
    </row>
    <row r="74" spans="1:6">
      <c r="A74">
        <v>8</v>
      </c>
      <c r="B74">
        <v>17</v>
      </c>
      <c r="C74">
        <v>5</v>
      </c>
      <c r="D74">
        <v>1</v>
      </c>
      <c r="E74">
        <v>4</v>
      </c>
      <c r="F74">
        <v>817</v>
      </c>
    </row>
    <row r="75" spans="1:6">
      <c r="A75">
        <v>8</v>
      </c>
      <c r="B75">
        <v>18</v>
      </c>
      <c r="C75">
        <v>5</v>
      </c>
      <c r="D75">
        <v>5</v>
      </c>
      <c r="E75">
        <v>3</v>
      </c>
      <c r="F75">
        <v>818</v>
      </c>
    </row>
    <row r="76" spans="1:6">
      <c r="A76">
        <v>8</v>
      </c>
      <c r="B76">
        <v>19</v>
      </c>
      <c r="C76">
        <v>5</v>
      </c>
      <c r="D76">
        <v>6</v>
      </c>
      <c r="E76">
        <v>2</v>
      </c>
      <c r="F76">
        <v>819</v>
      </c>
    </row>
    <row r="77" spans="1:6">
      <c r="A77">
        <v>8</v>
      </c>
      <c r="B77">
        <v>20</v>
      </c>
      <c r="C77">
        <v>5</v>
      </c>
      <c r="D77">
        <v>7</v>
      </c>
      <c r="E77">
        <v>8</v>
      </c>
      <c r="F77">
        <v>820</v>
      </c>
    </row>
    <row r="78" spans="1:6">
      <c r="A78">
        <v>8</v>
      </c>
      <c r="B78">
        <v>21</v>
      </c>
      <c r="C78">
        <v>6</v>
      </c>
      <c r="D78">
        <v>1</v>
      </c>
      <c r="E78">
        <v>3</v>
      </c>
      <c r="F78">
        <v>821</v>
      </c>
    </row>
    <row r="79" spans="1:6">
      <c r="A79">
        <v>8</v>
      </c>
      <c r="B79">
        <v>22</v>
      </c>
      <c r="C79">
        <v>6</v>
      </c>
      <c r="D79">
        <v>4</v>
      </c>
      <c r="E79">
        <v>2</v>
      </c>
      <c r="F79">
        <v>822</v>
      </c>
    </row>
    <row r="80" spans="1:6">
      <c r="A80">
        <v>8</v>
      </c>
      <c r="B80">
        <v>23</v>
      </c>
      <c r="C80">
        <v>6</v>
      </c>
      <c r="D80">
        <v>5</v>
      </c>
      <c r="E80">
        <v>8</v>
      </c>
      <c r="F80">
        <v>823</v>
      </c>
    </row>
    <row r="81" spans="1:6">
      <c r="A81">
        <v>8</v>
      </c>
      <c r="B81">
        <v>24</v>
      </c>
      <c r="C81">
        <v>6</v>
      </c>
      <c r="D81">
        <v>6</v>
      </c>
      <c r="E81">
        <v>7</v>
      </c>
      <c r="F81">
        <v>824</v>
      </c>
    </row>
    <row r="82" spans="1:6">
      <c r="A82">
        <v>8</v>
      </c>
      <c r="B82">
        <v>25</v>
      </c>
      <c r="C82">
        <v>7</v>
      </c>
      <c r="D82">
        <v>1</v>
      </c>
      <c r="E82">
        <v>2</v>
      </c>
      <c r="F82">
        <v>825</v>
      </c>
    </row>
    <row r="83" spans="1:6">
      <c r="A83">
        <v>8</v>
      </c>
      <c r="B83">
        <v>26</v>
      </c>
      <c r="C83">
        <v>7</v>
      </c>
      <c r="D83">
        <v>3</v>
      </c>
      <c r="E83">
        <v>8</v>
      </c>
      <c r="F83">
        <v>826</v>
      </c>
    </row>
    <row r="84" spans="1:6">
      <c r="A84">
        <v>8</v>
      </c>
      <c r="B84">
        <v>27</v>
      </c>
      <c r="C84">
        <v>7</v>
      </c>
      <c r="D84">
        <v>4</v>
      </c>
      <c r="E84">
        <v>7</v>
      </c>
      <c r="F84">
        <v>827</v>
      </c>
    </row>
    <row r="85" spans="1:6">
      <c r="A85">
        <v>8</v>
      </c>
      <c r="B85">
        <v>28</v>
      </c>
      <c r="C85">
        <v>7</v>
      </c>
      <c r="D85">
        <v>5</v>
      </c>
      <c r="E85">
        <v>6</v>
      </c>
      <c r="F85">
        <v>828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2E9BF-9D92-47CB-BAB4-05E59777DF4C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42"/>
  <sheetViews>
    <sheetView topLeftCell="A27" workbookViewId="0">
      <selection activeCell="D37" sqref="D37"/>
    </sheetView>
  </sheetViews>
  <sheetFormatPr defaultRowHeight="14.25"/>
  <cols>
    <col min="1" max="1" width="2" customWidth="1"/>
    <col min="2" max="2" width="25" customWidth="1"/>
    <col min="3" max="3" width="2" customWidth="1"/>
    <col min="4" max="4" width="7" customWidth="1"/>
    <col min="5" max="7" width="3" customWidth="1"/>
    <col min="8" max="8" width="25" customWidth="1"/>
    <col min="9" max="9" width="2" customWidth="1"/>
    <col min="10" max="10" width="7" customWidth="1"/>
    <col min="11" max="13" width="3" customWidth="1"/>
    <col min="14" max="14" width="25" customWidth="1"/>
    <col min="15" max="15" width="2" customWidth="1"/>
    <col min="16" max="16" width="7" customWidth="1"/>
    <col min="17" max="19" width="3" customWidth="1"/>
    <col min="20" max="20" width="25" customWidth="1"/>
    <col min="21" max="21" width="2" customWidth="1"/>
    <col min="22" max="22" width="7" customWidth="1"/>
    <col min="23" max="25" width="3" customWidth="1"/>
    <col min="26" max="26" width="25" customWidth="1"/>
    <col min="27" max="27" width="2" customWidth="1"/>
    <col min="28" max="28" width="7" customWidth="1"/>
  </cols>
  <sheetData>
    <row r="1" spans="1:28" ht="24.95" customHeight="1">
      <c r="A1" s="74"/>
      <c r="B1" s="75" t="s">
        <v>238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28" ht="21" customHeight="1">
      <c r="A2" s="76"/>
      <c r="B2" s="77" t="str">
        <f>"Competition: "&amp;Setup!$B$3&amp;"   |   "&amp;Setup!$E$5</f>
        <v>Competition: Set Score Tournament   |   Manual finals required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</row>
    <row r="3" spans="1:28" ht="18.95" customHeight="1">
      <c r="A3" s="71"/>
      <c r="B3" s="73" t="s">
        <v>239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 ht="21" customHeight="1">
      <c r="A4" s="71"/>
      <c r="B4" s="78" t="s">
        <v>240</v>
      </c>
      <c r="C4" s="71"/>
      <c r="D4" s="71"/>
      <c r="E4" s="71"/>
      <c r="F4" s="71"/>
      <c r="G4" s="71"/>
      <c r="H4" s="78" t="s">
        <v>241</v>
      </c>
      <c r="I4" s="71"/>
      <c r="J4" s="71"/>
      <c r="K4" s="71"/>
      <c r="L4" s="71"/>
      <c r="M4" s="71"/>
      <c r="N4" s="78" t="s">
        <v>242</v>
      </c>
      <c r="O4" s="71"/>
      <c r="P4" s="71"/>
      <c r="Q4" s="71"/>
      <c r="R4" s="71"/>
      <c r="S4" s="71"/>
      <c r="T4" s="78" t="s">
        <v>243</v>
      </c>
      <c r="U4" s="71"/>
      <c r="V4" s="71"/>
      <c r="W4" s="71"/>
      <c r="X4" s="71"/>
      <c r="Y4" s="71"/>
      <c r="Z4" s="78" t="s">
        <v>219</v>
      </c>
      <c r="AA4" s="71"/>
      <c r="AB4" s="71"/>
    </row>
    <row r="5" spans="1:28" ht="18.95" customHeight="1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</row>
    <row r="6" spans="1:28" ht="18.95" customHeight="1">
      <c r="A6" s="71"/>
      <c r="B6" s="79" t="s">
        <v>244</v>
      </c>
      <c r="C6" s="80"/>
      <c r="D6" s="8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</row>
    <row r="7" spans="1:28" ht="18.95" customHeight="1">
      <c r="A7" s="71"/>
      <c r="B7" s="82" t="str">
        <f>Finals!C6</f>
        <v/>
      </c>
      <c r="C7" s="83"/>
      <c r="D7" s="84" t="str">
        <f>IF(Finals!R6="Complete",Finals!O6,"")</f>
        <v/>
      </c>
      <c r="E7" s="93"/>
      <c r="F7" s="93"/>
      <c r="G7" s="94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</row>
    <row r="8" spans="1:28" ht="18.95" customHeight="1">
      <c r="A8" s="71"/>
      <c r="B8" s="82" t="str">
        <f>Finals!D6</f>
        <v/>
      </c>
      <c r="C8" s="83"/>
      <c r="D8" s="84" t="str">
        <f>IF(Finals!R6="Complete",Finals!P6,"")</f>
        <v/>
      </c>
      <c r="E8" s="71"/>
      <c r="F8" s="71"/>
      <c r="G8" s="95"/>
      <c r="H8" s="79" t="s">
        <v>245</v>
      </c>
      <c r="I8" s="80"/>
      <c r="J8" s="8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</row>
    <row r="9" spans="1:28" ht="18.95" customHeight="1">
      <c r="A9" s="71"/>
      <c r="B9" s="71"/>
      <c r="C9" s="71"/>
      <c r="D9" s="71"/>
      <c r="E9" s="71"/>
      <c r="F9" s="71"/>
      <c r="G9" s="94"/>
      <c r="H9" s="96" t="str">
        <f>Finals!C16</f>
        <v/>
      </c>
      <c r="I9" s="83"/>
      <c r="J9" s="84" t="str">
        <f>IF(Finals!R16="Complete",Finals!O16,"")</f>
        <v/>
      </c>
      <c r="K9" s="93"/>
      <c r="L9" s="93"/>
      <c r="M9" s="94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</row>
    <row r="10" spans="1:28" ht="18.95" customHeight="1">
      <c r="A10" s="71"/>
      <c r="B10" s="79" t="s">
        <v>246</v>
      </c>
      <c r="C10" s="80"/>
      <c r="D10" s="81"/>
      <c r="E10" s="71"/>
      <c r="F10" s="71"/>
      <c r="G10" s="95"/>
      <c r="H10" s="82" t="str">
        <f>Finals!D16</f>
        <v/>
      </c>
      <c r="I10" s="83"/>
      <c r="J10" s="84" t="str">
        <f>IF(Finals!R16="Complete",Finals!P16,"")</f>
        <v/>
      </c>
      <c r="K10" s="71"/>
      <c r="L10" s="71"/>
      <c r="M10" s="95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</row>
    <row r="11" spans="1:28" ht="18.95" customHeight="1">
      <c r="A11" s="71"/>
      <c r="B11" s="82" t="str">
        <f>Finals!C7</f>
        <v/>
      </c>
      <c r="C11" s="83"/>
      <c r="D11" s="84" t="str">
        <f>IF(Finals!R7="Complete",Finals!O7,"")</f>
        <v/>
      </c>
      <c r="E11" s="93"/>
      <c r="F11" s="93"/>
      <c r="G11" s="94"/>
      <c r="H11" s="71"/>
      <c r="I11" s="71"/>
      <c r="J11" s="71"/>
      <c r="K11" s="71"/>
      <c r="L11" s="71"/>
      <c r="M11" s="95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</row>
    <row r="12" spans="1:28" ht="18.95" customHeight="1">
      <c r="A12" s="71"/>
      <c r="B12" s="82" t="str">
        <f>Finals!D7</f>
        <v/>
      </c>
      <c r="C12" s="83"/>
      <c r="D12" s="84" t="str">
        <f>IF(Finals!R7="Complete",Finals!P7,"")</f>
        <v/>
      </c>
      <c r="E12" s="71"/>
      <c r="F12" s="71"/>
      <c r="G12" s="71"/>
      <c r="H12" s="71"/>
      <c r="I12" s="71"/>
      <c r="J12" s="71"/>
      <c r="K12" s="71"/>
      <c r="L12" s="71"/>
      <c r="M12" s="95"/>
      <c r="N12" s="79" t="s">
        <v>247</v>
      </c>
      <c r="O12" s="80"/>
      <c r="P12" s="8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</row>
    <row r="13" spans="1:28" ht="18.95" customHeight="1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94"/>
      <c r="N13" s="96" t="str">
        <f>Finals!C22</f>
        <v/>
      </c>
      <c r="O13" s="83"/>
      <c r="P13" s="84" t="str">
        <f>IF(Finals!R22="Complete",Finals!O22,"")</f>
        <v/>
      </c>
      <c r="Q13" s="93"/>
      <c r="R13" s="93"/>
      <c r="S13" s="94"/>
      <c r="T13" s="71"/>
      <c r="U13" s="71"/>
      <c r="V13" s="71"/>
      <c r="W13" s="71"/>
      <c r="X13" s="71"/>
      <c r="Y13" s="71"/>
      <c r="Z13" s="71"/>
      <c r="AA13" s="71"/>
      <c r="AB13" s="71"/>
    </row>
    <row r="14" spans="1:28" ht="18.95" customHeight="1">
      <c r="A14" s="71"/>
      <c r="B14" s="79" t="s">
        <v>248</v>
      </c>
      <c r="C14" s="80"/>
      <c r="D14" s="81"/>
      <c r="E14" s="71"/>
      <c r="F14" s="71"/>
      <c r="G14" s="71"/>
      <c r="H14" s="71"/>
      <c r="I14" s="71"/>
      <c r="J14" s="71"/>
      <c r="K14" s="71"/>
      <c r="L14" s="71"/>
      <c r="M14" s="95"/>
      <c r="N14" s="82" t="str">
        <f>Finals!D22</f>
        <v/>
      </c>
      <c r="O14" s="83"/>
      <c r="P14" s="84" t="str">
        <f>IF(Finals!R22="Complete",Finals!P22,"")</f>
        <v/>
      </c>
      <c r="Q14" s="71"/>
      <c r="R14" s="71"/>
      <c r="S14" s="95"/>
      <c r="T14" s="71"/>
      <c r="U14" s="71"/>
      <c r="V14" s="71"/>
      <c r="W14" s="71"/>
      <c r="X14" s="71"/>
      <c r="Y14" s="71"/>
      <c r="Z14" s="71"/>
      <c r="AA14" s="71"/>
      <c r="AB14" s="71"/>
    </row>
    <row r="15" spans="1:28" ht="18.95" customHeight="1">
      <c r="A15" s="71"/>
      <c r="B15" s="82" t="str">
        <f>Finals!C8</f>
        <v/>
      </c>
      <c r="C15" s="83"/>
      <c r="D15" s="84" t="str">
        <f>IF(Finals!R8="Complete",Finals!O8,"")</f>
        <v/>
      </c>
      <c r="E15" s="93"/>
      <c r="F15" s="93"/>
      <c r="G15" s="94"/>
      <c r="H15" s="71"/>
      <c r="I15" s="71"/>
      <c r="J15" s="71"/>
      <c r="K15" s="71"/>
      <c r="L15" s="71"/>
      <c r="M15" s="95"/>
      <c r="N15" s="71"/>
      <c r="O15" s="71"/>
      <c r="P15" s="71"/>
      <c r="Q15" s="71"/>
      <c r="R15" s="71"/>
      <c r="S15" s="95"/>
      <c r="T15" s="71"/>
      <c r="U15" s="71"/>
      <c r="V15" s="71"/>
      <c r="W15" s="71"/>
      <c r="X15" s="71"/>
      <c r="Y15" s="71"/>
      <c r="Z15" s="71"/>
      <c r="AA15" s="71"/>
      <c r="AB15" s="71"/>
    </row>
    <row r="16" spans="1:28" ht="18.95" customHeight="1">
      <c r="A16" s="71"/>
      <c r="B16" s="82" t="str">
        <f>Finals!D8</f>
        <v/>
      </c>
      <c r="C16" s="83"/>
      <c r="D16" s="84" t="str">
        <f>IF(Finals!R8="Complete",Finals!P8,"")</f>
        <v/>
      </c>
      <c r="E16" s="71"/>
      <c r="F16" s="71"/>
      <c r="G16" s="95"/>
      <c r="H16" s="79" t="s">
        <v>249</v>
      </c>
      <c r="I16" s="80"/>
      <c r="J16" s="81"/>
      <c r="K16" s="71"/>
      <c r="L16" s="71"/>
      <c r="M16" s="95"/>
      <c r="N16" s="71"/>
      <c r="O16" s="71"/>
      <c r="P16" s="71"/>
      <c r="Q16" s="71"/>
      <c r="R16" s="71"/>
      <c r="S16" s="95"/>
      <c r="T16" s="71"/>
      <c r="U16" s="71"/>
      <c r="V16" s="71"/>
      <c r="W16" s="71"/>
      <c r="X16" s="71"/>
      <c r="Y16" s="71"/>
      <c r="Z16" s="71"/>
      <c r="AA16" s="71"/>
      <c r="AB16" s="71"/>
    </row>
    <row r="17" spans="1:28" ht="18.95" customHeight="1">
      <c r="A17" s="71"/>
      <c r="B17" s="71"/>
      <c r="C17" s="71"/>
      <c r="D17" s="71"/>
      <c r="E17" s="71"/>
      <c r="F17" s="71"/>
      <c r="G17" s="94"/>
      <c r="H17" s="96" t="str">
        <f>Finals!C17</f>
        <v/>
      </c>
      <c r="I17" s="83"/>
      <c r="J17" s="84" t="str">
        <f>IF(Finals!R17="Complete",Finals!O17,"")</f>
        <v/>
      </c>
      <c r="K17" s="93"/>
      <c r="L17" s="93"/>
      <c r="M17" s="94"/>
      <c r="N17" s="71"/>
      <c r="O17" s="71"/>
      <c r="P17" s="71"/>
      <c r="Q17" s="71"/>
      <c r="R17" s="71"/>
      <c r="S17" s="95"/>
      <c r="T17" s="71"/>
      <c r="U17" s="71"/>
      <c r="V17" s="71"/>
      <c r="W17" s="71"/>
      <c r="X17" s="71"/>
      <c r="Y17" s="71"/>
      <c r="Z17" s="71"/>
      <c r="AA17" s="71"/>
      <c r="AB17" s="71"/>
    </row>
    <row r="18" spans="1:28" ht="18.95" customHeight="1">
      <c r="A18" s="71"/>
      <c r="B18" s="79" t="s">
        <v>250</v>
      </c>
      <c r="C18" s="80"/>
      <c r="D18" s="81"/>
      <c r="E18" s="71"/>
      <c r="F18" s="71"/>
      <c r="G18" s="95"/>
      <c r="H18" s="82" t="str">
        <f>Finals!D17</f>
        <v/>
      </c>
      <c r="I18" s="83"/>
      <c r="J18" s="84" t="str">
        <f>IF(Finals!R17="Complete",Finals!P17,"")</f>
        <v/>
      </c>
      <c r="K18" s="71"/>
      <c r="L18" s="71"/>
      <c r="M18" s="71"/>
      <c r="N18" s="71"/>
      <c r="O18" s="71"/>
      <c r="P18" s="71"/>
      <c r="Q18" s="71"/>
      <c r="R18" s="71"/>
      <c r="S18" s="95"/>
      <c r="T18" s="71"/>
      <c r="U18" s="71"/>
      <c r="V18" s="71"/>
      <c r="W18" s="71"/>
      <c r="X18" s="71"/>
      <c r="Y18" s="71"/>
      <c r="Z18" s="71"/>
      <c r="AA18" s="71"/>
      <c r="AB18" s="71"/>
    </row>
    <row r="19" spans="1:28" ht="18.95" customHeight="1">
      <c r="A19" s="71"/>
      <c r="B19" s="82" t="str">
        <f>Finals!C9</f>
        <v/>
      </c>
      <c r="C19" s="83"/>
      <c r="D19" s="84" t="str">
        <f>IF(Finals!R9="Complete",Finals!O9,"")</f>
        <v/>
      </c>
      <c r="E19" s="93"/>
      <c r="F19" s="93"/>
      <c r="G19" s="94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95"/>
      <c r="T19" s="71"/>
      <c r="U19" s="71"/>
      <c r="V19" s="71"/>
      <c r="W19" s="71"/>
      <c r="X19" s="71"/>
      <c r="Y19" s="71"/>
      <c r="Z19" s="71"/>
      <c r="AA19" s="71"/>
      <c r="AB19" s="71"/>
    </row>
    <row r="20" spans="1:28" ht="18.95" customHeight="1">
      <c r="A20" s="71"/>
      <c r="B20" s="82" t="str">
        <f>Finals!D9</f>
        <v/>
      </c>
      <c r="C20" s="83"/>
      <c r="D20" s="84" t="str">
        <f>IF(Finals!R9="Complete",Finals!P9,"")</f>
        <v/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95"/>
      <c r="T20" s="71"/>
      <c r="U20" s="71"/>
      <c r="V20" s="71"/>
      <c r="W20" s="71"/>
      <c r="X20" s="71"/>
      <c r="Y20" s="71"/>
      <c r="Z20" s="72"/>
      <c r="AA20" s="71"/>
      <c r="AB20" s="71"/>
    </row>
    <row r="21" spans="1:28" ht="18.95" customHeight="1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95"/>
      <c r="T21" s="79" t="s">
        <v>243</v>
      </c>
      <c r="U21" s="80"/>
      <c r="V21" s="81"/>
      <c r="W21" s="71"/>
      <c r="X21" s="71"/>
      <c r="Y21" s="71"/>
      <c r="Z21" s="86" t="s">
        <v>219</v>
      </c>
      <c r="AA21" s="87"/>
      <c r="AB21" s="88"/>
    </row>
    <row r="22" spans="1:28" ht="18.95" customHeight="1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94"/>
      <c r="T22" s="96" t="str">
        <f>Finals!C26</f>
        <v/>
      </c>
      <c r="U22" s="83"/>
      <c r="V22" s="84" t="str">
        <f>IF(Finals!R26="Complete",Finals!O26,"")</f>
        <v/>
      </c>
      <c r="W22" s="93"/>
      <c r="X22" s="93"/>
      <c r="Y22" s="93"/>
      <c r="Z22" s="97" t="str">
        <f>IF(Finals!R26="Complete",Finals!Q26,"TBD")</f>
        <v>TBD</v>
      </c>
      <c r="AA22" s="85"/>
      <c r="AB22" s="89"/>
    </row>
    <row r="23" spans="1:28" ht="18.95" customHeight="1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95"/>
      <c r="T23" s="82" t="str">
        <f>Finals!D26</f>
        <v/>
      </c>
      <c r="U23" s="83"/>
      <c r="V23" s="84" t="str">
        <f>IF(Finals!R26="Complete",Finals!P26,"")</f>
        <v/>
      </c>
      <c r="W23" s="71"/>
      <c r="X23" s="71"/>
      <c r="Y23" s="71"/>
      <c r="Z23" s="90"/>
      <c r="AA23" s="91"/>
      <c r="AB23" s="92"/>
    </row>
    <row r="24" spans="1:28" ht="18.95" customHeight="1">
      <c r="A24" s="71"/>
      <c r="B24" s="79" t="s">
        <v>251</v>
      </c>
      <c r="C24" s="80"/>
      <c r="D24" s="8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95"/>
      <c r="T24" s="71"/>
      <c r="U24" s="71"/>
      <c r="V24" s="71"/>
      <c r="W24" s="71"/>
      <c r="X24" s="71"/>
      <c r="Y24" s="71"/>
      <c r="Z24" s="71"/>
      <c r="AA24" s="71"/>
      <c r="AB24" s="71"/>
    </row>
    <row r="25" spans="1:28" ht="18.95" customHeight="1">
      <c r="A25" s="71"/>
      <c r="B25" s="82" t="str">
        <f>Finals!C10</f>
        <v/>
      </c>
      <c r="C25" s="83"/>
      <c r="D25" s="84" t="str">
        <f>IF(Finals!R10="Complete",Finals!O10,"")</f>
        <v/>
      </c>
      <c r="E25" s="93"/>
      <c r="F25" s="93"/>
      <c r="G25" s="94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95"/>
      <c r="T25" s="71"/>
      <c r="U25" s="71"/>
      <c r="V25" s="71"/>
      <c r="W25" s="71"/>
      <c r="X25" s="71"/>
      <c r="Y25" s="71"/>
      <c r="Z25" s="71"/>
      <c r="AA25" s="71"/>
      <c r="AB25" s="71"/>
    </row>
    <row r="26" spans="1:28" ht="18.95" customHeight="1">
      <c r="A26" s="71"/>
      <c r="B26" s="82" t="str">
        <f>Finals!D10</f>
        <v/>
      </c>
      <c r="C26" s="83"/>
      <c r="D26" s="84" t="str">
        <f>IF(Finals!R10="Complete",Finals!P10,"")</f>
        <v/>
      </c>
      <c r="E26" s="71"/>
      <c r="F26" s="71"/>
      <c r="G26" s="95"/>
      <c r="H26" s="79" t="s">
        <v>252</v>
      </c>
      <c r="I26" s="80"/>
      <c r="J26" s="81"/>
      <c r="K26" s="71"/>
      <c r="L26" s="71"/>
      <c r="M26" s="71"/>
      <c r="N26" s="71"/>
      <c r="O26" s="71"/>
      <c r="P26" s="71"/>
      <c r="Q26" s="71"/>
      <c r="R26" s="71"/>
      <c r="S26" s="95"/>
      <c r="T26" s="71"/>
      <c r="U26" s="71"/>
      <c r="V26" s="71"/>
      <c r="W26" s="71"/>
      <c r="X26" s="71"/>
      <c r="Y26" s="71"/>
      <c r="Z26" s="71"/>
      <c r="AA26" s="71"/>
      <c r="AB26" s="71"/>
    </row>
    <row r="27" spans="1:28" ht="18.95" customHeight="1">
      <c r="A27" s="71"/>
      <c r="B27" s="71"/>
      <c r="C27" s="71"/>
      <c r="D27" s="71"/>
      <c r="E27" s="71"/>
      <c r="F27" s="71"/>
      <c r="G27" s="94"/>
      <c r="H27" s="96" t="str">
        <f>Finals!C18</f>
        <v/>
      </c>
      <c r="I27" s="83"/>
      <c r="J27" s="84" t="str">
        <f>IF(Finals!R18="Complete",Finals!O18,"")</f>
        <v/>
      </c>
      <c r="K27" s="93"/>
      <c r="L27" s="93"/>
      <c r="M27" s="94"/>
      <c r="N27" s="71"/>
      <c r="O27" s="71"/>
      <c r="P27" s="71"/>
      <c r="Q27" s="71"/>
      <c r="R27" s="71"/>
      <c r="S27" s="95"/>
      <c r="T27" s="71"/>
      <c r="U27" s="71"/>
      <c r="V27" s="71"/>
      <c r="W27" s="71"/>
      <c r="X27" s="71"/>
      <c r="Y27" s="71"/>
      <c r="Z27" s="71"/>
      <c r="AA27" s="71"/>
      <c r="AB27" s="71"/>
    </row>
    <row r="28" spans="1:28" ht="18.95" customHeight="1">
      <c r="A28" s="71"/>
      <c r="B28" s="79" t="s">
        <v>253</v>
      </c>
      <c r="C28" s="80"/>
      <c r="D28" s="81"/>
      <c r="E28" s="71"/>
      <c r="F28" s="71"/>
      <c r="G28" s="95"/>
      <c r="H28" s="82" t="str">
        <f>Finals!D18</f>
        <v/>
      </c>
      <c r="I28" s="83"/>
      <c r="J28" s="84" t="str">
        <f>IF(Finals!R18="Complete",Finals!P18,"")</f>
        <v/>
      </c>
      <c r="K28" s="71"/>
      <c r="L28" s="71"/>
      <c r="M28" s="95"/>
      <c r="N28" s="71"/>
      <c r="O28" s="71"/>
      <c r="P28" s="71"/>
      <c r="Q28" s="71"/>
      <c r="R28" s="71"/>
      <c r="S28" s="95"/>
      <c r="T28" s="71"/>
      <c r="U28" s="71"/>
      <c r="V28" s="71"/>
      <c r="W28" s="71"/>
      <c r="X28" s="71"/>
      <c r="Y28" s="71"/>
      <c r="Z28" s="71"/>
      <c r="AA28" s="71"/>
      <c r="AB28" s="71"/>
    </row>
    <row r="29" spans="1:28" ht="18.95" customHeight="1">
      <c r="A29" s="71"/>
      <c r="B29" s="82" t="str">
        <f>Finals!C11</f>
        <v/>
      </c>
      <c r="C29" s="83"/>
      <c r="D29" s="84" t="str">
        <f>IF(Finals!R11="Complete",Finals!O11,"")</f>
        <v/>
      </c>
      <c r="E29" s="93"/>
      <c r="F29" s="93"/>
      <c r="G29" s="94"/>
      <c r="H29" s="71"/>
      <c r="I29" s="71"/>
      <c r="J29" s="71"/>
      <c r="K29" s="71"/>
      <c r="L29" s="71"/>
      <c r="M29" s="95"/>
      <c r="N29" s="71"/>
      <c r="O29" s="71"/>
      <c r="P29" s="71"/>
      <c r="Q29" s="71"/>
      <c r="R29" s="71"/>
      <c r="S29" s="95"/>
      <c r="T29" s="71"/>
      <c r="U29" s="71"/>
      <c r="V29" s="71"/>
      <c r="W29" s="71"/>
      <c r="X29" s="71"/>
      <c r="Y29" s="71"/>
      <c r="Z29" s="71"/>
      <c r="AA29" s="71"/>
      <c r="AB29" s="71"/>
    </row>
    <row r="30" spans="1:28" ht="18.95" customHeight="1">
      <c r="A30" s="71"/>
      <c r="B30" s="82" t="str">
        <f>Finals!D11</f>
        <v/>
      </c>
      <c r="C30" s="83"/>
      <c r="D30" s="84" t="str">
        <f>IF(Finals!R11="Complete",Finals!P11,"")</f>
        <v/>
      </c>
      <c r="E30" s="71"/>
      <c r="F30" s="71"/>
      <c r="G30" s="71"/>
      <c r="H30" s="71"/>
      <c r="I30" s="71"/>
      <c r="J30" s="71"/>
      <c r="K30" s="71"/>
      <c r="L30" s="71"/>
      <c r="M30" s="95"/>
      <c r="N30" s="79" t="s">
        <v>254</v>
      </c>
      <c r="O30" s="80"/>
      <c r="P30" s="81"/>
      <c r="Q30" s="71"/>
      <c r="R30" s="71"/>
      <c r="S30" s="95"/>
      <c r="T30" s="71"/>
      <c r="U30" s="71"/>
      <c r="V30" s="71"/>
      <c r="W30" s="71"/>
      <c r="X30" s="71"/>
      <c r="Y30" s="71"/>
      <c r="Z30" s="71"/>
      <c r="AA30" s="71"/>
      <c r="AB30" s="71"/>
    </row>
    <row r="31" spans="1:28" ht="18.95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94"/>
      <c r="N31" s="96" t="str">
        <f>Finals!C23</f>
        <v/>
      </c>
      <c r="O31" s="83"/>
      <c r="P31" s="84" t="str">
        <f>IF(Finals!R23="Complete",Finals!O23,"")</f>
        <v/>
      </c>
      <c r="Q31" s="93"/>
      <c r="R31" s="93"/>
      <c r="S31" s="94"/>
      <c r="T31" s="71"/>
      <c r="U31" s="71"/>
      <c r="V31" s="71"/>
      <c r="W31" s="71"/>
      <c r="X31" s="71"/>
      <c r="Y31" s="71"/>
      <c r="Z31" s="71"/>
      <c r="AA31" s="71"/>
      <c r="AB31" s="71"/>
    </row>
    <row r="32" spans="1:28" ht="18.95" customHeight="1">
      <c r="A32" s="71"/>
      <c r="B32" s="79" t="s">
        <v>255</v>
      </c>
      <c r="C32" s="80"/>
      <c r="D32" s="81"/>
      <c r="E32" s="71"/>
      <c r="F32" s="71"/>
      <c r="G32" s="71"/>
      <c r="H32" s="71"/>
      <c r="I32" s="71"/>
      <c r="J32" s="71"/>
      <c r="K32" s="71"/>
      <c r="L32" s="71"/>
      <c r="M32" s="95"/>
      <c r="N32" s="82" t="str">
        <f>Finals!D23</f>
        <v/>
      </c>
      <c r="O32" s="83"/>
      <c r="P32" s="84" t="str">
        <f>IF(Finals!R23="Complete",Finals!P23,"")</f>
        <v/>
      </c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</row>
    <row r="33" spans="1:28" ht="18.95" customHeight="1">
      <c r="A33" s="71"/>
      <c r="B33" s="82" t="str">
        <f>Finals!C12</f>
        <v/>
      </c>
      <c r="C33" s="83"/>
      <c r="D33" s="84" t="str">
        <f>IF(Finals!R12="Complete",Finals!O12,"")</f>
        <v/>
      </c>
      <c r="E33" s="93"/>
      <c r="F33" s="93"/>
      <c r="G33" s="94"/>
      <c r="H33" s="71"/>
      <c r="I33" s="71"/>
      <c r="J33" s="71"/>
      <c r="K33" s="71"/>
      <c r="L33" s="71"/>
      <c r="M33" s="95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</row>
    <row r="34" spans="1:28" ht="18.95" customHeight="1">
      <c r="A34" s="71"/>
      <c r="B34" s="82" t="str">
        <f>Finals!D12</f>
        <v/>
      </c>
      <c r="C34" s="83"/>
      <c r="D34" s="84" t="str">
        <f>IF(Finals!R12="Complete",Finals!P12,"")</f>
        <v/>
      </c>
      <c r="E34" s="71"/>
      <c r="F34" s="71"/>
      <c r="G34" s="95"/>
      <c r="H34" s="79" t="s">
        <v>256</v>
      </c>
      <c r="I34" s="80"/>
      <c r="J34" s="81"/>
      <c r="K34" s="71"/>
      <c r="L34" s="71"/>
      <c r="M34" s="95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</row>
    <row r="35" spans="1:28" ht="18.95" customHeight="1">
      <c r="A35" s="71"/>
      <c r="B35" s="71"/>
      <c r="C35" s="71"/>
      <c r="D35" s="71"/>
      <c r="E35" s="71"/>
      <c r="F35" s="71"/>
      <c r="G35" s="94"/>
      <c r="H35" s="96" t="str">
        <f>Finals!C19</f>
        <v/>
      </c>
      <c r="I35" s="83"/>
      <c r="J35" s="84" t="str">
        <f>IF(Finals!R19="Complete",Finals!O19,"")</f>
        <v/>
      </c>
      <c r="K35" s="93"/>
      <c r="L35" s="93"/>
      <c r="M35" s="94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</row>
    <row r="36" spans="1:28" ht="18.95" customHeight="1">
      <c r="A36" s="71"/>
      <c r="B36" s="79" t="s">
        <v>257</v>
      </c>
      <c r="C36" s="80"/>
      <c r="D36" s="81"/>
      <c r="E36" s="71"/>
      <c r="F36" s="71"/>
      <c r="G36" s="95"/>
      <c r="H36" s="82" t="str">
        <f>Finals!D19</f>
        <v/>
      </c>
      <c r="I36" s="83"/>
      <c r="J36" s="84" t="str">
        <f>IF(Finals!R19="Complete",Finals!P19,"")</f>
        <v/>
      </c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</row>
    <row r="37" spans="1:28" ht="18.95" customHeight="1">
      <c r="A37" s="71"/>
      <c r="B37" s="82" t="str">
        <f>Finals!C13</f>
        <v/>
      </c>
      <c r="C37" s="83"/>
      <c r="D37" s="84" t="str">
        <f>IF(Finals!R13="Complete",Finals!O13,"")</f>
        <v/>
      </c>
      <c r="E37" s="93"/>
      <c r="F37" s="93"/>
      <c r="G37" s="94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</row>
    <row r="38" spans="1:28" ht="18.95" customHeight="1">
      <c r="A38" s="71"/>
      <c r="B38" s="82" t="str">
        <f>Finals!D13</f>
        <v/>
      </c>
      <c r="C38" s="83"/>
      <c r="D38" s="84" t="str">
        <f>IF(Finals!R13="Complete",Finals!P13,"")</f>
        <v/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28" ht="18.95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 t="str">
        <f>IF(Setup!$E$6="Yes","THIRD-PLACE PLAYOFF","")</f>
        <v>THIRD-PLACE PLAYOFF</v>
      </c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28" ht="18.95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 t="str">
        <f>IF(N39="","",Finals!C29)</f>
        <v/>
      </c>
      <c r="O40" s="71"/>
      <c r="P40" s="71" t="str">
        <f>IF(N39="","",IF(Finals!R29="Complete",Finals!O29,""))</f>
        <v/>
      </c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28" ht="18.95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 t="str">
        <f>IF(N39="","",Finals!D29)</f>
        <v/>
      </c>
      <c r="O41" s="71"/>
      <c r="P41" s="71" t="str">
        <f>IF(N39="","",IF(Finals!R29="Complete",Finals!P29,""))</f>
        <v/>
      </c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</row>
    <row r="42" spans="1:28" ht="18.95" customHeight="1">
      <c r="A42" s="98"/>
      <c r="B42" s="99" t="s">
        <v>258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900-000001000000}">
            <xm:f>Setup!$E$6="Yes"</xm:f>
            <x14:dxf>
              <font>
                <color rgb="FF000000"/>
              </font>
              <fill>
                <patternFill>
                  <bgColor rgb="FFFFF2CC"/>
                </patternFill>
              </fill>
            </x14:dxf>
          </x14:cfRule>
          <xm:sqref>N39:P41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70"/>
  <sheetViews>
    <sheetView workbookViewId="0">
      <selection activeCell="G9" sqref="G9"/>
    </sheetView>
  </sheetViews>
  <sheetFormatPr defaultRowHeight="14.25"/>
  <cols>
    <col min="1" max="1" width="8" customWidth="1"/>
    <col min="2" max="2" width="7" customWidth="1"/>
    <col min="3" max="3" width="8" customWidth="1"/>
    <col min="4" max="4" width="22" customWidth="1"/>
    <col min="5" max="5" width="10" customWidth="1"/>
    <col min="6" max="6" width="22" customWidth="1"/>
    <col min="7" max="7" width="28" customWidth="1"/>
    <col min="8" max="8" width="22" customWidth="1"/>
    <col min="9" max="9" width="7.5" customWidth="1"/>
    <col min="10" max="10" width="14" customWidth="1"/>
    <col min="11" max="11" width="11" customWidth="1"/>
    <col min="12" max="12" width="22" customWidth="1"/>
    <col min="13" max="13" width="10" customWidth="1"/>
    <col min="14" max="15" width="22" customWidth="1"/>
  </cols>
  <sheetData>
    <row r="1" spans="1:15" ht="23.25">
      <c r="A1" s="48"/>
      <c r="B1" s="42" t="s">
        <v>216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>
      <c r="A2" s="49"/>
      <c r="B2" s="43" t="str">
        <f>"Competition: "&amp;Setup!$B$3&amp;"   |   "&amp;Setup!$B$5&amp;" pools × "&amp;Setup!$B$6&amp;" teams   |   "&amp;Setup!$B$7&amp;"-set maximum"</f>
        <v>Competition: Set Score Tournament   |    pools ×  teams   |   -set maximum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>
      <c r="A3" s="12"/>
      <c r="B3" s="44" t="s">
        <v>217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18">
      <c r="A5" s="45" t="s">
        <v>218</v>
      </c>
      <c r="B5" s="50"/>
      <c r="C5" s="11" t="str">
        <f>Setup!B3</f>
        <v>Set Score Tournament</v>
      </c>
      <c r="D5" s="12"/>
      <c r="E5" s="12"/>
      <c r="F5" s="12"/>
      <c r="G5" s="12"/>
      <c r="H5" s="12"/>
      <c r="I5" s="45" t="s">
        <v>219</v>
      </c>
      <c r="J5" s="50"/>
      <c r="K5" s="137" t="str">
        <f>IF(Finals!R26="Complete",Finals!Q26,"TBD")</f>
        <v>TBD</v>
      </c>
      <c r="L5" s="51"/>
      <c r="M5" s="51"/>
      <c r="N5" s="51"/>
      <c r="O5" s="51"/>
    </row>
    <row r="6" spans="1:15" ht="15">
      <c r="A6" s="45" t="s">
        <v>220</v>
      </c>
      <c r="B6" s="50"/>
      <c r="C6" s="6">
        <f>Setup!B5*Setup!B13</f>
        <v>0</v>
      </c>
      <c r="D6" s="12"/>
      <c r="E6" s="12"/>
      <c r="F6" s="12"/>
      <c r="G6" s="12"/>
      <c r="H6" s="12"/>
      <c r="I6" s="45" t="s">
        <v>221</v>
      </c>
      <c r="J6" s="50"/>
      <c r="K6" s="11" t="str">
        <f>IF(Finals!R26&lt;&gt;"Complete","TBD",IF(Finals!Q26=Finals!C26,Finals!D26,Finals!C26))</f>
        <v>TBD</v>
      </c>
      <c r="L6" s="12"/>
      <c r="M6" s="12"/>
      <c r="N6" s="12"/>
      <c r="O6" s="12"/>
    </row>
    <row r="7" spans="1:15" ht="15">
      <c r="A7" s="45" t="s">
        <v>222</v>
      </c>
      <c r="B7" s="50"/>
      <c r="C7" s="6">
        <f>COUNTIF(Scores!$X$2:$X$225,1)</f>
        <v>0</v>
      </c>
      <c r="D7" s="12"/>
      <c r="E7" s="12"/>
      <c r="F7" s="12"/>
      <c r="G7" s="12"/>
      <c r="H7" s="12"/>
      <c r="I7" s="45" t="s">
        <v>223</v>
      </c>
      <c r="J7" s="50"/>
      <c r="K7" s="11" t="str">
        <f>IF(Setup!E6&lt;&gt;"Yes","Not played",IF(Finals!R29="Complete",Finals!Q29,"TBD"))</f>
        <v>TBD</v>
      </c>
      <c r="L7" s="12"/>
      <c r="M7" s="12"/>
      <c r="N7" s="12"/>
      <c r="O7" s="12"/>
    </row>
    <row r="8" spans="1:15" ht="15">
      <c r="A8" s="45" t="s">
        <v>45</v>
      </c>
      <c r="B8" s="50"/>
      <c r="C8" s="6">
        <f>Setup!E4</f>
        <v>0</v>
      </c>
      <c r="D8" s="12"/>
      <c r="E8" s="12"/>
      <c r="F8" s="12"/>
      <c r="G8" s="12"/>
      <c r="H8" s="12"/>
      <c r="I8" s="45" t="s">
        <v>224</v>
      </c>
      <c r="J8" s="50"/>
      <c r="K8" s="11" t="str">
        <f>COUNTIF(Scores!$X$2:$X$225,1)&amp;" / "&amp;(Setup!B5*Setup!B13)&amp;" complete"</f>
        <v>0 / 0 complete</v>
      </c>
      <c r="L8" s="12"/>
      <c r="M8" s="12"/>
      <c r="N8" s="12"/>
      <c r="O8" s="12"/>
    </row>
    <row r="9" spans="1:15" ht="99.75">
      <c r="A9" s="45" t="s">
        <v>225</v>
      </c>
      <c r="B9" s="50"/>
      <c r="C9" s="12" t="str">
        <f>Setup!E5</f>
        <v>Manual finals required</v>
      </c>
      <c r="D9" s="12"/>
      <c r="E9" s="12"/>
      <c r="F9" s="12"/>
      <c r="G9" s="12"/>
      <c r="H9" s="12"/>
      <c r="I9" s="45" t="s">
        <v>226</v>
      </c>
      <c r="J9" s="50"/>
      <c r="K9" s="11" t="str">
        <f>IF(Setup!E3="No Finals","No Finals",IF(Finals!R26="Complete","Complete","In progress"))</f>
        <v>In progress</v>
      </c>
      <c r="L9" s="12"/>
      <c r="M9" s="12"/>
      <c r="N9" s="12"/>
      <c r="O9" s="12"/>
    </row>
    <row r="10" spans="1: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15.75">
      <c r="A11" s="52"/>
      <c r="B11" s="47" t="s">
        <v>227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>
      <c r="A13" s="49" t="str">
        <f>IF(Setup!$B$5&gt;=1,"Pool A","")</f>
        <v/>
      </c>
      <c r="B13" s="49"/>
      <c r="C13" s="49"/>
      <c r="D13" s="12"/>
      <c r="E13" s="49" t="str">
        <f>IF(Setup!$B$5&gt;=2,"Pool B","")</f>
        <v/>
      </c>
      <c r="F13" s="49"/>
      <c r="G13" s="49"/>
      <c r="H13" s="12"/>
      <c r="I13" s="49" t="str">
        <f>IF(Setup!$B$5&gt;=3,"Pool C","")</f>
        <v/>
      </c>
      <c r="J13" s="49"/>
      <c r="K13" s="49"/>
      <c r="L13" s="12"/>
      <c r="M13" s="49" t="str">
        <f>IF(Setup!$B$5&gt;=4,"Pool D","")</f>
        <v/>
      </c>
      <c r="N13" s="49"/>
      <c r="O13" s="49"/>
    </row>
    <row r="14" spans="1:15">
      <c r="A14" s="54" t="str">
        <f>IF(Setup!$B$5&gt;=1,"Pos","")</f>
        <v/>
      </c>
      <c r="B14" s="54" t="str">
        <f>IF(Setup!$B$5&gt;=1,"Team","")</f>
        <v/>
      </c>
      <c r="C14" s="54" t="str">
        <f>IF(Setup!$B$5&gt;=1,"Pts","")</f>
        <v/>
      </c>
      <c r="D14" s="12"/>
      <c r="E14" s="54" t="str">
        <f>IF(Setup!$B$5&gt;=2,"Pos","")</f>
        <v/>
      </c>
      <c r="F14" s="54" t="str">
        <f>IF(Setup!$B$5&gt;=2,"Team","")</f>
        <v/>
      </c>
      <c r="G14" s="54" t="str">
        <f>IF(Setup!$B$5&gt;=2,"Pts","")</f>
        <v/>
      </c>
      <c r="H14" s="12"/>
      <c r="I14" s="54" t="str">
        <f>IF(Setup!$B$5&gt;=3,"Pos","")</f>
        <v/>
      </c>
      <c r="J14" s="54" t="str">
        <f>IF(Setup!$B$5&gt;=3,"Team","")</f>
        <v/>
      </c>
      <c r="K14" s="54" t="str">
        <f>IF(Setup!$B$5&gt;=3,"Pts","")</f>
        <v/>
      </c>
      <c r="L14" s="12"/>
      <c r="M14" s="54" t="str">
        <f>IF(Setup!$B$5&gt;=4,"Pos","")</f>
        <v/>
      </c>
      <c r="N14" s="54" t="str">
        <f>IF(Setup!$B$5&gt;=4,"Team","")</f>
        <v/>
      </c>
      <c r="O14" s="54" t="str">
        <f>IF(Setup!$B$5&gt;=4,"Pts","")</f>
        <v/>
      </c>
    </row>
    <row r="15" spans="1:15" ht="42.75">
      <c r="A15" s="6" t="str">
        <f>IF(Setup!$B$5&lt;1,"",IF(IFERROR(INDEX(Calculations!$E$2:$E$65,(1-1)*8+MATCH(1,Calculations!$R$2:$R$9,0)),"")="","",1))</f>
        <v/>
      </c>
      <c r="B15" s="12" t="str">
        <f>IF(Setup!$B$5&lt;1,"",IFERROR(INDEX(Calculations!$E$2:$E$65,(1-1)*8+MATCH(1,Calculations!$R$2:$R$9,0)),""))</f>
        <v/>
      </c>
      <c r="C15" s="6" t="str">
        <f>IF(Setup!$B$5&lt;1,"",IFERROR(INDEX(Calculations!$P$2:$P$65,(1-1)*8+MATCH(1,Calculations!$R$2:$R$9,0)),""))</f>
        <v/>
      </c>
      <c r="D15" s="12"/>
      <c r="E15" s="6" t="str">
        <f>IF(Setup!$B$5&lt;2,"",IF(IFERROR(INDEX(Calculations!$E$2:$E$65,(2-1)*8+MATCH(1,Calculations!$R$10:$R$17,0)),"")="","",1))</f>
        <v/>
      </c>
      <c r="F15" s="12" t="str">
        <f>IF(Setup!$B$5&lt;2,"",IFERROR(INDEX(Calculations!$E$2:$E$65,(2-1)*8+MATCH(1,Calculations!$R$10:$R$17,0)),""))</f>
        <v/>
      </c>
      <c r="G15" s="6" t="str">
        <f>IF(Setup!$B$5&lt;2,"",IFERROR(INDEX(Calculations!$P$2:$P$65,(2-1)*8+MATCH(1,Calculations!$R$10:$R$17,0)),""))</f>
        <v/>
      </c>
      <c r="H15" s="12"/>
      <c r="I15" s="6" t="str">
        <f>IF(Setup!$B$5&lt;3,"",IF(IFERROR(INDEX(Calculations!$E$2:$E$65,(3-1)*8+MATCH(1,Calculations!$R$18:$R$25,0)),"")="","",1))</f>
        <v/>
      </c>
      <c r="J15" s="12" t="str">
        <f>IF(Setup!$B$5&lt;3,"",IFERROR(INDEX(Calculations!$E$2:$E$65,(3-1)*8+MATCH(1,Calculations!$R$18:$R$25,0)),""))</f>
        <v/>
      </c>
      <c r="K15" s="6" t="str">
        <f>IF(Setup!$B$5&lt;3,"",IFERROR(INDEX(Calculations!$P$2:$P$65,(3-1)*8+MATCH(1,Calculations!$R$18:$R$25,0)),""))</f>
        <v/>
      </c>
      <c r="L15" s="12"/>
      <c r="M15" s="6" t="str">
        <f>IF(Setup!$B$5&lt;4,"",IF(IFERROR(INDEX(Calculations!$E$2:$E$65,(4-1)*8+MATCH(1,Calculations!$R$26:$R$33,0)),"")="","",1))</f>
        <v/>
      </c>
      <c r="N15" s="12" t="str">
        <f>IF(Setup!$B$5&lt;4,"",IFERROR(INDEX(Calculations!$E$2:$E$65,(4-1)*8+MATCH(1,Calculations!$R$26:$R$33,0)),""))</f>
        <v/>
      </c>
      <c r="O15" s="6" t="str">
        <f>IF(Setup!$B$5&lt;4,"",IFERROR(INDEX(Calculations!$P$2:$P$65,(4-1)*8+MATCH(1,Calculations!$R$26:$R$33,0)),""))</f>
        <v/>
      </c>
    </row>
    <row r="16" spans="1:15" ht="42.75">
      <c r="A16" s="6" t="str">
        <f>IF(Setup!$B$5&lt;1,"",IF(IFERROR(INDEX(Calculations!$E$2:$E$65,(1-1)*8+MATCH(2,Calculations!$R$2:$R$9,0)),"")="","",2))</f>
        <v/>
      </c>
      <c r="B16" s="12" t="str">
        <f>IF(Setup!$B$5&lt;1,"",IFERROR(INDEX(Calculations!$E$2:$E$65,(1-1)*8+MATCH(2,Calculations!$R$2:$R$9,0)),""))</f>
        <v/>
      </c>
      <c r="C16" s="6" t="str">
        <f>IF(Setup!$B$5&lt;1,"",IFERROR(INDEX(Calculations!$P$2:$P$65,(1-1)*8+MATCH(2,Calculations!$R$2:$R$9,0)),""))</f>
        <v/>
      </c>
      <c r="D16" s="12"/>
      <c r="E16" s="6" t="str">
        <f>IF(Setup!$B$5&lt;2,"",IF(IFERROR(INDEX(Calculations!$E$2:$E$65,(2-1)*8+MATCH(2,Calculations!$R$10:$R$17,0)),"")="","",2))</f>
        <v/>
      </c>
      <c r="F16" s="12" t="str">
        <f>IF(Setup!$B$5&lt;2,"",IFERROR(INDEX(Calculations!$E$2:$E$65,(2-1)*8+MATCH(2,Calculations!$R$10:$R$17,0)),""))</f>
        <v/>
      </c>
      <c r="G16" s="6" t="str">
        <f>IF(Setup!$B$5&lt;2,"",IFERROR(INDEX(Calculations!$P$2:$P$65,(2-1)*8+MATCH(2,Calculations!$R$10:$R$17,0)),""))</f>
        <v/>
      </c>
      <c r="H16" s="12"/>
      <c r="I16" s="6" t="str">
        <f>IF(Setup!$B$5&lt;3,"",IF(IFERROR(INDEX(Calculations!$E$2:$E$65,(3-1)*8+MATCH(2,Calculations!$R$18:$R$25,0)),"")="","",2))</f>
        <v/>
      </c>
      <c r="J16" s="12" t="str">
        <f>IF(Setup!$B$5&lt;3,"",IFERROR(INDEX(Calculations!$E$2:$E$65,(3-1)*8+MATCH(2,Calculations!$R$18:$R$25,0)),""))</f>
        <v/>
      </c>
      <c r="K16" s="6" t="str">
        <f>IF(Setup!$B$5&lt;3,"",IFERROR(INDEX(Calculations!$P$2:$P$65,(3-1)*8+MATCH(2,Calculations!$R$18:$R$25,0)),""))</f>
        <v/>
      </c>
      <c r="L16" s="12"/>
      <c r="M16" s="6" t="str">
        <f>IF(Setup!$B$5&lt;4,"",IF(IFERROR(INDEX(Calculations!$E$2:$E$65,(4-1)*8+MATCH(2,Calculations!$R$26:$R$33,0)),"")="","",2))</f>
        <v/>
      </c>
      <c r="N16" s="12" t="str">
        <f>IF(Setup!$B$5&lt;4,"",IFERROR(INDEX(Calculations!$E$2:$E$65,(4-1)*8+MATCH(2,Calculations!$R$26:$R$33,0)),""))</f>
        <v/>
      </c>
      <c r="O16" s="6" t="str">
        <f>IF(Setup!$B$5&lt;4,"",IFERROR(INDEX(Calculations!$P$2:$P$65,(4-1)*8+MATCH(2,Calculations!$R$26:$R$33,0)),""))</f>
        <v/>
      </c>
    </row>
    <row r="17" spans="1:15" ht="42.75">
      <c r="A17" s="6" t="str">
        <f>IF(Setup!$B$5&lt;1,"",IF(IFERROR(INDEX(Calculations!$E$2:$E$65,(1-1)*8+MATCH(3,Calculations!$R$2:$R$9,0)),"")="","",3))</f>
        <v/>
      </c>
      <c r="B17" s="12" t="str">
        <f>IF(Setup!$B$5&lt;1,"",IFERROR(INDEX(Calculations!$E$2:$E$65,(1-1)*8+MATCH(3,Calculations!$R$2:$R$9,0)),""))</f>
        <v/>
      </c>
      <c r="C17" s="6" t="str">
        <f>IF(Setup!$B$5&lt;1,"",IFERROR(INDEX(Calculations!$P$2:$P$65,(1-1)*8+MATCH(3,Calculations!$R$2:$R$9,0)),""))</f>
        <v/>
      </c>
      <c r="D17" s="12"/>
      <c r="E17" s="6" t="str">
        <f>IF(Setup!$B$5&lt;2,"",IF(IFERROR(INDEX(Calculations!$E$2:$E$65,(2-1)*8+MATCH(3,Calculations!$R$10:$R$17,0)),"")="","",3))</f>
        <v/>
      </c>
      <c r="F17" s="12" t="str">
        <f>IF(Setup!$B$5&lt;2,"",IFERROR(INDEX(Calculations!$E$2:$E$65,(2-1)*8+MATCH(3,Calculations!$R$10:$R$17,0)),""))</f>
        <v/>
      </c>
      <c r="G17" s="6" t="str">
        <f>IF(Setup!$B$5&lt;2,"",IFERROR(INDEX(Calculations!$P$2:$P$65,(2-1)*8+MATCH(3,Calculations!$R$10:$R$17,0)),""))</f>
        <v/>
      </c>
      <c r="H17" s="12"/>
      <c r="I17" s="6" t="str">
        <f>IF(Setup!$B$5&lt;3,"",IF(IFERROR(INDEX(Calculations!$E$2:$E$65,(3-1)*8+MATCH(3,Calculations!$R$18:$R$25,0)),"")="","",3))</f>
        <v/>
      </c>
      <c r="J17" s="12" t="str">
        <f>IF(Setup!$B$5&lt;3,"",IFERROR(INDEX(Calculations!$E$2:$E$65,(3-1)*8+MATCH(3,Calculations!$R$18:$R$25,0)),""))</f>
        <v/>
      </c>
      <c r="K17" s="6" t="str">
        <f>IF(Setup!$B$5&lt;3,"",IFERROR(INDEX(Calculations!$P$2:$P$65,(3-1)*8+MATCH(3,Calculations!$R$18:$R$25,0)),""))</f>
        <v/>
      </c>
      <c r="L17" s="12"/>
      <c r="M17" s="6" t="str">
        <f>IF(Setup!$B$5&lt;4,"",IF(IFERROR(INDEX(Calculations!$E$2:$E$65,(4-1)*8+MATCH(3,Calculations!$R$26:$R$33,0)),"")="","",3))</f>
        <v/>
      </c>
      <c r="N17" s="12" t="str">
        <f>IF(Setup!$B$5&lt;4,"",IFERROR(INDEX(Calculations!$E$2:$E$65,(4-1)*8+MATCH(3,Calculations!$R$26:$R$33,0)),""))</f>
        <v/>
      </c>
      <c r="O17" s="6" t="str">
        <f>IF(Setup!$B$5&lt;4,"",IFERROR(INDEX(Calculations!$P$2:$P$65,(4-1)*8+MATCH(3,Calculations!$R$26:$R$33,0)),""))</f>
        <v/>
      </c>
    </row>
    <row r="18" spans="1:15" ht="42.75">
      <c r="A18" s="6" t="str">
        <f>IF(Setup!$B$5&lt;1,"",IF(IFERROR(INDEX(Calculations!$E$2:$E$65,(1-1)*8+MATCH(4,Calculations!$R$2:$R$9,0)),"")="","",4))</f>
        <v/>
      </c>
      <c r="B18" s="12" t="str">
        <f>IF(Setup!$B$5&lt;1,"",IFERROR(INDEX(Calculations!$E$2:$E$65,(1-1)*8+MATCH(4,Calculations!$R$2:$R$9,0)),""))</f>
        <v/>
      </c>
      <c r="C18" s="6" t="str">
        <f>IF(Setup!$B$5&lt;1,"",IFERROR(INDEX(Calculations!$P$2:$P$65,(1-1)*8+MATCH(4,Calculations!$R$2:$R$9,0)),""))</f>
        <v/>
      </c>
      <c r="D18" s="12"/>
      <c r="E18" s="6" t="str">
        <f>IF(Setup!$B$5&lt;2,"",IF(IFERROR(INDEX(Calculations!$E$2:$E$65,(2-1)*8+MATCH(4,Calculations!$R$10:$R$17,0)),"")="","",4))</f>
        <v/>
      </c>
      <c r="F18" s="12" t="str">
        <f>IF(Setup!$B$5&lt;2,"",IFERROR(INDEX(Calculations!$E$2:$E$65,(2-1)*8+MATCH(4,Calculations!$R$10:$R$17,0)),""))</f>
        <v/>
      </c>
      <c r="G18" s="6" t="str">
        <f>IF(Setup!$B$5&lt;2,"",IFERROR(INDEX(Calculations!$P$2:$P$65,(2-1)*8+MATCH(4,Calculations!$R$10:$R$17,0)),""))</f>
        <v/>
      </c>
      <c r="H18" s="12"/>
      <c r="I18" s="6" t="str">
        <f>IF(Setup!$B$5&lt;3,"",IF(IFERROR(INDEX(Calculations!$E$2:$E$65,(3-1)*8+MATCH(4,Calculations!$R$18:$R$25,0)),"")="","",4))</f>
        <v/>
      </c>
      <c r="J18" s="12" t="str">
        <f>IF(Setup!$B$5&lt;3,"",IFERROR(INDEX(Calculations!$E$2:$E$65,(3-1)*8+MATCH(4,Calculations!$R$18:$R$25,0)),""))</f>
        <v/>
      </c>
      <c r="K18" s="6" t="str">
        <f>IF(Setup!$B$5&lt;3,"",IFERROR(INDEX(Calculations!$P$2:$P$65,(3-1)*8+MATCH(4,Calculations!$R$18:$R$25,0)),""))</f>
        <v/>
      </c>
      <c r="L18" s="12"/>
      <c r="M18" s="6" t="str">
        <f>IF(Setup!$B$5&lt;4,"",IF(IFERROR(INDEX(Calculations!$E$2:$E$65,(4-1)*8+MATCH(4,Calculations!$R$26:$R$33,0)),"")="","",4))</f>
        <v/>
      </c>
      <c r="N18" s="12" t="str">
        <f>IF(Setup!$B$5&lt;4,"",IFERROR(INDEX(Calculations!$E$2:$E$65,(4-1)*8+MATCH(4,Calculations!$R$26:$R$33,0)),""))</f>
        <v/>
      </c>
      <c r="O18" s="6" t="str">
        <f>IF(Setup!$B$5&lt;4,"",IFERROR(INDEX(Calculations!$P$2:$P$65,(4-1)*8+MATCH(4,Calculations!$R$26:$R$33,0)),""))</f>
        <v/>
      </c>
    </row>
    <row r="19" spans="1:15" ht="42.75">
      <c r="A19" s="6" t="str">
        <f>IF(Setup!$B$5&lt;1,"",IF(IFERROR(INDEX(Calculations!$E$2:$E$65,(1-1)*8+MATCH(5,Calculations!$R$2:$R$9,0)),"")="","",5))</f>
        <v/>
      </c>
      <c r="B19" s="12" t="str">
        <f>IF(Setup!$B$5&lt;1,"",IFERROR(INDEX(Calculations!$E$2:$E$65,(1-1)*8+MATCH(5,Calculations!$R$2:$R$9,0)),""))</f>
        <v/>
      </c>
      <c r="C19" s="6" t="str">
        <f>IF(Setup!$B$5&lt;1,"",IFERROR(INDEX(Calculations!$P$2:$P$65,(1-1)*8+MATCH(5,Calculations!$R$2:$R$9,0)),""))</f>
        <v/>
      </c>
      <c r="D19" s="12"/>
      <c r="E19" s="6" t="str">
        <f>IF(Setup!$B$5&lt;2,"",IF(IFERROR(INDEX(Calculations!$E$2:$E$65,(2-1)*8+MATCH(5,Calculations!$R$10:$R$17,0)),"")="","",5))</f>
        <v/>
      </c>
      <c r="F19" s="12" t="str">
        <f>IF(Setup!$B$5&lt;2,"",IFERROR(INDEX(Calculations!$E$2:$E$65,(2-1)*8+MATCH(5,Calculations!$R$10:$R$17,0)),""))</f>
        <v/>
      </c>
      <c r="G19" s="6" t="str">
        <f>IF(Setup!$B$5&lt;2,"",IFERROR(INDEX(Calculations!$P$2:$P$65,(2-1)*8+MATCH(5,Calculations!$R$10:$R$17,0)),""))</f>
        <v/>
      </c>
      <c r="H19" s="12"/>
      <c r="I19" s="6" t="str">
        <f>IF(Setup!$B$5&lt;3,"",IF(IFERROR(INDEX(Calculations!$E$2:$E$65,(3-1)*8+MATCH(5,Calculations!$R$18:$R$25,0)),"")="","",5))</f>
        <v/>
      </c>
      <c r="J19" s="12" t="str">
        <f>IF(Setup!$B$5&lt;3,"",IFERROR(INDEX(Calculations!$E$2:$E$65,(3-1)*8+MATCH(5,Calculations!$R$18:$R$25,0)),""))</f>
        <v/>
      </c>
      <c r="K19" s="6" t="str">
        <f>IF(Setup!$B$5&lt;3,"",IFERROR(INDEX(Calculations!$P$2:$P$65,(3-1)*8+MATCH(5,Calculations!$R$18:$R$25,0)),""))</f>
        <v/>
      </c>
      <c r="L19" s="12"/>
      <c r="M19" s="6" t="str">
        <f>IF(Setup!$B$5&lt;4,"",IF(IFERROR(INDEX(Calculations!$E$2:$E$65,(4-1)*8+MATCH(5,Calculations!$R$26:$R$33,0)),"")="","",5))</f>
        <v/>
      </c>
      <c r="N19" s="12" t="str">
        <f>IF(Setup!$B$5&lt;4,"",IFERROR(INDEX(Calculations!$E$2:$E$65,(4-1)*8+MATCH(5,Calculations!$R$26:$R$33,0)),""))</f>
        <v/>
      </c>
      <c r="O19" s="6" t="str">
        <f>IF(Setup!$B$5&lt;4,"",IFERROR(INDEX(Calculations!$P$2:$P$65,(4-1)*8+MATCH(5,Calculations!$R$26:$R$33,0)),""))</f>
        <v/>
      </c>
    </row>
    <row r="20" spans="1:15" ht="42.75">
      <c r="A20" s="6" t="str">
        <f>IF(Setup!$B$5&lt;1,"",IF(IFERROR(INDEX(Calculations!$E$2:$E$65,(1-1)*8+MATCH(6,Calculations!$R$2:$R$9,0)),"")="","",6))</f>
        <v/>
      </c>
      <c r="B20" s="12" t="str">
        <f>IF(Setup!$B$5&lt;1,"",IFERROR(INDEX(Calculations!$E$2:$E$65,(1-1)*8+MATCH(6,Calculations!$R$2:$R$9,0)),""))</f>
        <v/>
      </c>
      <c r="C20" s="6" t="str">
        <f>IF(Setup!$B$5&lt;1,"",IFERROR(INDEX(Calculations!$P$2:$P$65,(1-1)*8+MATCH(6,Calculations!$R$2:$R$9,0)),""))</f>
        <v/>
      </c>
      <c r="D20" s="12"/>
      <c r="E20" s="6" t="str">
        <f>IF(Setup!$B$5&lt;2,"",IF(IFERROR(INDEX(Calculations!$E$2:$E$65,(2-1)*8+MATCH(6,Calculations!$R$10:$R$17,0)),"")="","",6))</f>
        <v/>
      </c>
      <c r="F20" s="12" t="str">
        <f>IF(Setup!$B$5&lt;2,"",IFERROR(INDEX(Calculations!$E$2:$E$65,(2-1)*8+MATCH(6,Calculations!$R$10:$R$17,0)),""))</f>
        <v/>
      </c>
      <c r="G20" s="6" t="str">
        <f>IF(Setup!$B$5&lt;2,"",IFERROR(INDEX(Calculations!$P$2:$P$65,(2-1)*8+MATCH(6,Calculations!$R$10:$R$17,0)),""))</f>
        <v/>
      </c>
      <c r="H20" s="12"/>
      <c r="I20" s="12" t="str">
        <f>IF(Setup!$B$5&lt;3,"",IF(IFERROR(INDEX(Calculations!$E$2:$E$65,(3-1)*8+MATCH(6,Calculations!$R$18:$R$25,0)),"")="","",6))</f>
        <v/>
      </c>
      <c r="J20" s="12" t="str">
        <f>IF(Setup!$B$5&lt;3,"",IFERROR(INDEX(Calculations!$E$2:$E$65,(3-1)*8+MATCH(6,Calculations!$R$18:$R$25,0)),""))</f>
        <v/>
      </c>
      <c r="K20" s="6" t="str">
        <f>IF(Setup!$B$5&lt;3,"",IFERROR(INDEX(Calculations!$P$2:$P$65,(3-1)*8+MATCH(6,Calculations!$R$18:$R$25,0)),""))</f>
        <v/>
      </c>
      <c r="L20" s="12"/>
      <c r="M20" s="6" t="str">
        <f>IF(Setup!$B$5&lt;4,"",IF(IFERROR(INDEX(Calculations!$E$2:$E$65,(4-1)*8+MATCH(6,Calculations!$R$26:$R$33,0)),"")="","",6))</f>
        <v/>
      </c>
      <c r="N20" s="12" t="str">
        <f>IF(Setup!$B$5&lt;4,"",IFERROR(INDEX(Calculations!$E$2:$E$65,(4-1)*8+MATCH(6,Calculations!$R$26:$R$33,0)),""))</f>
        <v/>
      </c>
      <c r="O20" s="6" t="str">
        <f>IF(Setup!$B$5&lt;4,"",IFERROR(INDEX(Calculations!$P$2:$P$65,(4-1)*8+MATCH(6,Calculations!$R$26:$R$33,0)),""))</f>
        <v/>
      </c>
    </row>
    <row r="21" spans="1:15" ht="42.75">
      <c r="A21" s="6" t="str">
        <f>IF(Setup!$B$5&lt;1,"",IF(IFERROR(INDEX(Calculations!$E$2:$E$65,(1-1)*8+MATCH(7,Calculations!$R$2:$R$9,0)),"")="","",7))</f>
        <v/>
      </c>
      <c r="B21" s="12" t="str">
        <f>IF(Setup!$B$5&lt;1,"",IFERROR(INDEX(Calculations!$E$2:$E$65,(1-1)*8+MATCH(7,Calculations!$R$2:$R$9,0)),""))</f>
        <v/>
      </c>
      <c r="C21" s="6" t="str">
        <f>IF(Setup!$B$5&lt;1,"",IFERROR(INDEX(Calculations!$P$2:$P$65,(1-1)*8+MATCH(7,Calculations!$R$2:$R$9,0)),""))</f>
        <v/>
      </c>
      <c r="D21" s="12"/>
      <c r="E21" s="6" t="str">
        <f>IF(Setup!$B$5&lt;2,"",IF(IFERROR(INDEX(Calculations!$E$2:$E$65,(2-1)*8+MATCH(7,Calculations!$R$10:$R$17,0)),"")="","",7))</f>
        <v/>
      </c>
      <c r="F21" s="12" t="str">
        <f>IF(Setup!$B$5&lt;2,"",IFERROR(INDEX(Calculations!$E$2:$E$65,(2-1)*8+MATCH(7,Calculations!$R$10:$R$17,0)),""))</f>
        <v/>
      </c>
      <c r="G21" s="6" t="str">
        <f>IF(Setup!$B$5&lt;2,"",IFERROR(INDEX(Calculations!$P$2:$P$65,(2-1)*8+MATCH(7,Calculations!$R$10:$R$17,0)),""))</f>
        <v/>
      </c>
      <c r="H21" s="12"/>
      <c r="I21" s="12" t="str">
        <f>IF(Setup!$B$5&lt;3,"",IF(IFERROR(INDEX(Calculations!$E$2:$E$65,(3-1)*8+MATCH(7,Calculations!$R$18:$R$25,0)),"")="","",7))</f>
        <v/>
      </c>
      <c r="J21" s="12" t="str">
        <f>IF(Setup!$B$5&lt;3,"",IFERROR(INDEX(Calculations!$E$2:$E$65,(3-1)*8+MATCH(7,Calculations!$R$18:$R$25,0)),""))</f>
        <v/>
      </c>
      <c r="K21" s="6" t="str">
        <f>IF(Setup!$B$5&lt;3,"",IFERROR(INDEX(Calculations!$P$2:$P$65,(3-1)*8+MATCH(7,Calculations!$R$18:$R$25,0)),""))</f>
        <v/>
      </c>
      <c r="L21" s="12"/>
      <c r="M21" s="6" t="str">
        <f>IF(Setup!$B$5&lt;4,"",IF(IFERROR(INDEX(Calculations!$E$2:$E$65,(4-1)*8+MATCH(7,Calculations!$R$26:$R$33,0)),"")="","",7))</f>
        <v/>
      </c>
      <c r="N21" s="12" t="str">
        <f>IF(Setup!$B$5&lt;4,"",IFERROR(INDEX(Calculations!$E$2:$E$65,(4-1)*8+MATCH(7,Calculations!$R$26:$R$33,0)),""))</f>
        <v/>
      </c>
      <c r="O21" s="6" t="str">
        <f>IF(Setup!$B$5&lt;4,"",IFERROR(INDEX(Calculations!$P$2:$P$65,(4-1)*8+MATCH(7,Calculations!$R$26:$R$33,0)),""))</f>
        <v/>
      </c>
    </row>
    <row r="22" spans="1:15" ht="42.75">
      <c r="A22" s="6" t="str">
        <f>IF(Setup!$B$5&lt;1,"",IF(IFERROR(INDEX(Calculations!$E$2:$E$65,(1-1)*8+MATCH(8,Calculations!$R$2:$R$9,0)),"")="","",8))</f>
        <v/>
      </c>
      <c r="B22" s="12" t="str">
        <f>IF(Setup!$B$5&lt;1,"",IFERROR(INDEX(Calculations!$E$2:$E$65,(1-1)*8+MATCH(8,Calculations!$R$2:$R$9,0)),""))</f>
        <v/>
      </c>
      <c r="C22" s="6" t="str">
        <f>IF(Setup!$B$5&lt;1,"",IFERROR(INDEX(Calculations!$P$2:$P$65,(1-1)*8+MATCH(8,Calculations!$R$2:$R$9,0)),""))</f>
        <v/>
      </c>
      <c r="D22" s="12"/>
      <c r="E22" s="6" t="str">
        <f>IF(Setup!$B$5&lt;2,"",IF(IFERROR(INDEX(Calculations!$E$2:$E$65,(2-1)*8+MATCH(8,Calculations!$R$10:$R$17,0)),"")="","",8))</f>
        <v/>
      </c>
      <c r="F22" s="12" t="str">
        <f>IF(Setup!$B$5&lt;2,"",IFERROR(INDEX(Calculations!$E$2:$E$65,(2-1)*8+MATCH(8,Calculations!$R$10:$R$17,0)),""))</f>
        <v/>
      </c>
      <c r="G22" s="6" t="str">
        <f>IF(Setup!$B$5&lt;2,"",IFERROR(INDEX(Calculations!$P$2:$P$65,(2-1)*8+MATCH(8,Calculations!$R$10:$R$17,0)),""))</f>
        <v/>
      </c>
      <c r="H22" s="12"/>
      <c r="I22" s="12" t="str">
        <f>IF(Setup!$B$5&lt;3,"",IF(IFERROR(INDEX(Calculations!$E$2:$E$65,(3-1)*8+MATCH(8,Calculations!$R$18:$R$25,0)),"")="","",8))</f>
        <v/>
      </c>
      <c r="J22" s="12" t="str">
        <f>IF(Setup!$B$5&lt;3,"",IFERROR(INDEX(Calculations!$E$2:$E$65,(3-1)*8+MATCH(8,Calculations!$R$18:$R$25,0)),""))</f>
        <v/>
      </c>
      <c r="K22" s="6" t="str">
        <f>IF(Setup!$B$5&lt;3,"",IFERROR(INDEX(Calculations!$P$2:$P$65,(3-1)*8+MATCH(8,Calculations!$R$18:$R$25,0)),""))</f>
        <v/>
      </c>
      <c r="L22" s="12"/>
      <c r="M22" s="6" t="str">
        <f>IF(Setup!$B$5&lt;4,"",IF(IFERROR(INDEX(Calculations!$E$2:$E$65,(4-1)*8+MATCH(8,Calculations!$R$26:$R$33,0)),"")="","",8))</f>
        <v/>
      </c>
      <c r="N22" s="12" t="str">
        <f>IF(Setup!$B$5&lt;4,"",IFERROR(INDEX(Calculations!$E$2:$E$65,(4-1)*8+MATCH(8,Calculations!$R$26:$R$33,0)),""))</f>
        <v/>
      </c>
      <c r="O22" s="6" t="str">
        <f>IF(Setup!$B$5&lt;4,"",IFERROR(INDEX(Calculations!$P$2:$P$65,(4-1)*8+MATCH(8,Calculations!$R$26:$R$33,0)),""))</f>
        <v/>
      </c>
    </row>
    <row r="23" spans="1:15">
      <c r="A23" s="6"/>
      <c r="B23" s="12"/>
      <c r="C23" s="6"/>
      <c r="D23" s="12"/>
      <c r="E23" s="6"/>
      <c r="F23" s="12"/>
      <c r="G23" s="6"/>
      <c r="H23" s="12"/>
      <c r="I23" s="12"/>
      <c r="J23" s="12"/>
      <c r="K23" s="6"/>
      <c r="L23" s="12"/>
      <c r="M23" s="6"/>
      <c r="N23" s="12"/>
      <c r="O23" s="6"/>
    </row>
    <row r="24" spans="1:15">
      <c r="A24" s="49" t="str">
        <f>IF(Setup!$B$5&gt;=5,"Pool E","")</f>
        <v/>
      </c>
      <c r="B24" s="49"/>
      <c r="C24" s="49"/>
      <c r="D24" s="12"/>
      <c r="E24" s="49" t="str">
        <f>IF(Setup!$B$5&gt;=6,"Pool F","")</f>
        <v/>
      </c>
      <c r="F24" s="49"/>
      <c r="G24" s="49"/>
      <c r="H24" s="12"/>
      <c r="I24" s="49" t="str">
        <f>IF(Setup!$B$5&gt;=7,"Pool G","")</f>
        <v/>
      </c>
      <c r="J24" s="49"/>
      <c r="K24" s="49"/>
      <c r="L24" s="12"/>
      <c r="M24" s="49" t="str">
        <f>IF(Setup!$B$5&gt;=8,"Pool H","")</f>
        <v/>
      </c>
      <c r="N24" s="49"/>
      <c r="O24" s="49"/>
    </row>
    <row r="25" spans="1:15">
      <c r="A25" s="54" t="str">
        <f>IF(Setup!$B$5&gt;=5,"Pos","")</f>
        <v/>
      </c>
      <c r="B25" s="54" t="str">
        <f>IF(Setup!$B$5&gt;=5,"Team","")</f>
        <v/>
      </c>
      <c r="C25" s="54" t="str">
        <f>IF(Setup!$B$5&gt;=5,"Pts","")</f>
        <v/>
      </c>
      <c r="D25" s="12"/>
      <c r="E25" s="54" t="str">
        <f>IF(Setup!$B$5&gt;=6,"Pos","")</f>
        <v/>
      </c>
      <c r="F25" s="54" t="str">
        <f>IF(Setup!$B$5&gt;=6,"Team","")</f>
        <v/>
      </c>
      <c r="G25" s="54" t="str">
        <f>IF(Setup!$B$5&gt;=6,"Pts","")</f>
        <v/>
      </c>
      <c r="H25" s="12"/>
      <c r="I25" s="54" t="str">
        <f>IF(Setup!$B$5&gt;=7,"Pos","")</f>
        <v/>
      </c>
      <c r="J25" s="54" t="str">
        <f>IF(Setup!$B$5&gt;=7,"Team","")</f>
        <v/>
      </c>
      <c r="K25" s="54" t="str">
        <f>IF(Setup!$B$5&gt;=7,"Pts","")</f>
        <v/>
      </c>
      <c r="L25" s="12"/>
      <c r="M25" s="54" t="str">
        <f>IF(Setup!$B$5&gt;=8,"Pos","")</f>
        <v/>
      </c>
      <c r="N25" s="54" t="str">
        <f>IF(Setup!$B$5&gt;=8,"Team","")</f>
        <v/>
      </c>
      <c r="O25" s="54" t="str">
        <f>IF(Setup!$B$5&gt;=8,"Pts","")</f>
        <v/>
      </c>
    </row>
    <row r="26" spans="1:15" ht="42.75">
      <c r="A26" s="6" t="str">
        <f>IF(Setup!$B$5&lt;5,"",IF(IFERROR(INDEX(Calculations!$E$2:$E$65,(5-1)*8+MATCH(1,Calculations!$R$34:$R$41,0)),"")="","",1))</f>
        <v/>
      </c>
      <c r="B26" s="12" t="str">
        <f>IF(Setup!$B$5&lt;5,"",IFERROR(INDEX(Calculations!$E$2:$E$65,(5-1)*8+MATCH(1,Calculations!$R$34:$R$41,0)),""))</f>
        <v/>
      </c>
      <c r="C26" s="6" t="str">
        <f>IF(Setup!$B$5&lt;5,"",IFERROR(INDEX(Calculations!$P$2:$P$65,(5-1)*8+MATCH(1,Calculations!$R$34:$R$41,0)),""))</f>
        <v/>
      </c>
      <c r="D26" s="12"/>
      <c r="E26" s="6" t="str">
        <f>IF(Setup!$B$5&lt;6,"",IF(IFERROR(INDEX(Calculations!$E$2:$E$65,(6-1)*8+MATCH(1,Calculations!$R$42:$R$49,0)),"")="","",1))</f>
        <v/>
      </c>
      <c r="F26" s="12" t="str">
        <f>IF(Setup!$B$5&lt;6,"",IFERROR(INDEX(Calculations!$E$2:$E$65,(6-1)*8+MATCH(1,Calculations!$R$42:$R$49,0)),""))</f>
        <v/>
      </c>
      <c r="G26" s="6" t="str">
        <f>IF(Setup!$B$5&lt;6,"",IFERROR(INDEX(Calculations!$P$2:$P$65,(6-1)*8+MATCH(1,Calculations!$R$42:$R$49,0)),""))</f>
        <v/>
      </c>
      <c r="H26" s="12"/>
      <c r="I26" s="6" t="str">
        <f>IF(Setup!$B$5&lt;7,"",IF(IFERROR(INDEX(Calculations!$E$2:$E$65,(7-1)*8+MATCH(1,Calculations!$R$50:$R$57,0)),"")="","",1))</f>
        <v/>
      </c>
      <c r="J26" s="12" t="str">
        <f>IF(Setup!$B$5&lt;7,"",IFERROR(INDEX(Calculations!$E$2:$E$65,(7-1)*8+MATCH(1,Calculations!$R$50:$R$57,0)),""))</f>
        <v/>
      </c>
      <c r="K26" s="6" t="str">
        <f>IF(Setup!$B$5&lt;7,"",IFERROR(INDEX(Calculations!$P$2:$P$65,(7-1)*8+MATCH(1,Calculations!$R$50:$R$57,0)),""))</f>
        <v/>
      </c>
      <c r="L26" s="12"/>
      <c r="M26" s="6" t="str">
        <f>IF(Setup!$B$5&lt;8,"",IF(IFERROR(INDEX(Calculations!$E$2:$E$65,(8-1)*8+MATCH(1,Calculations!$R$58:$R$65,0)),"")="","",1))</f>
        <v/>
      </c>
      <c r="N26" s="12" t="str">
        <f>IF(Setup!$B$5&lt;8,"",IFERROR(INDEX(Calculations!$E$2:$E$65,(8-1)*8+MATCH(1,Calculations!$R$58:$R$65,0)),""))</f>
        <v/>
      </c>
      <c r="O26" s="6" t="str">
        <f>IF(Setup!$B$5&lt;8,"",IFERROR(INDEX(Calculations!$P$2:$P$65,(8-1)*8+MATCH(1,Calculations!$R$58:$R$65,0)),""))</f>
        <v/>
      </c>
    </row>
    <row r="27" spans="1:15" ht="42.75">
      <c r="A27" s="6" t="str">
        <f>IF(Setup!$B$5&lt;5,"",IF(IFERROR(INDEX(Calculations!$E$2:$E$65,(5-1)*8+MATCH(2,Calculations!$R$34:$R$41,0)),"")="","",2))</f>
        <v/>
      </c>
      <c r="B27" s="12" t="str">
        <f>IF(Setup!$B$5&lt;5,"",IFERROR(INDEX(Calculations!$E$2:$E$65,(5-1)*8+MATCH(2,Calculations!$R$34:$R$41,0)),""))</f>
        <v/>
      </c>
      <c r="C27" s="6" t="str">
        <f>IF(Setup!$B$5&lt;5,"",IFERROR(INDEX(Calculations!$P$2:$P$65,(5-1)*8+MATCH(2,Calculations!$R$34:$R$41,0)),""))</f>
        <v/>
      </c>
      <c r="D27" s="12"/>
      <c r="E27" s="6" t="str">
        <f>IF(Setup!$B$5&lt;6,"",IF(IFERROR(INDEX(Calculations!$E$2:$E$65,(6-1)*8+MATCH(2,Calculations!$R$42:$R$49,0)),"")="","",2))</f>
        <v/>
      </c>
      <c r="F27" s="12" t="str">
        <f>IF(Setup!$B$5&lt;6,"",IFERROR(INDEX(Calculations!$E$2:$E$65,(6-1)*8+MATCH(2,Calculations!$R$42:$R$49,0)),""))</f>
        <v/>
      </c>
      <c r="G27" s="6" t="str">
        <f>IF(Setup!$B$5&lt;6,"",IFERROR(INDEX(Calculations!$P$2:$P$65,(6-1)*8+MATCH(2,Calculations!$R$42:$R$49,0)),""))</f>
        <v/>
      </c>
      <c r="H27" s="12"/>
      <c r="I27" s="6" t="str">
        <f>IF(Setup!$B$5&lt;7,"",IF(IFERROR(INDEX(Calculations!$E$2:$E$65,(7-1)*8+MATCH(2,Calculations!$R$50:$R$57,0)),"")="","",2))</f>
        <v/>
      </c>
      <c r="J27" s="12" t="str">
        <f>IF(Setup!$B$5&lt;7,"",IFERROR(INDEX(Calculations!$E$2:$E$65,(7-1)*8+MATCH(2,Calculations!$R$50:$R$57,0)),""))</f>
        <v/>
      </c>
      <c r="K27" s="6" t="str">
        <f>IF(Setup!$B$5&lt;7,"",IFERROR(INDEX(Calculations!$P$2:$P$65,(7-1)*8+MATCH(2,Calculations!$R$50:$R$57,0)),""))</f>
        <v/>
      </c>
      <c r="L27" s="12"/>
      <c r="M27" s="6" t="str">
        <f>IF(Setup!$B$5&lt;8,"",IF(IFERROR(INDEX(Calculations!$E$2:$E$65,(8-1)*8+MATCH(2,Calculations!$R$58:$R$65,0)),"")="","",2))</f>
        <v/>
      </c>
      <c r="N27" s="12" t="str">
        <f>IF(Setup!$B$5&lt;8,"",IFERROR(INDEX(Calculations!$E$2:$E$65,(8-1)*8+MATCH(2,Calculations!$R$58:$R$65,0)),""))</f>
        <v/>
      </c>
      <c r="O27" s="6" t="str">
        <f>IF(Setup!$B$5&lt;8,"",IFERROR(INDEX(Calculations!$P$2:$P$65,(8-1)*8+MATCH(2,Calculations!$R$58:$R$65,0)),""))</f>
        <v/>
      </c>
    </row>
    <row r="28" spans="1:15" ht="42.75">
      <c r="A28" s="6" t="str">
        <f>IF(Setup!$B$5&lt;5,"",IF(IFERROR(INDEX(Calculations!$E$2:$E$65,(5-1)*8+MATCH(3,Calculations!$R$34:$R$41,0)),"")="","",3))</f>
        <v/>
      </c>
      <c r="B28" s="12" t="str">
        <f>IF(Setup!$B$5&lt;5,"",IFERROR(INDEX(Calculations!$E$2:$E$65,(5-1)*8+MATCH(3,Calculations!$R$34:$R$41,0)),""))</f>
        <v/>
      </c>
      <c r="C28" s="6" t="str">
        <f>IF(Setup!$B$5&lt;5,"",IFERROR(INDEX(Calculations!$P$2:$P$65,(5-1)*8+MATCH(3,Calculations!$R$34:$R$41,0)),""))</f>
        <v/>
      </c>
      <c r="D28" s="12"/>
      <c r="E28" s="6" t="str">
        <f>IF(Setup!$B$5&lt;6,"",IF(IFERROR(INDEX(Calculations!$E$2:$E$65,(6-1)*8+MATCH(3,Calculations!$R$42:$R$49,0)),"")="","",3))</f>
        <v/>
      </c>
      <c r="F28" s="12" t="str">
        <f>IF(Setup!$B$5&lt;6,"",IFERROR(INDEX(Calculations!$E$2:$E$65,(6-1)*8+MATCH(3,Calculations!$R$42:$R$49,0)),""))</f>
        <v/>
      </c>
      <c r="G28" s="6" t="str">
        <f>IF(Setup!$B$5&lt;6,"",IFERROR(INDEX(Calculations!$P$2:$P$65,(6-1)*8+MATCH(3,Calculations!$R$42:$R$49,0)),""))</f>
        <v/>
      </c>
      <c r="H28" s="12"/>
      <c r="I28" s="6" t="str">
        <f>IF(Setup!$B$5&lt;7,"",IF(IFERROR(INDEX(Calculations!$E$2:$E$65,(7-1)*8+MATCH(3,Calculations!$R$50:$R$57,0)),"")="","",3))</f>
        <v/>
      </c>
      <c r="J28" s="12" t="str">
        <f>IF(Setup!$B$5&lt;7,"",IFERROR(INDEX(Calculations!$E$2:$E$65,(7-1)*8+MATCH(3,Calculations!$R$50:$R$57,0)),""))</f>
        <v/>
      </c>
      <c r="K28" s="6" t="str">
        <f>IF(Setup!$B$5&lt;7,"",IFERROR(INDEX(Calculations!$P$2:$P$65,(7-1)*8+MATCH(3,Calculations!$R$50:$R$57,0)),""))</f>
        <v/>
      </c>
      <c r="L28" s="12"/>
      <c r="M28" s="6" t="str">
        <f>IF(Setup!$B$5&lt;8,"",IF(IFERROR(INDEX(Calculations!$E$2:$E$65,(8-1)*8+MATCH(3,Calculations!$R$58:$R$65,0)),"")="","",3))</f>
        <v/>
      </c>
      <c r="N28" s="12" t="str">
        <f>IF(Setup!$B$5&lt;8,"",IFERROR(INDEX(Calculations!$E$2:$E$65,(8-1)*8+MATCH(3,Calculations!$R$58:$R$65,0)),""))</f>
        <v/>
      </c>
      <c r="O28" s="6" t="str">
        <f>IF(Setup!$B$5&lt;8,"",IFERROR(INDEX(Calculations!$P$2:$P$65,(8-1)*8+MATCH(3,Calculations!$R$58:$R$65,0)),""))</f>
        <v/>
      </c>
    </row>
    <row r="29" spans="1:15" ht="42.75">
      <c r="A29" s="6" t="str">
        <f>IF(Setup!$B$5&lt;5,"",IF(IFERROR(INDEX(Calculations!$E$2:$E$65,(5-1)*8+MATCH(4,Calculations!$R$34:$R$41,0)),"")="","",4))</f>
        <v/>
      </c>
      <c r="B29" s="12" t="str">
        <f>IF(Setup!$B$5&lt;5,"",IFERROR(INDEX(Calculations!$E$2:$E$65,(5-1)*8+MATCH(4,Calculations!$R$34:$R$41,0)),""))</f>
        <v/>
      </c>
      <c r="C29" s="6" t="str">
        <f>IF(Setup!$B$5&lt;5,"",IFERROR(INDEX(Calculations!$P$2:$P$65,(5-1)*8+MATCH(4,Calculations!$R$34:$R$41,0)),""))</f>
        <v/>
      </c>
      <c r="D29" s="12"/>
      <c r="E29" s="6" t="str">
        <f>IF(Setup!$B$5&lt;6,"",IF(IFERROR(INDEX(Calculations!$E$2:$E$65,(6-1)*8+MATCH(4,Calculations!$R$42:$R$49,0)),"")="","",4))</f>
        <v/>
      </c>
      <c r="F29" s="12" t="str">
        <f>IF(Setup!$B$5&lt;6,"",IFERROR(INDEX(Calculations!$E$2:$E$65,(6-1)*8+MATCH(4,Calculations!$R$42:$R$49,0)),""))</f>
        <v/>
      </c>
      <c r="G29" s="6" t="str">
        <f>IF(Setup!$B$5&lt;6,"",IFERROR(INDEX(Calculations!$P$2:$P$65,(6-1)*8+MATCH(4,Calculations!$R$42:$R$49,0)),""))</f>
        <v/>
      </c>
      <c r="H29" s="12"/>
      <c r="I29" s="6" t="str">
        <f>IF(Setup!$B$5&lt;7,"",IF(IFERROR(INDEX(Calculations!$E$2:$E$65,(7-1)*8+MATCH(4,Calculations!$R$50:$R$57,0)),"")="","",4))</f>
        <v/>
      </c>
      <c r="J29" s="12" t="str">
        <f>IF(Setup!$B$5&lt;7,"",IFERROR(INDEX(Calculations!$E$2:$E$65,(7-1)*8+MATCH(4,Calculations!$R$50:$R$57,0)),""))</f>
        <v/>
      </c>
      <c r="K29" s="6" t="str">
        <f>IF(Setup!$B$5&lt;7,"",IFERROR(INDEX(Calculations!$P$2:$P$65,(7-1)*8+MATCH(4,Calculations!$R$50:$R$57,0)),""))</f>
        <v/>
      </c>
      <c r="L29" s="12"/>
      <c r="M29" s="6" t="str">
        <f>IF(Setup!$B$5&lt;8,"",IF(IFERROR(INDEX(Calculations!$E$2:$E$65,(8-1)*8+MATCH(4,Calculations!$R$58:$R$65,0)),"")="","",4))</f>
        <v/>
      </c>
      <c r="N29" s="12" t="str">
        <f>IF(Setup!$B$5&lt;8,"",IFERROR(INDEX(Calculations!$E$2:$E$65,(8-1)*8+MATCH(4,Calculations!$R$58:$R$65,0)),""))</f>
        <v/>
      </c>
      <c r="O29" s="6" t="str">
        <f>IF(Setup!$B$5&lt;8,"",IFERROR(INDEX(Calculations!$P$2:$P$65,(8-1)*8+MATCH(4,Calculations!$R$58:$R$65,0)),""))</f>
        <v/>
      </c>
    </row>
    <row r="30" spans="1:15" ht="42.75">
      <c r="A30" s="6" t="str">
        <f>IF(Setup!$B$5&lt;5,"",IF(IFERROR(INDEX(Calculations!$E$2:$E$65,(5-1)*8+MATCH(5,Calculations!$R$34:$R$41,0)),"")="","",5))</f>
        <v/>
      </c>
      <c r="B30" s="12" t="str">
        <f>IF(Setup!$B$5&lt;5,"",IFERROR(INDEX(Calculations!$E$2:$E$65,(5-1)*8+MATCH(5,Calculations!$R$34:$R$41,0)),""))</f>
        <v/>
      </c>
      <c r="C30" s="6" t="str">
        <f>IF(Setup!$B$5&lt;5,"",IFERROR(INDEX(Calculations!$P$2:$P$65,(5-1)*8+MATCH(5,Calculations!$R$34:$R$41,0)),""))</f>
        <v/>
      </c>
      <c r="D30" s="12"/>
      <c r="E30" s="6" t="str">
        <f>IF(Setup!$B$5&lt;6,"",IF(IFERROR(INDEX(Calculations!$E$2:$E$65,(6-1)*8+MATCH(5,Calculations!$R$42:$R$49,0)),"")="","",5))</f>
        <v/>
      </c>
      <c r="F30" s="12" t="str">
        <f>IF(Setup!$B$5&lt;6,"",IFERROR(INDEX(Calculations!$E$2:$E$65,(6-1)*8+MATCH(5,Calculations!$R$42:$R$49,0)),""))</f>
        <v/>
      </c>
      <c r="G30" s="6" t="str">
        <f>IF(Setup!$B$5&lt;6,"",IFERROR(INDEX(Calculations!$P$2:$P$65,(6-1)*8+MATCH(5,Calculations!$R$42:$R$49,0)),""))</f>
        <v/>
      </c>
      <c r="H30" s="12"/>
      <c r="I30" s="6" t="str">
        <f>IF(Setup!$B$5&lt;7,"",IF(IFERROR(INDEX(Calculations!$E$2:$E$65,(7-1)*8+MATCH(5,Calculations!$R$50:$R$57,0)),"")="","",5))</f>
        <v/>
      </c>
      <c r="J30" s="12" t="str">
        <f>IF(Setup!$B$5&lt;7,"",IFERROR(INDEX(Calculations!$E$2:$E$65,(7-1)*8+MATCH(5,Calculations!$R$50:$R$57,0)),""))</f>
        <v/>
      </c>
      <c r="K30" s="6" t="str">
        <f>IF(Setup!$B$5&lt;7,"",IFERROR(INDEX(Calculations!$P$2:$P$65,(7-1)*8+MATCH(5,Calculations!$R$50:$R$57,0)),""))</f>
        <v/>
      </c>
      <c r="L30" s="12"/>
      <c r="M30" s="6" t="str">
        <f>IF(Setup!$B$5&lt;8,"",IF(IFERROR(INDEX(Calculations!$E$2:$E$65,(8-1)*8+MATCH(5,Calculations!$R$58:$R$65,0)),"")="","",5))</f>
        <v/>
      </c>
      <c r="N30" s="12" t="str">
        <f>IF(Setup!$B$5&lt;8,"",IFERROR(INDEX(Calculations!$E$2:$E$65,(8-1)*8+MATCH(5,Calculations!$R$58:$R$65,0)),""))</f>
        <v/>
      </c>
      <c r="O30" s="6" t="str">
        <f>IF(Setup!$B$5&lt;8,"",IFERROR(INDEX(Calculations!$P$2:$P$65,(8-1)*8+MATCH(5,Calculations!$R$58:$R$65,0)),""))</f>
        <v/>
      </c>
    </row>
    <row r="31" spans="1:15" ht="42.75">
      <c r="A31" s="6" t="str">
        <f>IF(Setup!$B$5&lt;5,"",IF(IFERROR(INDEX(Calculations!$E$2:$E$65,(5-1)*8+MATCH(6,Calculations!$R$34:$R$41,0)),"")="","",6))</f>
        <v/>
      </c>
      <c r="B31" s="12" t="str">
        <f>IF(Setup!$B$5&lt;5,"",IFERROR(INDEX(Calculations!$E$2:$E$65,(5-1)*8+MATCH(6,Calculations!$R$34:$R$41,0)),""))</f>
        <v/>
      </c>
      <c r="C31" s="6" t="str">
        <f>IF(Setup!$B$5&lt;5,"",IFERROR(INDEX(Calculations!$P$2:$P$65,(5-1)*8+MATCH(6,Calculations!$R$34:$R$41,0)),""))</f>
        <v/>
      </c>
      <c r="D31" s="12"/>
      <c r="E31" s="6" t="str">
        <f>IF(Setup!$B$5&lt;6,"",IF(IFERROR(INDEX(Calculations!$E$2:$E$65,(6-1)*8+MATCH(6,Calculations!$R$42:$R$49,0)),"")="","",6))</f>
        <v/>
      </c>
      <c r="F31" s="12" t="str">
        <f>IF(Setup!$B$5&lt;6,"",IFERROR(INDEX(Calculations!$E$2:$E$65,(6-1)*8+MATCH(6,Calculations!$R$42:$R$49,0)),""))</f>
        <v/>
      </c>
      <c r="G31" s="6" t="str">
        <f>IF(Setup!$B$5&lt;6,"",IFERROR(INDEX(Calculations!$P$2:$P$65,(6-1)*8+MATCH(6,Calculations!$R$42:$R$49,0)),""))</f>
        <v/>
      </c>
      <c r="H31" s="12"/>
      <c r="I31" s="6" t="str">
        <f>IF(Setup!$B$5&lt;7,"",IF(IFERROR(INDEX(Calculations!$E$2:$E$65,(7-1)*8+MATCH(6,Calculations!$R$50:$R$57,0)),"")="","",6))</f>
        <v/>
      </c>
      <c r="J31" s="12" t="str">
        <f>IF(Setup!$B$5&lt;7,"",IFERROR(INDEX(Calculations!$E$2:$E$65,(7-1)*8+MATCH(6,Calculations!$R$50:$R$57,0)),""))</f>
        <v/>
      </c>
      <c r="K31" s="6" t="str">
        <f>IF(Setup!$B$5&lt;7,"",IFERROR(INDEX(Calculations!$P$2:$P$65,(7-1)*8+MATCH(6,Calculations!$R$50:$R$57,0)),""))</f>
        <v/>
      </c>
      <c r="L31" s="12"/>
      <c r="M31" s="12" t="str">
        <f>IF(Setup!$B$5&lt;8,"",IF(IFERROR(INDEX(Calculations!$E$2:$E$65,(8-1)*8+MATCH(6,Calculations!$R$58:$R$65,0)),"")="","",6))</f>
        <v/>
      </c>
      <c r="N31" s="12" t="str">
        <f>IF(Setup!$B$5&lt;8,"",IFERROR(INDEX(Calculations!$E$2:$E$65,(8-1)*8+MATCH(6,Calculations!$R$58:$R$65,0)),""))</f>
        <v/>
      </c>
      <c r="O31" s="6" t="str">
        <f>IF(Setup!$B$5&lt;8,"",IFERROR(INDEX(Calculations!$P$2:$P$65,(8-1)*8+MATCH(6,Calculations!$R$58:$R$65,0)),""))</f>
        <v/>
      </c>
    </row>
    <row r="32" spans="1:15" ht="42.75">
      <c r="A32" s="6" t="str">
        <f>IF(Setup!$B$5&lt;5,"",IF(IFERROR(INDEX(Calculations!$E$2:$E$65,(5-1)*8+MATCH(7,Calculations!$R$34:$R$41,0)),"")="","",7))</f>
        <v/>
      </c>
      <c r="B32" s="12" t="str">
        <f>IF(Setup!$B$5&lt;5,"",IFERROR(INDEX(Calculations!$E$2:$E$65,(5-1)*8+MATCH(7,Calculations!$R$34:$R$41,0)),""))</f>
        <v/>
      </c>
      <c r="C32" s="6" t="str">
        <f>IF(Setup!$B$5&lt;5,"",IFERROR(INDEX(Calculations!$P$2:$P$65,(5-1)*8+MATCH(7,Calculations!$R$34:$R$41,0)),""))</f>
        <v/>
      </c>
      <c r="D32" s="12"/>
      <c r="E32" s="6" t="str">
        <f>IF(Setup!$B$5&lt;6,"",IF(IFERROR(INDEX(Calculations!$E$2:$E$65,(6-1)*8+MATCH(7,Calculations!$R$42:$R$49,0)),"")="","",7))</f>
        <v/>
      </c>
      <c r="F32" s="12" t="str">
        <f>IF(Setup!$B$5&lt;6,"",IFERROR(INDEX(Calculations!$E$2:$E$65,(6-1)*8+MATCH(7,Calculations!$R$42:$R$49,0)),""))</f>
        <v/>
      </c>
      <c r="G32" s="6" t="str">
        <f>IF(Setup!$B$5&lt;6,"",IFERROR(INDEX(Calculations!$P$2:$P$65,(6-1)*8+MATCH(7,Calculations!$R$42:$R$49,0)),""))</f>
        <v/>
      </c>
      <c r="H32" s="12"/>
      <c r="I32" s="6" t="str">
        <f>IF(Setup!$B$5&lt;7,"",IF(IFERROR(INDEX(Calculations!$E$2:$E$65,(7-1)*8+MATCH(7,Calculations!$R$50:$R$57,0)),"")="","",7))</f>
        <v/>
      </c>
      <c r="J32" s="12" t="str">
        <f>IF(Setup!$B$5&lt;7,"",IFERROR(INDEX(Calculations!$E$2:$E$65,(7-1)*8+MATCH(7,Calculations!$R$50:$R$57,0)),""))</f>
        <v/>
      </c>
      <c r="K32" s="6" t="str">
        <f>IF(Setup!$B$5&lt;7,"",IFERROR(INDEX(Calculations!$P$2:$P$65,(7-1)*8+MATCH(7,Calculations!$R$50:$R$57,0)),""))</f>
        <v/>
      </c>
      <c r="L32" s="12"/>
      <c r="M32" s="12" t="str">
        <f>IF(Setup!$B$5&lt;8,"",IF(IFERROR(INDEX(Calculations!$E$2:$E$65,(8-1)*8+MATCH(7,Calculations!$R$58:$R$65,0)),"")="","",7))</f>
        <v/>
      </c>
      <c r="N32" s="12" t="str">
        <f>IF(Setup!$B$5&lt;8,"",IFERROR(INDEX(Calculations!$E$2:$E$65,(8-1)*8+MATCH(7,Calculations!$R$58:$R$65,0)),""))</f>
        <v/>
      </c>
      <c r="O32" s="6" t="str">
        <f>IF(Setup!$B$5&lt;8,"",IFERROR(INDEX(Calculations!$P$2:$P$65,(8-1)*8+MATCH(7,Calculations!$R$58:$R$65,0)),""))</f>
        <v/>
      </c>
    </row>
    <row r="33" spans="1:15" ht="42.75">
      <c r="A33" s="6" t="str">
        <f>IF(Setup!$B$5&lt;5,"",IF(IFERROR(INDEX(Calculations!$E$2:$E$65,(5-1)*8+MATCH(8,Calculations!$R$34:$R$41,0)),"")="","",8))</f>
        <v/>
      </c>
      <c r="B33" s="12" t="str">
        <f>IF(Setup!$B$5&lt;5,"",IFERROR(INDEX(Calculations!$E$2:$E$65,(5-1)*8+MATCH(8,Calculations!$R$34:$R$41,0)),""))</f>
        <v/>
      </c>
      <c r="C33" s="6" t="str">
        <f>IF(Setup!$B$5&lt;5,"",IFERROR(INDEX(Calculations!$P$2:$P$65,(5-1)*8+MATCH(8,Calculations!$R$34:$R$41,0)),""))</f>
        <v/>
      </c>
      <c r="D33" s="12"/>
      <c r="E33" s="6" t="str">
        <f>IF(Setup!$B$5&lt;6,"",IF(IFERROR(INDEX(Calculations!$E$2:$E$65,(6-1)*8+MATCH(8,Calculations!$R$42:$R$49,0)),"")="","",8))</f>
        <v/>
      </c>
      <c r="F33" s="12" t="str">
        <f>IF(Setup!$B$5&lt;6,"",IFERROR(INDEX(Calculations!$E$2:$E$65,(6-1)*8+MATCH(8,Calculations!$R$42:$R$49,0)),""))</f>
        <v/>
      </c>
      <c r="G33" s="6" t="str">
        <f>IF(Setup!$B$5&lt;6,"",IFERROR(INDEX(Calculations!$P$2:$P$65,(6-1)*8+MATCH(8,Calculations!$R$42:$R$49,0)),""))</f>
        <v/>
      </c>
      <c r="H33" s="12"/>
      <c r="I33" s="6" t="str">
        <f>IF(Setup!$B$5&lt;7,"",IF(IFERROR(INDEX(Calculations!$E$2:$E$65,(7-1)*8+MATCH(8,Calculations!$R$50:$R$57,0)),"")="","",8))</f>
        <v/>
      </c>
      <c r="J33" s="12" t="str">
        <f>IF(Setup!$B$5&lt;7,"",IFERROR(INDEX(Calculations!$E$2:$E$65,(7-1)*8+MATCH(8,Calculations!$R$50:$R$57,0)),""))</f>
        <v/>
      </c>
      <c r="K33" s="6" t="str">
        <f>IF(Setup!$B$5&lt;7,"",IFERROR(INDEX(Calculations!$P$2:$P$65,(7-1)*8+MATCH(8,Calculations!$R$50:$R$57,0)),""))</f>
        <v/>
      </c>
      <c r="L33" s="12"/>
      <c r="M33" s="12" t="str">
        <f>IF(Setup!$B$5&lt;8,"",IF(IFERROR(INDEX(Calculations!$E$2:$E$65,(8-1)*8+MATCH(8,Calculations!$R$58:$R$65,0)),"")="","",8))</f>
        <v/>
      </c>
      <c r="N33" s="12" t="str">
        <f>IF(Setup!$B$5&lt;8,"",IFERROR(INDEX(Calculations!$E$2:$E$65,(8-1)*8+MATCH(8,Calculations!$R$58:$R$65,0)),""))</f>
        <v/>
      </c>
      <c r="O33" s="6" t="str">
        <f>IF(Setup!$B$5&lt;8,"",IFERROR(INDEX(Calculations!$P$2:$P$65,(8-1)*8+MATCH(8,Calculations!$R$58:$R$65,0)),""))</f>
        <v/>
      </c>
    </row>
    <row r="34" spans="1:15">
      <c r="A34" s="6"/>
      <c r="B34" s="12"/>
      <c r="C34" s="6"/>
      <c r="D34" s="12"/>
      <c r="E34" s="6"/>
      <c r="F34" s="12"/>
      <c r="G34" s="6"/>
      <c r="H34" s="12"/>
      <c r="I34" s="6"/>
      <c r="J34" s="12"/>
      <c r="K34" s="6"/>
      <c r="L34" s="12"/>
      <c r="M34" s="12"/>
      <c r="N34" s="12"/>
      <c r="O34" s="6"/>
    </row>
    <row r="35" spans="1:15">
      <c r="A35" s="6"/>
      <c r="B35" s="12"/>
      <c r="C35" s="6"/>
      <c r="D35" s="12"/>
      <c r="E35" s="6"/>
      <c r="F35" s="12"/>
      <c r="G35" s="6"/>
      <c r="H35" s="12"/>
      <c r="I35" s="6"/>
      <c r="J35" s="12"/>
      <c r="K35" s="6"/>
      <c r="L35" s="12"/>
      <c r="M35" s="12"/>
      <c r="N35" s="12"/>
      <c r="O35" s="6"/>
    </row>
    <row r="36" spans="1:15" ht="31.5">
      <c r="A36" s="52"/>
      <c r="B36" s="47" t="s">
        <v>228</v>
      </c>
      <c r="C36" s="46"/>
      <c r="D36" s="52"/>
      <c r="E36" s="52"/>
      <c r="F36" s="52"/>
      <c r="G36" s="52"/>
      <c r="H36" s="52"/>
      <c r="I36" s="12"/>
      <c r="J36" s="53" t="s">
        <v>229</v>
      </c>
      <c r="K36" s="52"/>
      <c r="L36" s="52"/>
      <c r="M36" s="52"/>
      <c r="N36" s="52"/>
      <c r="O36" s="52"/>
    </row>
    <row r="37" spans="1:15">
      <c r="A37" s="54" t="s">
        <v>150</v>
      </c>
      <c r="B37" s="54" t="s">
        <v>72</v>
      </c>
      <c r="C37" s="54" t="s">
        <v>151</v>
      </c>
      <c r="D37" s="54" t="s">
        <v>152</v>
      </c>
      <c r="E37" s="54" t="s">
        <v>230</v>
      </c>
      <c r="F37" s="54" t="s">
        <v>153</v>
      </c>
      <c r="G37" s="54" t="s">
        <v>231</v>
      </c>
      <c r="H37" s="54" t="s">
        <v>167</v>
      </c>
      <c r="I37" s="12"/>
      <c r="J37" s="54" t="s">
        <v>151</v>
      </c>
      <c r="K37" s="54" t="s">
        <v>150</v>
      </c>
      <c r="L37" s="54" t="s">
        <v>152</v>
      </c>
      <c r="M37" s="54" t="s">
        <v>230</v>
      </c>
      <c r="N37" s="54" t="s">
        <v>153</v>
      </c>
      <c r="O37" s="54" t="s">
        <v>167</v>
      </c>
    </row>
    <row r="38" spans="1:15" ht="28.5">
      <c r="A38" s="12" t="e">
        <f>IF('Match Entry'!$R5="Complete",'Match Entry'!A5,"")</f>
        <v>#DIV/0!</v>
      </c>
      <c r="B38" s="12" t="e">
        <f>IF('Match Entry'!$R5="Complete",'Match Entry'!B5,"")</f>
        <v>#DIV/0!</v>
      </c>
      <c r="C38" s="12" t="e">
        <f>IF('Match Entry'!$R5="Complete",'Match Entry'!C5,"")</f>
        <v>#DIV/0!</v>
      </c>
      <c r="D38" s="12" t="e">
        <f>IF('Match Entry'!$R5="Complete",'Match Entry'!D5,"")</f>
        <v>#DIV/0!</v>
      </c>
      <c r="E38" s="12" t="e">
        <f>IF('Match Entry'!$R5="Complete",'Match Entry'!P5&amp;"-"&amp;'Match Entry'!Q5,"")</f>
        <v>#DIV/0!</v>
      </c>
      <c r="F38" s="12" t="e">
        <f>IF('Match Entry'!$R5="Complete",'Match Entry'!E5,"")</f>
        <v>#DIV/0!</v>
      </c>
      <c r="G38" s="12" t="e">
        <f>IF('Match Entry'!$R5="Complete",IF(ISNUMBER('Match Entry'!F5),'Match Entry'!F5&amp;"-"&amp;'Match Entry'!G5,"")&amp;IF(ISNUMBER('Match Entry'!H5),", "&amp;'Match Entry'!H5&amp;"-"&amp;'Match Entry'!I5,"")&amp;IF(ISNUMBER('Match Entry'!J5),", "&amp;'Match Entry'!J5&amp;"-"&amp;'Match Entry'!K5,"")&amp;IF(ISNUMBER('Match Entry'!L5),", "&amp;'Match Entry'!L5&amp;"-"&amp;'Match Entry'!M5,"")&amp;IF(ISNUMBER('Match Entry'!N5),", "&amp;'Match Entry'!N5&amp;"-"&amp;'Match Entry'!O5,""),"")</f>
        <v>#DIV/0!</v>
      </c>
      <c r="H38" s="12" t="e">
        <f>IF('Match Entry'!$R5="Complete",'Match Entry'!S5,"")</f>
        <v>#DIV/0!</v>
      </c>
      <c r="I38" s="12"/>
      <c r="J38" s="12" t="str">
        <f>IF(Finals!A6="","",Finals!A6)</f>
        <v/>
      </c>
      <c r="K38" s="12" t="str">
        <f>IF(Finals!A6="","",Finals!B6)</f>
        <v/>
      </c>
      <c r="L38" s="12" t="str">
        <f>IF(Finals!A6="","",Finals!C6)</f>
        <v/>
      </c>
      <c r="M38" s="12" t="str">
        <f>IF(Finals!A6="","",IF(Finals!R6="Complete",Finals!O6&amp;"-"&amp;Finals!P6,""))</f>
        <v/>
      </c>
      <c r="N38" s="12" t="str">
        <f>IF(Finals!A6="","",Finals!D6)</f>
        <v/>
      </c>
      <c r="O38" s="12" t="str">
        <f>IF(Finals!A6="","",Finals!Q6)</f>
        <v/>
      </c>
    </row>
    <row r="39" spans="1:15" ht="28.5">
      <c r="A39" s="12" t="e">
        <f>IF('Match Entry'!$R6="Complete",'Match Entry'!A6,"")</f>
        <v>#DIV/0!</v>
      </c>
      <c r="B39" s="12" t="e">
        <f>IF('Match Entry'!$R6="Complete",'Match Entry'!B6,"")</f>
        <v>#DIV/0!</v>
      </c>
      <c r="C39" s="12" t="e">
        <f>IF('Match Entry'!$R6="Complete",'Match Entry'!C6,"")</f>
        <v>#DIV/0!</v>
      </c>
      <c r="D39" s="12" t="e">
        <f>IF('Match Entry'!$R6="Complete",'Match Entry'!D6,"")</f>
        <v>#DIV/0!</v>
      </c>
      <c r="E39" s="12" t="e">
        <f>IF('Match Entry'!$R6="Complete",'Match Entry'!P6&amp;"-"&amp;'Match Entry'!Q6,"")</f>
        <v>#DIV/0!</v>
      </c>
      <c r="F39" s="12" t="e">
        <f>IF('Match Entry'!$R6="Complete",'Match Entry'!E6,"")</f>
        <v>#DIV/0!</v>
      </c>
      <c r="G39" s="12" t="e">
        <f>IF('Match Entry'!$R6="Complete",IF(ISNUMBER('Match Entry'!F6),'Match Entry'!F6&amp;"-"&amp;'Match Entry'!G6,"")&amp;IF(ISNUMBER('Match Entry'!H6),", "&amp;'Match Entry'!H6&amp;"-"&amp;'Match Entry'!I6,"")&amp;IF(ISNUMBER('Match Entry'!J6),", "&amp;'Match Entry'!J6&amp;"-"&amp;'Match Entry'!K6,"")&amp;IF(ISNUMBER('Match Entry'!L6),", "&amp;'Match Entry'!L6&amp;"-"&amp;'Match Entry'!M6,"")&amp;IF(ISNUMBER('Match Entry'!N6),", "&amp;'Match Entry'!N6&amp;"-"&amp;'Match Entry'!O6,""),"")</f>
        <v>#DIV/0!</v>
      </c>
      <c r="H39" s="12" t="e">
        <f>IF('Match Entry'!$R6="Complete",'Match Entry'!S6,"")</f>
        <v>#DIV/0!</v>
      </c>
      <c r="I39" s="12"/>
      <c r="J39" s="12" t="str">
        <f>IF(Finals!A7="","",Finals!A7)</f>
        <v/>
      </c>
      <c r="K39" s="12" t="str">
        <f>IF(Finals!A7="","",Finals!B7)</f>
        <v/>
      </c>
      <c r="L39" s="12" t="str">
        <f>IF(Finals!A7="","",Finals!C7)</f>
        <v/>
      </c>
      <c r="M39" s="12" t="str">
        <f>IF(Finals!A7="","",IF(Finals!R7="Complete",Finals!O7&amp;"-"&amp;Finals!P7,""))</f>
        <v/>
      </c>
      <c r="N39" s="12" t="str">
        <f>IF(Finals!A7="","",Finals!D7)</f>
        <v/>
      </c>
      <c r="O39" s="12" t="str">
        <f>IF(Finals!A7="","",Finals!Q7)</f>
        <v/>
      </c>
    </row>
    <row r="40" spans="1:15" ht="28.5">
      <c r="A40" s="12" t="e">
        <f>IF('Match Entry'!$R7="Complete",'Match Entry'!A7,"")</f>
        <v>#DIV/0!</v>
      </c>
      <c r="B40" s="12" t="e">
        <f>IF('Match Entry'!$R7="Complete",'Match Entry'!B7,"")</f>
        <v>#DIV/0!</v>
      </c>
      <c r="C40" s="12" t="e">
        <f>IF('Match Entry'!$R7="Complete",'Match Entry'!C7,"")</f>
        <v>#DIV/0!</v>
      </c>
      <c r="D40" s="12" t="e">
        <f>IF('Match Entry'!$R7="Complete",'Match Entry'!D7,"")</f>
        <v>#DIV/0!</v>
      </c>
      <c r="E40" s="12" t="e">
        <f>IF('Match Entry'!$R7="Complete",'Match Entry'!P7&amp;"-"&amp;'Match Entry'!Q7,"")</f>
        <v>#DIV/0!</v>
      </c>
      <c r="F40" s="12" t="e">
        <f>IF('Match Entry'!$R7="Complete",'Match Entry'!E7,"")</f>
        <v>#DIV/0!</v>
      </c>
      <c r="G40" s="12" t="e">
        <f>IF('Match Entry'!$R7="Complete",IF(ISNUMBER('Match Entry'!F7),'Match Entry'!F7&amp;"-"&amp;'Match Entry'!G7,"")&amp;IF(ISNUMBER('Match Entry'!H7),", "&amp;'Match Entry'!H7&amp;"-"&amp;'Match Entry'!I7,"")&amp;IF(ISNUMBER('Match Entry'!J7),", "&amp;'Match Entry'!J7&amp;"-"&amp;'Match Entry'!K7,"")&amp;IF(ISNUMBER('Match Entry'!L7),", "&amp;'Match Entry'!L7&amp;"-"&amp;'Match Entry'!M7,"")&amp;IF(ISNUMBER('Match Entry'!N7),", "&amp;'Match Entry'!N7&amp;"-"&amp;'Match Entry'!O7,""),"")</f>
        <v>#DIV/0!</v>
      </c>
      <c r="H40" s="12" t="e">
        <f>IF('Match Entry'!$R7="Complete",'Match Entry'!S7,"")</f>
        <v>#DIV/0!</v>
      </c>
      <c r="I40" s="12"/>
      <c r="J40" s="12" t="str">
        <f>IF(Finals!A8="","",Finals!A8)</f>
        <v/>
      </c>
      <c r="K40" s="12" t="str">
        <f>IF(Finals!A8="","",Finals!B8)</f>
        <v/>
      </c>
      <c r="L40" s="12" t="str">
        <f>IF(Finals!A8="","",Finals!C8)</f>
        <v/>
      </c>
      <c r="M40" s="12" t="str">
        <f>IF(Finals!A8="","",IF(Finals!R8="Complete",Finals!O8&amp;"-"&amp;Finals!P8,""))</f>
        <v/>
      </c>
      <c r="N40" s="12" t="str">
        <f>IF(Finals!A8="","",Finals!D8)</f>
        <v/>
      </c>
      <c r="O40" s="12" t="str">
        <f>IF(Finals!A8="","",Finals!Q8)</f>
        <v/>
      </c>
    </row>
    <row r="41" spans="1:15" ht="28.5">
      <c r="A41" s="12" t="e">
        <f>IF('Match Entry'!$R8="Complete",'Match Entry'!A8,"")</f>
        <v>#DIV/0!</v>
      </c>
      <c r="B41" s="12" t="e">
        <f>IF('Match Entry'!$R8="Complete",'Match Entry'!B8,"")</f>
        <v>#DIV/0!</v>
      </c>
      <c r="C41" s="12" t="e">
        <f>IF('Match Entry'!$R8="Complete",'Match Entry'!C8,"")</f>
        <v>#DIV/0!</v>
      </c>
      <c r="D41" s="12" t="e">
        <f>IF('Match Entry'!$R8="Complete",'Match Entry'!D8,"")</f>
        <v>#DIV/0!</v>
      </c>
      <c r="E41" s="12" t="e">
        <f>IF('Match Entry'!$R8="Complete",'Match Entry'!P8&amp;"-"&amp;'Match Entry'!Q8,"")</f>
        <v>#DIV/0!</v>
      </c>
      <c r="F41" s="12" t="e">
        <f>IF('Match Entry'!$R8="Complete",'Match Entry'!E8,"")</f>
        <v>#DIV/0!</v>
      </c>
      <c r="G41" s="12" t="e">
        <f>IF('Match Entry'!$R8="Complete",IF(ISNUMBER('Match Entry'!F8),'Match Entry'!F8&amp;"-"&amp;'Match Entry'!G8,"")&amp;IF(ISNUMBER('Match Entry'!H8),", "&amp;'Match Entry'!H8&amp;"-"&amp;'Match Entry'!I8,"")&amp;IF(ISNUMBER('Match Entry'!J8),", "&amp;'Match Entry'!J8&amp;"-"&amp;'Match Entry'!K8,"")&amp;IF(ISNUMBER('Match Entry'!L8),", "&amp;'Match Entry'!L8&amp;"-"&amp;'Match Entry'!M8,"")&amp;IF(ISNUMBER('Match Entry'!N8),", "&amp;'Match Entry'!N8&amp;"-"&amp;'Match Entry'!O8,""),"")</f>
        <v>#DIV/0!</v>
      </c>
      <c r="H41" s="12" t="e">
        <f>IF('Match Entry'!$R8="Complete",'Match Entry'!S8,"")</f>
        <v>#DIV/0!</v>
      </c>
      <c r="I41" s="12"/>
      <c r="J41" s="12" t="str">
        <f>IF(Finals!A9="","",Finals!A9)</f>
        <v/>
      </c>
      <c r="K41" s="12" t="str">
        <f>IF(Finals!A9="","",Finals!B9)</f>
        <v/>
      </c>
      <c r="L41" s="12" t="str">
        <f>IF(Finals!A9="","",Finals!C9)</f>
        <v/>
      </c>
      <c r="M41" s="12" t="str">
        <f>IF(Finals!A9="","",IF(Finals!R9="Complete",Finals!O9&amp;"-"&amp;Finals!P9,""))</f>
        <v/>
      </c>
      <c r="N41" s="12" t="str">
        <f>IF(Finals!A9="","",Finals!D9)</f>
        <v/>
      </c>
      <c r="O41" s="12" t="str">
        <f>IF(Finals!A9="","",Finals!Q9)</f>
        <v/>
      </c>
    </row>
    <row r="42" spans="1:15" ht="28.5">
      <c r="A42" s="12" t="e">
        <f>IF('Match Entry'!$R9="Complete",'Match Entry'!A9,"")</f>
        <v>#DIV/0!</v>
      </c>
      <c r="B42" s="12" t="e">
        <f>IF('Match Entry'!$R9="Complete",'Match Entry'!B9,"")</f>
        <v>#DIV/0!</v>
      </c>
      <c r="C42" s="12" t="e">
        <f>IF('Match Entry'!$R9="Complete",'Match Entry'!C9,"")</f>
        <v>#DIV/0!</v>
      </c>
      <c r="D42" s="12" t="e">
        <f>IF('Match Entry'!$R9="Complete",'Match Entry'!D9,"")</f>
        <v>#DIV/0!</v>
      </c>
      <c r="E42" s="12" t="e">
        <f>IF('Match Entry'!$R9="Complete",'Match Entry'!P9&amp;"-"&amp;'Match Entry'!Q9,"")</f>
        <v>#DIV/0!</v>
      </c>
      <c r="F42" s="12" t="e">
        <f>IF('Match Entry'!$R9="Complete",'Match Entry'!E9,"")</f>
        <v>#DIV/0!</v>
      </c>
      <c r="G42" s="12" t="e">
        <f>IF('Match Entry'!$R9="Complete",IF(ISNUMBER('Match Entry'!F9),'Match Entry'!F9&amp;"-"&amp;'Match Entry'!G9,"")&amp;IF(ISNUMBER('Match Entry'!H9),", "&amp;'Match Entry'!H9&amp;"-"&amp;'Match Entry'!I9,"")&amp;IF(ISNUMBER('Match Entry'!J9),", "&amp;'Match Entry'!J9&amp;"-"&amp;'Match Entry'!K9,"")&amp;IF(ISNUMBER('Match Entry'!L9),", "&amp;'Match Entry'!L9&amp;"-"&amp;'Match Entry'!M9,"")&amp;IF(ISNUMBER('Match Entry'!N9),", "&amp;'Match Entry'!N9&amp;"-"&amp;'Match Entry'!O9,""),"")</f>
        <v>#DIV/0!</v>
      </c>
      <c r="H42" s="12" t="e">
        <f>IF('Match Entry'!$R9="Complete",'Match Entry'!S9,"")</f>
        <v>#DIV/0!</v>
      </c>
      <c r="I42" s="12"/>
      <c r="J42" s="12" t="str">
        <f>IF(Finals!A10="","",Finals!A10)</f>
        <v/>
      </c>
      <c r="K42" s="12" t="str">
        <f>IF(Finals!A10="","",Finals!B10)</f>
        <v/>
      </c>
      <c r="L42" s="12" t="str">
        <f>IF(Finals!A10="","",Finals!C10)</f>
        <v/>
      </c>
      <c r="M42" s="12" t="str">
        <f>IF(Finals!A10="","",IF(Finals!R10="Complete",Finals!O10&amp;"-"&amp;Finals!P10,""))</f>
        <v/>
      </c>
      <c r="N42" s="12" t="str">
        <f>IF(Finals!A10="","",Finals!D10)</f>
        <v/>
      </c>
      <c r="O42" s="12" t="str">
        <f>IF(Finals!A10="","",Finals!Q10)</f>
        <v/>
      </c>
    </row>
    <row r="43" spans="1:15" ht="28.5">
      <c r="A43" s="12" t="e">
        <f>IF('Match Entry'!$R10="Complete",'Match Entry'!A10,"")</f>
        <v>#DIV/0!</v>
      </c>
      <c r="B43" s="12" t="e">
        <f>IF('Match Entry'!$R10="Complete",'Match Entry'!B10,"")</f>
        <v>#DIV/0!</v>
      </c>
      <c r="C43" s="12" t="e">
        <f>IF('Match Entry'!$R10="Complete",'Match Entry'!C10,"")</f>
        <v>#DIV/0!</v>
      </c>
      <c r="D43" s="12" t="e">
        <f>IF('Match Entry'!$R10="Complete",'Match Entry'!D10,"")</f>
        <v>#DIV/0!</v>
      </c>
      <c r="E43" s="12" t="e">
        <f>IF('Match Entry'!$R10="Complete",'Match Entry'!P10&amp;"-"&amp;'Match Entry'!Q10,"")</f>
        <v>#DIV/0!</v>
      </c>
      <c r="F43" s="12" t="e">
        <f>IF('Match Entry'!$R10="Complete",'Match Entry'!E10,"")</f>
        <v>#DIV/0!</v>
      </c>
      <c r="G43" s="12" t="e">
        <f>IF('Match Entry'!$R10="Complete",IF(ISNUMBER('Match Entry'!F10),'Match Entry'!F10&amp;"-"&amp;'Match Entry'!G10,"")&amp;IF(ISNUMBER('Match Entry'!H10),", "&amp;'Match Entry'!H10&amp;"-"&amp;'Match Entry'!I10,"")&amp;IF(ISNUMBER('Match Entry'!J10),", "&amp;'Match Entry'!J10&amp;"-"&amp;'Match Entry'!K10,"")&amp;IF(ISNUMBER('Match Entry'!L10),", "&amp;'Match Entry'!L10&amp;"-"&amp;'Match Entry'!M10,"")&amp;IF(ISNUMBER('Match Entry'!N10),", "&amp;'Match Entry'!N10&amp;"-"&amp;'Match Entry'!O10,""),"")</f>
        <v>#DIV/0!</v>
      </c>
      <c r="H43" s="12" t="e">
        <f>IF('Match Entry'!$R10="Complete",'Match Entry'!S10,"")</f>
        <v>#DIV/0!</v>
      </c>
      <c r="I43" s="12"/>
      <c r="J43" s="12" t="str">
        <f>IF(Finals!A11="","",Finals!A11)</f>
        <v/>
      </c>
      <c r="K43" s="12" t="str">
        <f>IF(Finals!A11="","",Finals!B11)</f>
        <v/>
      </c>
      <c r="L43" s="12" t="str">
        <f>IF(Finals!A11="","",Finals!C11)</f>
        <v/>
      </c>
      <c r="M43" s="12" t="str">
        <f>IF(Finals!A11="","",IF(Finals!R11="Complete",Finals!O11&amp;"-"&amp;Finals!P11,""))</f>
        <v/>
      </c>
      <c r="N43" s="12" t="str">
        <f>IF(Finals!A11="","",Finals!D11)</f>
        <v/>
      </c>
      <c r="O43" s="12" t="str">
        <f>IF(Finals!A11="","",Finals!Q11)</f>
        <v/>
      </c>
    </row>
    <row r="44" spans="1:15" ht="28.5">
      <c r="A44" s="12" t="e">
        <f>IF('Match Entry'!$R11="Complete",'Match Entry'!A11,"")</f>
        <v>#DIV/0!</v>
      </c>
      <c r="B44" s="12" t="e">
        <f>IF('Match Entry'!$R11="Complete",'Match Entry'!B11,"")</f>
        <v>#DIV/0!</v>
      </c>
      <c r="C44" s="12" t="e">
        <f>IF('Match Entry'!$R11="Complete",'Match Entry'!C11,"")</f>
        <v>#DIV/0!</v>
      </c>
      <c r="D44" s="12" t="e">
        <f>IF('Match Entry'!$R11="Complete",'Match Entry'!D11,"")</f>
        <v>#DIV/0!</v>
      </c>
      <c r="E44" s="12" t="e">
        <f>IF('Match Entry'!$R11="Complete",'Match Entry'!P11&amp;"-"&amp;'Match Entry'!Q11,"")</f>
        <v>#DIV/0!</v>
      </c>
      <c r="F44" s="12" t="e">
        <f>IF('Match Entry'!$R11="Complete",'Match Entry'!E11,"")</f>
        <v>#DIV/0!</v>
      </c>
      <c r="G44" s="12" t="e">
        <f>IF('Match Entry'!$R11="Complete",IF(ISNUMBER('Match Entry'!F11),'Match Entry'!F11&amp;"-"&amp;'Match Entry'!G11,"")&amp;IF(ISNUMBER('Match Entry'!H11),", "&amp;'Match Entry'!H11&amp;"-"&amp;'Match Entry'!I11,"")&amp;IF(ISNUMBER('Match Entry'!J11),", "&amp;'Match Entry'!J11&amp;"-"&amp;'Match Entry'!K11,"")&amp;IF(ISNUMBER('Match Entry'!L11),", "&amp;'Match Entry'!L11&amp;"-"&amp;'Match Entry'!M11,"")&amp;IF(ISNUMBER('Match Entry'!N11),", "&amp;'Match Entry'!N11&amp;"-"&amp;'Match Entry'!O11,""),"")</f>
        <v>#DIV/0!</v>
      </c>
      <c r="H44" s="12" t="e">
        <f>IF('Match Entry'!$R11="Complete",'Match Entry'!S11,"")</f>
        <v>#DIV/0!</v>
      </c>
      <c r="I44" s="12"/>
      <c r="J44" s="12" t="str">
        <f>IF(Finals!A12="","",Finals!A12)</f>
        <v/>
      </c>
      <c r="K44" s="12" t="str">
        <f>IF(Finals!A12="","",Finals!B12)</f>
        <v/>
      </c>
      <c r="L44" s="12" t="str">
        <f>IF(Finals!A12="","",Finals!C12)</f>
        <v/>
      </c>
      <c r="M44" s="12" t="str">
        <f>IF(Finals!A12="","",IF(Finals!R12="Complete",Finals!O12&amp;"-"&amp;Finals!P12,""))</f>
        <v/>
      </c>
      <c r="N44" s="12" t="str">
        <f>IF(Finals!A12="","",Finals!D12)</f>
        <v/>
      </c>
      <c r="O44" s="12" t="str">
        <f>IF(Finals!A12="","",Finals!Q12)</f>
        <v/>
      </c>
    </row>
    <row r="45" spans="1:15" ht="28.5">
      <c r="A45" s="12" t="e">
        <f>IF('Match Entry'!$R12="Complete",'Match Entry'!A12,"")</f>
        <v>#DIV/0!</v>
      </c>
      <c r="B45" s="12" t="e">
        <f>IF('Match Entry'!$R12="Complete",'Match Entry'!B12,"")</f>
        <v>#DIV/0!</v>
      </c>
      <c r="C45" s="12" t="e">
        <f>IF('Match Entry'!$R12="Complete",'Match Entry'!C12,"")</f>
        <v>#DIV/0!</v>
      </c>
      <c r="D45" s="12" t="e">
        <f>IF('Match Entry'!$R12="Complete",'Match Entry'!D12,"")</f>
        <v>#DIV/0!</v>
      </c>
      <c r="E45" s="12" t="e">
        <f>IF('Match Entry'!$R12="Complete",'Match Entry'!P12&amp;"-"&amp;'Match Entry'!Q12,"")</f>
        <v>#DIV/0!</v>
      </c>
      <c r="F45" s="12" t="e">
        <f>IF('Match Entry'!$R12="Complete",'Match Entry'!E12,"")</f>
        <v>#DIV/0!</v>
      </c>
      <c r="G45" s="12" t="e">
        <f>IF('Match Entry'!$R12="Complete",IF(ISNUMBER('Match Entry'!F12),'Match Entry'!F12&amp;"-"&amp;'Match Entry'!G12,"")&amp;IF(ISNUMBER('Match Entry'!H12),", "&amp;'Match Entry'!H12&amp;"-"&amp;'Match Entry'!I12,"")&amp;IF(ISNUMBER('Match Entry'!J12),", "&amp;'Match Entry'!J12&amp;"-"&amp;'Match Entry'!K12,"")&amp;IF(ISNUMBER('Match Entry'!L12),", "&amp;'Match Entry'!L12&amp;"-"&amp;'Match Entry'!M12,"")&amp;IF(ISNUMBER('Match Entry'!N12),", "&amp;'Match Entry'!N12&amp;"-"&amp;'Match Entry'!O12,""),"")</f>
        <v>#DIV/0!</v>
      </c>
      <c r="H45" s="12" t="e">
        <f>IF('Match Entry'!$R12="Complete",'Match Entry'!S12,"")</f>
        <v>#DIV/0!</v>
      </c>
      <c r="I45" s="12"/>
      <c r="J45" s="12" t="str">
        <f>IF(Finals!A13="","",Finals!A13)</f>
        <v/>
      </c>
      <c r="K45" s="12" t="str">
        <f>IF(Finals!A13="","",Finals!B13)</f>
        <v/>
      </c>
      <c r="L45" s="12" t="str">
        <f>IF(Finals!A13="","",Finals!C13)</f>
        <v/>
      </c>
      <c r="M45" s="12" t="str">
        <f>IF(Finals!A13="","",IF(Finals!R13="Complete",Finals!O13&amp;"-"&amp;Finals!P13,""))</f>
        <v/>
      </c>
      <c r="N45" s="12" t="str">
        <f>IF(Finals!A13="","",Finals!D13)</f>
        <v/>
      </c>
      <c r="O45" s="12" t="str">
        <f>IF(Finals!A13="","",Finals!Q13)</f>
        <v/>
      </c>
    </row>
    <row r="46" spans="1:15" ht="28.5">
      <c r="A46" s="12" t="e">
        <f>IF('Match Entry'!$R13="Complete",'Match Entry'!A13,"")</f>
        <v>#DIV/0!</v>
      </c>
      <c r="B46" s="12" t="e">
        <f>IF('Match Entry'!$R13="Complete",'Match Entry'!B13,"")</f>
        <v>#DIV/0!</v>
      </c>
      <c r="C46" s="12" t="e">
        <f>IF('Match Entry'!$R13="Complete",'Match Entry'!C13,"")</f>
        <v>#DIV/0!</v>
      </c>
      <c r="D46" s="12" t="e">
        <f>IF('Match Entry'!$R13="Complete",'Match Entry'!D13,"")</f>
        <v>#DIV/0!</v>
      </c>
      <c r="E46" s="12" t="e">
        <f>IF('Match Entry'!$R13="Complete",'Match Entry'!P13&amp;"-"&amp;'Match Entry'!Q13,"")</f>
        <v>#DIV/0!</v>
      </c>
      <c r="F46" s="12" t="e">
        <f>IF('Match Entry'!$R13="Complete",'Match Entry'!E13,"")</f>
        <v>#DIV/0!</v>
      </c>
      <c r="G46" s="12" t="e">
        <f>IF('Match Entry'!$R13="Complete",IF(ISNUMBER('Match Entry'!F13),'Match Entry'!F13&amp;"-"&amp;'Match Entry'!G13,"")&amp;IF(ISNUMBER('Match Entry'!H13),", "&amp;'Match Entry'!H13&amp;"-"&amp;'Match Entry'!I13,"")&amp;IF(ISNUMBER('Match Entry'!J13),", "&amp;'Match Entry'!J13&amp;"-"&amp;'Match Entry'!K13,"")&amp;IF(ISNUMBER('Match Entry'!L13),", "&amp;'Match Entry'!L13&amp;"-"&amp;'Match Entry'!M13,"")&amp;IF(ISNUMBER('Match Entry'!N13),", "&amp;'Match Entry'!N13&amp;"-"&amp;'Match Entry'!O13,""),"")</f>
        <v>#DIV/0!</v>
      </c>
      <c r="H46" s="12" t="e">
        <f>IF('Match Entry'!$R13="Complete",'Match Entry'!S13,"")</f>
        <v>#DIV/0!</v>
      </c>
      <c r="I46" s="12"/>
      <c r="J46" s="12" t="str">
        <f>IF(Finals!A16="","",Finals!A16)</f>
        <v/>
      </c>
      <c r="K46" s="12" t="str">
        <f>IF(Finals!A16="","",Finals!B16)</f>
        <v/>
      </c>
      <c r="L46" s="12" t="str">
        <f>IF(Finals!A16="","",Finals!C16)</f>
        <v/>
      </c>
      <c r="M46" s="12" t="str">
        <f>IF(Finals!A16="","",IF(Finals!R16="Complete",Finals!O16&amp;"-"&amp;Finals!P16,""))</f>
        <v/>
      </c>
      <c r="N46" s="12" t="str">
        <f>IF(Finals!A16="","",Finals!D16)</f>
        <v/>
      </c>
      <c r="O46" s="12" t="str">
        <f>IF(Finals!A16="","",Finals!Q16)</f>
        <v/>
      </c>
    </row>
    <row r="47" spans="1:15" ht="28.5">
      <c r="A47" s="12" t="e">
        <f>IF('Match Entry'!$R14="Complete",'Match Entry'!A14,"")</f>
        <v>#DIV/0!</v>
      </c>
      <c r="B47" s="12" t="e">
        <f>IF('Match Entry'!$R14="Complete",'Match Entry'!B14,"")</f>
        <v>#DIV/0!</v>
      </c>
      <c r="C47" s="12" t="e">
        <f>IF('Match Entry'!$R14="Complete",'Match Entry'!C14,"")</f>
        <v>#DIV/0!</v>
      </c>
      <c r="D47" s="12" t="e">
        <f>IF('Match Entry'!$R14="Complete",'Match Entry'!D14,"")</f>
        <v>#DIV/0!</v>
      </c>
      <c r="E47" s="12" t="e">
        <f>IF('Match Entry'!$R14="Complete",'Match Entry'!P14&amp;"-"&amp;'Match Entry'!Q14,"")</f>
        <v>#DIV/0!</v>
      </c>
      <c r="F47" s="12" t="e">
        <f>IF('Match Entry'!$R14="Complete",'Match Entry'!E14,"")</f>
        <v>#DIV/0!</v>
      </c>
      <c r="G47" s="12" t="e">
        <f>IF('Match Entry'!$R14="Complete",IF(ISNUMBER('Match Entry'!F14),'Match Entry'!F14&amp;"-"&amp;'Match Entry'!G14,"")&amp;IF(ISNUMBER('Match Entry'!H14),", "&amp;'Match Entry'!H14&amp;"-"&amp;'Match Entry'!I14,"")&amp;IF(ISNUMBER('Match Entry'!J14),", "&amp;'Match Entry'!J14&amp;"-"&amp;'Match Entry'!K14,"")&amp;IF(ISNUMBER('Match Entry'!L14),", "&amp;'Match Entry'!L14&amp;"-"&amp;'Match Entry'!M14,"")&amp;IF(ISNUMBER('Match Entry'!N14),", "&amp;'Match Entry'!N14&amp;"-"&amp;'Match Entry'!O14,""),"")</f>
        <v>#DIV/0!</v>
      </c>
      <c r="H47" s="12" t="e">
        <f>IF('Match Entry'!$R14="Complete",'Match Entry'!S14,"")</f>
        <v>#DIV/0!</v>
      </c>
      <c r="I47" s="12"/>
      <c r="J47" s="12" t="str">
        <f>IF(Finals!A17="","",Finals!A17)</f>
        <v/>
      </c>
      <c r="K47" s="12" t="str">
        <f>IF(Finals!A17="","",Finals!B17)</f>
        <v/>
      </c>
      <c r="L47" s="12" t="str">
        <f>IF(Finals!A17="","",Finals!C17)</f>
        <v/>
      </c>
      <c r="M47" s="12" t="str">
        <f>IF(Finals!A17="","",IF(Finals!R17="Complete",Finals!O17&amp;"-"&amp;Finals!P17,""))</f>
        <v/>
      </c>
      <c r="N47" s="12" t="str">
        <f>IF(Finals!A17="","",Finals!D17)</f>
        <v/>
      </c>
      <c r="O47" s="12" t="str">
        <f>IF(Finals!A17="","",Finals!Q17)</f>
        <v/>
      </c>
    </row>
    <row r="48" spans="1:15" ht="28.5">
      <c r="A48" s="12" t="e">
        <f>IF('Match Entry'!$R15="Complete",'Match Entry'!A15,"")</f>
        <v>#DIV/0!</v>
      </c>
      <c r="B48" s="12" t="e">
        <f>IF('Match Entry'!$R15="Complete",'Match Entry'!B15,"")</f>
        <v>#DIV/0!</v>
      </c>
      <c r="C48" s="12" t="e">
        <f>IF('Match Entry'!$R15="Complete",'Match Entry'!C15,"")</f>
        <v>#DIV/0!</v>
      </c>
      <c r="D48" s="12" t="e">
        <f>IF('Match Entry'!$R15="Complete",'Match Entry'!D15,"")</f>
        <v>#DIV/0!</v>
      </c>
      <c r="E48" s="12" t="e">
        <f>IF('Match Entry'!$R15="Complete",'Match Entry'!P15&amp;"-"&amp;'Match Entry'!Q15,"")</f>
        <v>#DIV/0!</v>
      </c>
      <c r="F48" s="12" t="e">
        <f>IF('Match Entry'!$R15="Complete",'Match Entry'!E15,"")</f>
        <v>#DIV/0!</v>
      </c>
      <c r="G48" s="12" t="e">
        <f>IF('Match Entry'!$R15="Complete",IF(ISNUMBER('Match Entry'!F15),'Match Entry'!F15&amp;"-"&amp;'Match Entry'!G15,"")&amp;IF(ISNUMBER('Match Entry'!H15),", "&amp;'Match Entry'!H15&amp;"-"&amp;'Match Entry'!I15,"")&amp;IF(ISNUMBER('Match Entry'!J15),", "&amp;'Match Entry'!J15&amp;"-"&amp;'Match Entry'!K15,"")&amp;IF(ISNUMBER('Match Entry'!L15),", "&amp;'Match Entry'!L15&amp;"-"&amp;'Match Entry'!M15,"")&amp;IF(ISNUMBER('Match Entry'!N15),", "&amp;'Match Entry'!N15&amp;"-"&amp;'Match Entry'!O15,""),"")</f>
        <v>#DIV/0!</v>
      </c>
      <c r="H48" s="12" t="e">
        <f>IF('Match Entry'!$R15="Complete",'Match Entry'!S15,"")</f>
        <v>#DIV/0!</v>
      </c>
      <c r="I48" s="12"/>
      <c r="J48" s="12" t="str">
        <f>IF(Finals!A18="","",Finals!A18)</f>
        <v/>
      </c>
      <c r="K48" s="12" t="str">
        <f>IF(Finals!A18="","",Finals!B18)</f>
        <v/>
      </c>
      <c r="L48" s="12" t="str">
        <f>IF(Finals!A18="","",Finals!C18)</f>
        <v/>
      </c>
      <c r="M48" s="12" t="str">
        <f>IF(Finals!A18="","",IF(Finals!R18="Complete",Finals!O18&amp;"-"&amp;Finals!P18,""))</f>
        <v/>
      </c>
      <c r="N48" s="12" t="str">
        <f>IF(Finals!A18="","",Finals!D18)</f>
        <v/>
      </c>
      <c r="O48" s="12" t="str">
        <f>IF(Finals!A18="","",Finals!Q18)</f>
        <v/>
      </c>
    </row>
    <row r="49" spans="1:15" ht="28.5">
      <c r="A49" s="12" t="e">
        <f>IF('Match Entry'!$R16="Complete",'Match Entry'!A16,"")</f>
        <v>#DIV/0!</v>
      </c>
      <c r="B49" s="12" t="e">
        <f>IF('Match Entry'!$R16="Complete",'Match Entry'!B16,"")</f>
        <v>#DIV/0!</v>
      </c>
      <c r="C49" s="12" t="e">
        <f>IF('Match Entry'!$R16="Complete",'Match Entry'!C16,"")</f>
        <v>#DIV/0!</v>
      </c>
      <c r="D49" s="12" t="e">
        <f>IF('Match Entry'!$R16="Complete",'Match Entry'!D16,"")</f>
        <v>#DIV/0!</v>
      </c>
      <c r="E49" s="12" t="e">
        <f>IF('Match Entry'!$R16="Complete",'Match Entry'!P16&amp;"-"&amp;'Match Entry'!Q16,"")</f>
        <v>#DIV/0!</v>
      </c>
      <c r="F49" s="12" t="e">
        <f>IF('Match Entry'!$R16="Complete",'Match Entry'!E16,"")</f>
        <v>#DIV/0!</v>
      </c>
      <c r="G49" s="12" t="e">
        <f>IF('Match Entry'!$R16="Complete",IF(ISNUMBER('Match Entry'!F16),'Match Entry'!F16&amp;"-"&amp;'Match Entry'!G16,"")&amp;IF(ISNUMBER('Match Entry'!H16),", "&amp;'Match Entry'!H16&amp;"-"&amp;'Match Entry'!I16,"")&amp;IF(ISNUMBER('Match Entry'!J16),", "&amp;'Match Entry'!J16&amp;"-"&amp;'Match Entry'!K16,"")&amp;IF(ISNUMBER('Match Entry'!L16),", "&amp;'Match Entry'!L16&amp;"-"&amp;'Match Entry'!M16,"")&amp;IF(ISNUMBER('Match Entry'!N16),", "&amp;'Match Entry'!N16&amp;"-"&amp;'Match Entry'!O16,""),"")</f>
        <v>#DIV/0!</v>
      </c>
      <c r="H49" s="12" t="e">
        <f>IF('Match Entry'!$R16="Complete",'Match Entry'!S16,"")</f>
        <v>#DIV/0!</v>
      </c>
      <c r="I49" s="12"/>
      <c r="J49" s="12" t="str">
        <f>IF(Finals!A19="","",Finals!A19)</f>
        <v/>
      </c>
      <c r="K49" s="12" t="str">
        <f>IF(Finals!A19="","",Finals!B19)</f>
        <v/>
      </c>
      <c r="L49" s="12" t="str">
        <f>IF(Finals!A19="","",Finals!C19)</f>
        <v/>
      </c>
      <c r="M49" s="12" t="str">
        <f>IF(Finals!A19="","",IF(Finals!R19="Complete",Finals!O19&amp;"-"&amp;Finals!P19,""))</f>
        <v/>
      </c>
      <c r="N49" s="12" t="str">
        <f>IF(Finals!A19="","",Finals!D19)</f>
        <v/>
      </c>
      <c r="O49" s="12" t="str">
        <f>IF(Finals!A19="","",Finals!Q19)</f>
        <v/>
      </c>
    </row>
    <row r="50" spans="1:15" ht="28.5">
      <c r="A50" s="12" t="e">
        <f>IF('Match Entry'!$R17="Complete",'Match Entry'!A17,"")</f>
        <v>#DIV/0!</v>
      </c>
      <c r="B50" s="12" t="e">
        <f>IF('Match Entry'!$R17="Complete",'Match Entry'!B17,"")</f>
        <v>#DIV/0!</v>
      </c>
      <c r="C50" s="12" t="e">
        <f>IF('Match Entry'!$R17="Complete",'Match Entry'!C17,"")</f>
        <v>#DIV/0!</v>
      </c>
      <c r="D50" s="12" t="e">
        <f>IF('Match Entry'!$R17="Complete",'Match Entry'!D17,"")</f>
        <v>#DIV/0!</v>
      </c>
      <c r="E50" s="12" t="e">
        <f>IF('Match Entry'!$R17="Complete",'Match Entry'!P17&amp;"-"&amp;'Match Entry'!Q17,"")</f>
        <v>#DIV/0!</v>
      </c>
      <c r="F50" s="12" t="e">
        <f>IF('Match Entry'!$R17="Complete",'Match Entry'!E17,"")</f>
        <v>#DIV/0!</v>
      </c>
      <c r="G50" s="12" t="e">
        <f>IF('Match Entry'!$R17="Complete",IF(ISNUMBER('Match Entry'!F17),'Match Entry'!F17&amp;"-"&amp;'Match Entry'!G17,"")&amp;IF(ISNUMBER('Match Entry'!H17),", "&amp;'Match Entry'!H17&amp;"-"&amp;'Match Entry'!I17,"")&amp;IF(ISNUMBER('Match Entry'!J17),", "&amp;'Match Entry'!J17&amp;"-"&amp;'Match Entry'!K17,"")&amp;IF(ISNUMBER('Match Entry'!L17),", "&amp;'Match Entry'!L17&amp;"-"&amp;'Match Entry'!M17,"")&amp;IF(ISNUMBER('Match Entry'!N17),", "&amp;'Match Entry'!N17&amp;"-"&amp;'Match Entry'!O17,""),"")</f>
        <v>#DIV/0!</v>
      </c>
      <c r="H50" s="12" t="e">
        <f>IF('Match Entry'!$R17="Complete",'Match Entry'!S17,"")</f>
        <v>#DIV/0!</v>
      </c>
      <c r="I50" s="12"/>
      <c r="J50" s="12" t="str">
        <f>IF(Finals!A22="","",Finals!A22)</f>
        <v/>
      </c>
      <c r="K50" s="12" t="str">
        <f>IF(Finals!A22="","",Finals!B22)</f>
        <v/>
      </c>
      <c r="L50" s="12" t="str">
        <f>IF(Finals!A22="","",Finals!C22)</f>
        <v/>
      </c>
      <c r="M50" s="12" t="str">
        <f>IF(Finals!A22="","",IF(Finals!R22="Complete",Finals!O22&amp;"-"&amp;Finals!P22,""))</f>
        <v/>
      </c>
      <c r="N50" s="12" t="str">
        <f>IF(Finals!A22="","",Finals!D22)</f>
        <v/>
      </c>
      <c r="O50" s="12" t="str">
        <f>IF(Finals!A22="","",Finals!Q22)</f>
        <v/>
      </c>
    </row>
    <row r="51" spans="1:15" ht="28.5">
      <c r="A51" s="12" t="e">
        <f>IF('Match Entry'!$R18="Complete",'Match Entry'!A18,"")</f>
        <v>#DIV/0!</v>
      </c>
      <c r="B51" s="12" t="e">
        <f>IF('Match Entry'!$R18="Complete",'Match Entry'!B18,"")</f>
        <v>#DIV/0!</v>
      </c>
      <c r="C51" s="12" t="e">
        <f>IF('Match Entry'!$R18="Complete",'Match Entry'!C18,"")</f>
        <v>#DIV/0!</v>
      </c>
      <c r="D51" s="12" t="e">
        <f>IF('Match Entry'!$R18="Complete",'Match Entry'!D18,"")</f>
        <v>#DIV/0!</v>
      </c>
      <c r="E51" s="12" t="e">
        <f>IF('Match Entry'!$R18="Complete",'Match Entry'!P18&amp;"-"&amp;'Match Entry'!Q18,"")</f>
        <v>#DIV/0!</v>
      </c>
      <c r="F51" s="12" t="e">
        <f>IF('Match Entry'!$R18="Complete",'Match Entry'!E18,"")</f>
        <v>#DIV/0!</v>
      </c>
      <c r="G51" s="12" t="e">
        <f>IF('Match Entry'!$R18="Complete",IF(ISNUMBER('Match Entry'!F18),'Match Entry'!F18&amp;"-"&amp;'Match Entry'!G18,"")&amp;IF(ISNUMBER('Match Entry'!H18),", "&amp;'Match Entry'!H18&amp;"-"&amp;'Match Entry'!I18,"")&amp;IF(ISNUMBER('Match Entry'!J18),", "&amp;'Match Entry'!J18&amp;"-"&amp;'Match Entry'!K18,"")&amp;IF(ISNUMBER('Match Entry'!L18),", "&amp;'Match Entry'!L18&amp;"-"&amp;'Match Entry'!M18,"")&amp;IF(ISNUMBER('Match Entry'!N18),", "&amp;'Match Entry'!N18&amp;"-"&amp;'Match Entry'!O18,""),"")</f>
        <v>#DIV/0!</v>
      </c>
      <c r="H51" s="12" t="e">
        <f>IF('Match Entry'!$R18="Complete",'Match Entry'!S18,"")</f>
        <v>#DIV/0!</v>
      </c>
      <c r="I51" s="12"/>
      <c r="J51" s="12" t="str">
        <f>IF(Finals!A23="","",Finals!A23)</f>
        <v/>
      </c>
      <c r="K51" s="12" t="str">
        <f>IF(Finals!A23="","",Finals!B23)</f>
        <v/>
      </c>
      <c r="L51" s="12" t="str">
        <f>IF(Finals!A23="","",Finals!C23)</f>
        <v/>
      </c>
      <c r="M51" s="12" t="str">
        <f>IF(Finals!A23="","",IF(Finals!R23="Complete",Finals!O23&amp;"-"&amp;Finals!P23,""))</f>
        <v/>
      </c>
      <c r="N51" s="12" t="str">
        <f>IF(Finals!A23="","",Finals!D23)</f>
        <v/>
      </c>
      <c r="O51" s="12" t="str">
        <f>IF(Finals!A23="","",Finals!Q23)</f>
        <v/>
      </c>
    </row>
    <row r="52" spans="1:15" ht="28.5">
      <c r="A52" s="12" t="e">
        <f>IF('Match Entry'!$R19="Complete",'Match Entry'!A19,"")</f>
        <v>#DIV/0!</v>
      </c>
      <c r="B52" s="12" t="e">
        <f>IF('Match Entry'!$R19="Complete",'Match Entry'!B19,"")</f>
        <v>#DIV/0!</v>
      </c>
      <c r="C52" s="12" t="e">
        <f>IF('Match Entry'!$R19="Complete",'Match Entry'!C19,"")</f>
        <v>#DIV/0!</v>
      </c>
      <c r="D52" s="12" t="e">
        <f>IF('Match Entry'!$R19="Complete",'Match Entry'!D19,"")</f>
        <v>#DIV/0!</v>
      </c>
      <c r="E52" s="12" t="e">
        <f>IF('Match Entry'!$R19="Complete",'Match Entry'!P19&amp;"-"&amp;'Match Entry'!Q19,"")</f>
        <v>#DIV/0!</v>
      </c>
      <c r="F52" s="12" t="e">
        <f>IF('Match Entry'!$R19="Complete",'Match Entry'!E19,"")</f>
        <v>#DIV/0!</v>
      </c>
      <c r="G52" s="12" t="e">
        <f>IF('Match Entry'!$R19="Complete",IF(ISNUMBER('Match Entry'!F19),'Match Entry'!F19&amp;"-"&amp;'Match Entry'!G19,"")&amp;IF(ISNUMBER('Match Entry'!H19),", "&amp;'Match Entry'!H19&amp;"-"&amp;'Match Entry'!I19,"")&amp;IF(ISNUMBER('Match Entry'!J19),", "&amp;'Match Entry'!J19&amp;"-"&amp;'Match Entry'!K19,"")&amp;IF(ISNUMBER('Match Entry'!L19),", "&amp;'Match Entry'!L19&amp;"-"&amp;'Match Entry'!M19,"")&amp;IF(ISNUMBER('Match Entry'!N19),", "&amp;'Match Entry'!N19&amp;"-"&amp;'Match Entry'!O19,""),"")</f>
        <v>#DIV/0!</v>
      </c>
      <c r="H52" s="12" t="e">
        <f>IF('Match Entry'!$R19="Complete",'Match Entry'!S19,"")</f>
        <v>#DIV/0!</v>
      </c>
      <c r="I52" s="12"/>
      <c r="J52" s="12" t="str">
        <f>IF(Finals!A26="","",Finals!A26)</f>
        <v/>
      </c>
      <c r="K52" s="12" t="str">
        <f>IF(Finals!A26="","",Finals!B26)</f>
        <v/>
      </c>
      <c r="L52" s="12" t="str">
        <f>IF(Finals!A26="","",Finals!C26)</f>
        <v/>
      </c>
      <c r="M52" s="12" t="str">
        <f>IF(Finals!A26="","",IF(Finals!R26="Complete",Finals!O26&amp;"-"&amp;Finals!P26,""))</f>
        <v/>
      </c>
      <c r="N52" s="12" t="str">
        <f>IF(Finals!A26="","",Finals!D26)</f>
        <v/>
      </c>
      <c r="O52" s="12" t="str">
        <f>IF(Finals!A26="","",Finals!Q26)</f>
        <v/>
      </c>
    </row>
    <row r="53" spans="1:15" ht="28.5">
      <c r="A53" s="12" t="e">
        <f>IF('Match Entry'!$R20="Complete",'Match Entry'!A20,"")</f>
        <v>#DIV/0!</v>
      </c>
      <c r="B53" s="12" t="e">
        <f>IF('Match Entry'!$R20="Complete",'Match Entry'!B20,"")</f>
        <v>#DIV/0!</v>
      </c>
      <c r="C53" s="12" t="e">
        <f>IF('Match Entry'!$R20="Complete",'Match Entry'!C20,"")</f>
        <v>#DIV/0!</v>
      </c>
      <c r="D53" s="12" t="e">
        <f>IF('Match Entry'!$R20="Complete",'Match Entry'!D20,"")</f>
        <v>#DIV/0!</v>
      </c>
      <c r="E53" s="12" t="e">
        <f>IF('Match Entry'!$R20="Complete",'Match Entry'!P20&amp;"-"&amp;'Match Entry'!Q20,"")</f>
        <v>#DIV/0!</v>
      </c>
      <c r="F53" s="12" t="e">
        <f>IF('Match Entry'!$R20="Complete",'Match Entry'!E20,"")</f>
        <v>#DIV/0!</v>
      </c>
      <c r="G53" s="12" t="e">
        <f>IF('Match Entry'!$R20="Complete",IF(ISNUMBER('Match Entry'!F20),'Match Entry'!F20&amp;"-"&amp;'Match Entry'!G20,"")&amp;IF(ISNUMBER('Match Entry'!H20),", "&amp;'Match Entry'!H20&amp;"-"&amp;'Match Entry'!I20,"")&amp;IF(ISNUMBER('Match Entry'!J20),", "&amp;'Match Entry'!J20&amp;"-"&amp;'Match Entry'!K20,"")&amp;IF(ISNUMBER('Match Entry'!L20),", "&amp;'Match Entry'!L20&amp;"-"&amp;'Match Entry'!M20,"")&amp;IF(ISNUMBER('Match Entry'!N20),", "&amp;'Match Entry'!N20&amp;"-"&amp;'Match Entry'!O20,""),"")</f>
        <v>#DIV/0!</v>
      </c>
      <c r="H53" s="12" t="e">
        <f>IF('Match Entry'!$R20="Complete",'Match Entry'!S20,"")</f>
        <v>#DIV/0!</v>
      </c>
      <c r="I53" s="12"/>
      <c r="J53" s="12" t="str">
        <f>IF(Finals!A29="","",Finals!A29)</f>
        <v/>
      </c>
      <c r="K53" s="12" t="str">
        <f>IF(Finals!A29="","",Finals!B29)</f>
        <v/>
      </c>
      <c r="L53" s="12" t="str">
        <f>IF(Finals!A29="","",Finals!C29)</f>
        <v/>
      </c>
      <c r="M53" s="12" t="str">
        <f>IF(Finals!A29="","",IF(Finals!R29="Complete",Finals!O29&amp;"-"&amp;Finals!P29,""))</f>
        <v/>
      </c>
      <c r="N53" s="12" t="str">
        <f>IF(Finals!A29="","",Finals!D29)</f>
        <v/>
      </c>
      <c r="O53" s="12" t="str">
        <f>IF(Finals!A29="","",Finals!Q29)</f>
        <v/>
      </c>
    </row>
    <row r="54" spans="1:15" ht="28.5">
      <c r="A54" s="12" t="e">
        <f>IF('Match Entry'!$R21="Complete",'Match Entry'!A21,"")</f>
        <v>#DIV/0!</v>
      </c>
      <c r="B54" s="12" t="e">
        <f>IF('Match Entry'!$R21="Complete",'Match Entry'!B21,"")</f>
        <v>#DIV/0!</v>
      </c>
      <c r="C54" s="12" t="e">
        <f>IF('Match Entry'!$R21="Complete",'Match Entry'!C21,"")</f>
        <v>#DIV/0!</v>
      </c>
      <c r="D54" s="12" t="e">
        <f>IF('Match Entry'!$R21="Complete",'Match Entry'!D21,"")</f>
        <v>#DIV/0!</v>
      </c>
      <c r="E54" s="12" t="e">
        <f>IF('Match Entry'!$R21="Complete",'Match Entry'!P21&amp;"-"&amp;'Match Entry'!Q21,"")</f>
        <v>#DIV/0!</v>
      </c>
      <c r="F54" s="12" t="e">
        <f>IF('Match Entry'!$R21="Complete",'Match Entry'!E21,"")</f>
        <v>#DIV/0!</v>
      </c>
      <c r="G54" s="12" t="e">
        <f>IF('Match Entry'!$R21="Complete",IF(ISNUMBER('Match Entry'!F21),'Match Entry'!F21&amp;"-"&amp;'Match Entry'!G21,"")&amp;IF(ISNUMBER('Match Entry'!H21),", "&amp;'Match Entry'!H21&amp;"-"&amp;'Match Entry'!I21,"")&amp;IF(ISNUMBER('Match Entry'!J21),", "&amp;'Match Entry'!J21&amp;"-"&amp;'Match Entry'!K21,"")&amp;IF(ISNUMBER('Match Entry'!L21),", "&amp;'Match Entry'!L21&amp;"-"&amp;'Match Entry'!M21,"")&amp;IF(ISNUMBER('Match Entry'!N21),", "&amp;'Match Entry'!N21&amp;"-"&amp;'Match Entry'!O21,""),"")</f>
        <v>#DIV/0!</v>
      </c>
      <c r="H54" s="12" t="e">
        <f>IF('Match Entry'!$R21="Complete",'Match Entry'!S21,"")</f>
        <v>#DIV/0!</v>
      </c>
      <c r="I54" s="12"/>
      <c r="J54" s="12"/>
      <c r="K54" s="12"/>
      <c r="L54" s="12"/>
      <c r="M54" s="12"/>
      <c r="N54" s="12"/>
      <c r="O54" s="12"/>
    </row>
    <row r="55" spans="1:15" ht="28.5">
      <c r="A55" s="12" t="e">
        <f>IF('Match Entry'!$R22="Complete",'Match Entry'!A22,"")</f>
        <v>#DIV/0!</v>
      </c>
      <c r="B55" s="12" t="e">
        <f>IF('Match Entry'!$R22="Complete",'Match Entry'!B22,"")</f>
        <v>#DIV/0!</v>
      </c>
      <c r="C55" s="12" t="e">
        <f>IF('Match Entry'!$R22="Complete",'Match Entry'!C22,"")</f>
        <v>#DIV/0!</v>
      </c>
      <c r="D55" s="12" t="e">
        <f>IF('Match Entry'!$R22="Complete",'Match Entry'!D22,"")</f>
        <v>#DIV/0!</v>
      </c>
      <c r="E55" s="12" t="e">
        <f>IF('Match Entry'!$R22="Complete",'Match Entry'!P22&amp;"-"&amp;'Match Entry'!Q22,"")</f>
        <v>#DIV/0!</v>
      </c>
      <c r="F55" s="12" t="e">
        <f>IF('Match Entry'!$R22="Complete",'Match Entry'!E22,"")</f>
        <v>#DIV/0!</v>
      </c>
      <c r="G55" s="12" t="e">
        <f>IF('Match Entry'!$R22="Complete",IF(ISNUMBER('Match Entry'!F22),'Match Entry'!F22&amp;"-"&amp;'Match Entry'!G22,"")&amp;IF(ISNUMBER('Match Entry'!H22),", "&amp;'Match Entry'!H22&amp;"-"&amp;'Match Entry'!I22,"")&amp;IF(ISNUMBER('Match Entry'!J22),", "&amp;'Match Entry'!J22&amp;"-"&amp;'Match Entry'!K22,"")&amp;IF(ISNUMBER('Match Entry'!L22),", "&amp;'Match Entry'!L22&amp;"-"&amp;'Match Entry'!M22,"")&amp;IF(ISNUMBER('Match Entry'!N22),", "&amp;'Match Entry'!N22&amp;"-"&amp;'Match Entry'!O22,""),"")</f>
        <v>#DIV/0!</v>
      </c>
      <c r="H55" s="12" t="e">
        <f>IF('Match Entry'!$R22="Complete",'Match Entry'!S22,"")</f>
        <v>#DIV/0!</v>
      </c>
      <c r="I55" s="12"/>
      <c r="J55" s="12"/>
      <c r="K55" s="12"/>
      <c r="L55" s="12"/>
      <c r="M55" s="12"/>
      <c r="N55" s="12"/>
      <c r="O55" s="12"/>
    </row>
    <row r="56" spans="1:15" ht="28.5">
      <c r="A56" s="12" t="e">
        <f>IF('Match Entry'!$R23="Complete",'Match Entry'!A23,"")</f>
        <v>#DIV/0!</v>
      </c>
      <c r="B56" s="12" t="e">
        <f>IF('Match Entry'!$R23="Complete",'Match Entry'!B23,"")</f>
        <v>#DIV/0!</v>
      </c>
      <c r="C56" s="12" t="e">
        <f>IF('Match Entry'!$R23="Complete",'Match Entry'!C23,"")</f>
        <v>#DIV/0!</v>
      </c>
      <c r="D56" s="12" t="e">
        <f>IF('Match Entry'!$R23="Complete",'Match Entry'!D23,"")</f>
        <v>#DIV/0!</v>
      </c>
      <c r="E56" s="12" t="e">
        <f>IF('Match Entry'!$R23="Complete",'Match Entry'!P23&amp;"-"&amp;'Match Entry'!Q23,"")</f>
        <v>#DIV/0!</v>
      </c>
      <c r="F56" s="12" t="e">
        <f>IF('Match Entry'!$R23="Complete",'Match Entry'!E23,"")</f>
        <v>#DIV/0!</v>
      </c>
      <c r="G56" s="12" t="e">
        <f>IF('Match Entry'!$R23="Complete",IF(ISNUMBER('Match Entry'!F23),'Match Entry'!F23&amp;"-"&amp;'Match Entry'!G23,"")&amp;IF(ISNUMBER('Match Entry'!H23),", "&amp;'Match Entry'!H23&amp;"-"&amp;'Match Entry'!I23,"")&amp;IF(ISNUMBER('Match Entry'!J23),", "&amp;'Match Entry'!J23&amp;"-"&amp;'Match Entry'!K23,"")&amp;IF(ISNUMBER('Match Entry'!L23),", "&amp;'Match Entry'!L23&amp;"-"&amp;'Match Entry'!M23,"")&amp;IF(ISNUMBER('Match Entry'!N23),", "&amp;'Match Entry'!N23&amp;"-"&amp;'Match Entry'!O23,""),"")</f>
        <v>#DIV/0!</v>
      </c>
      <c r="H56" s="12" t="e">
        <f>IF('Match Entry'!$R23="Complete",'Match Entry'!S23,"")</f>
        <v>#DIV/0!</v>
      </c>
      <c r="I56" s="12"/>
      <c r="J56" s="12"/>
      <c r="K56" s="12"/>
      <c r="L56" s="12"/>
      <c r="M56" s="12"/>
      <c r="N56" s="12"/>
      <c r="O56" s="12"/>
    </row>
    <row r="57" spans="1:15" ht="28.5">
      <c r="A57" s="12" t="e">
        <f>IF('Match Entry'!$R24="Complete",'Match Entry'!A24,"")</f>
        <v>#DIV/0!</v>
      </c>
      <c r="B57" s="12" t="e">
        <f>IF('Match Entry'!$R24="Complete",'Match Entry'!B24,"")</f>
        <v>#DIV/0!</v>
      </c>
      <c r="C57" s="12" t="e">
        <f>IF('Match Entry'!$R24="Complete",'Match Entry'!C24,"")</f>
        <v>#DIV/0!</v>
      </c>
      <c r="D57" s="12" t="e">
        <f>IF('Match Entry'!$R24="Complete",'Match Entry'!D24,"")</f>
        <v>#DIV/0!</v>
      </c>
      <c r="E57" s="12" t="e">
        <f>IF('Match Entry'!$R24="Complete",'Match Entry'!P24&amp;"-"&amp;'Match Entry'!Q24,"")</f>
        <v>#DIV/0!</v>
      </c>
      <c r="F57" s="12" t="e">
        <f>IF('Match Entry'!$R24="Complete",'Match Entry'!E24,"")</f>
        <v>#DIV/0!</v>
      </c>
      <c r="G57" s="12" t="e">
        <f>IF('Match Entry'!$R24="Complete",IF(ISNUMBER('Match Entry'!F24),'Match Entry'!F24&amp;"-"&amp;'Match Entry'!G24,"")&amp;IF(ISNUMBER('Match Entry'!H24),", "&amp;'Match Entry'!H24&amp;"-"&amp;'Match Entry'!I24,"")&amp;IF(ISNUMBER('Match Entry'!J24),", "&amp;'Match Entry'!J24&amp;"-"&amp;'Match Entry'!K24,"")&amp;IF(ISNUMBER('Match Entry'!L24),", "&amp;'Match Entry'!L24&amp;"-"&amp;'Match Entry'!M24,"")&amp;IF(ISNUMBER('Match Entry'!N24),", "&amp;'Match Entry'!N24&amp;"-"&amp;'Match Entry'!O24,""),"")</f>
        <v>#DIV/0!</v>
      </c>
      <c r="H57" s="12" t="e">
        <f>IF('Match Entry'!$R24="Complete",'Match Entry'!S24,"")</f>
        <v>#DIV/0!</v>
      </c>
      <c r="I57" s="12"/>
      <c r="J57" s="12"/>
      <c r="K57" s="12"/>
      <c r="L57" s="12"/>
      <c r="M57" s="12"/>
      <c r="N57" s="12"/>
      <c r="O57" s="12"/>
    </row>
    <row r="58" spans="1:15" ht="28.5">
      <c r="A58" s="12" t="e">
        <f>IF('Match Entry'!$R25="Complete",'Match Entry'!A25,"")</f>
        <v>#DIV/0!</v>
      </c>
      <c r="B58" s="12" t="e">
        <f>IF('Match Entry'!$R25="Complete",'Match Entry'!B25,"")</f>
        <v>#DIV/0!</v>
      </c>
      <c r="C58" s="12" t="e">
        <f>IF('Match Entry'!$R25="Complete",'Match Entry'!C25,"")</f>
        <v>#DIV/0!</v>
      </c>
      <c r="D58" s="12" t="e">
        <f>IF('Match Entry'!$R25="Complete",'Match Entry'!D25,"")</f>
        <v>#DIV/0!</v>
      </c>
      <c r="E58" s="12" t="e">
        <f>IF('Match Entry'!$R25="Complete",'Match Entry'!P25&amp;"-"&amp;'Match Entry'!Q25,"")</f>
        <v>#DIV/0!</v>
      </c>
      <c r="F58" s="12" t="e">
        <f>IF('Match Entry'!$R25="Complete",'Match Entry'!E25,"")</f>
        <v>#DIV/0!</v>
      </c>
      <c r="G58" s="12" t="e">
        <f>IF('Match Entry'!$R25="Complete",IF(ISNUMBER('Match Entry'!F25),'Match Entry'!F25&amp;"-"&amp;'Match Entry'!G25,"")&amp;IF(ISNUMBER('Match Entry'!H25),", "&amp;'Match Entry'!H25&amp;"-"&amp;'Match Entry'!I25,"")&amp;IF(ISNUMBER('Match Entry'!J25),", "&amp;'Match Entry'!J25&amp;"-"&amp;'Match Entry'!K25,"")&amp;IF(ISNUMBER('Match Entry'!L25),", "&amp;'Match Entry'!L25&amp;"-"&amp;'Match Entry'!M25,"")&amp;IF(ISNUMBER('Match Entry'!N25),", "&amp;'Match Entry'!N25&amp;"-"&amp;'Match Entry'!O25,""),"")</f>
        <v>#DIV/0!</v>
      </c>
      <c r="H58" s="12" t="e">
        <f>IF('Match Entry'!$R25="Complete",'Match Entry'!S25,"")</f>
        <v>#DIV/0!</v>
      </c>
      <c r="I58" s="12"/>
      <c r="J58" s="12"/>
      <c r="K58" s="12"/>
      <c r="L58" s="12"/>
      <c r="M58" s="12"/>
      <c r="N58" s="12"/>
      <c r="O58" s="12"/>
    </row>
    <row r="59" spans="1:15" ht="28.5">
      <c r="A59" s="12" t="e">
        <f>IF('Match Entry'!$R26="Complete",'Match Entry'!A26,"")</f>
        <v>#DIV/0!</v>
      </c>
      <c r="B59" s="12" t="e">
        <f>IF('Match Entry'!$R26="Complete",'Match Entry'!B26,"")</f>
        <v>#DIV/0!</v>
      </c>
      <c r="C59" s="12" t="e">
        <f>IF('Match Entry'!$R26="Complete",'Match Entry'!C26,"")</f>
        <v>#DIV/0!</v>
      </c>
      <c r="D59" s="12" t="e">
        <f>IF('Match Entry'!$R26="Complete",'Match Entry'!D26,"")</f>
        <v>#DIV/0!</v>
      </c>
      <c r="E59" s="12" t="e">
        <f>IF('Match Entry'!$R26="Complete",'Match Entry'!P26&amp;"-"&amp;'Match Entry'!Q26,"")</f>
        <v>#DIV/0!</v>
      </c>
      <c r="F59" s="12" t="e">
        <f>IF('Match Entry'!$R26="Complete",'Match Entry'!E26,"")</f>
        <v>#DIV/0!</v>
      </c>
      <c r="G59" s="12" t="e">
        <f>IF('Match Entry'!$R26="Complete",IF(ISNUMBER('Match Entry'!F26),'Match Entry'!F26&amp;"-"&amp;'Match Entry'!G26,"")&amp;IF(ISNUMBER('Match Entry'!H26),", "&amp;'Match Entry'!H26&amp;"-"&amp;'Match Entry'!I26,"")&amp;IF(ISNUMBER('Match Entry'!J26),", "&amp;'Match Entry'!J26&amp;"-"&amp;'Match Entry'!K26,"")&amp;IF(ISNUMBER('Match Entry'!L26),", "&amp;'Match Entry'!L26&amp;"-"&amp;'Match Entry'!M26,"")&amp;IF(ISNUMBER('Match Entry'!N26),", "&amp;'Match Entry'!N26&amp;"-"&amp;'Match Entry'!O26,""),"")</f>
        <v>#DIV/0!</v>
      </c>
      <c r="H59" s="12" t="e">
        <f>IF('Match Entry'!$R26="Complete",'Match Entry'!S26,"")</f>
        <v>#DIV/0!</v>
      </c>
      <c r="I59" s="12"/>
      <c r="J59" s="12"/>
      <c r="K59" s="12"/>
      <c r="L59" s="12"/>
      <c r="M59" s="12"/>
      <c r="N59" s="12"/>
      <c r="O59" s="12"/>
    </row>
    <row r="60" spans="1:15" ht="28.5">
      <c r="A60" s="12" t="e">
        <f>IF('Match Entry'!$R27="Complete",'Match Entry'!A27,"")</f>
        <v>#DIV/0!</v>
      </c>
      <c r="B60" s="12" t="e">
        <f>IF('Match Entry'!$R27="Complete",'Match Entry'!B27,"")</f>
        <v>#DIV/0!</v>
      </c>
      <c r="C60" s="12" t="e">
        <f>IF('Match Entry'!$R27="Complete",'Match Entry'!C27,"")</f>
        <v>#DIV/0!</v>
      </c>
      <c r="D60" s="12" t="e">
        <f>IF('Match Entry'!$R27="Complete",'Match Entry'!D27,"")</f>
        <v>#DIV/0!</v>
      </c>
      <c r="E60" s="12" t="e">
        <f>IF('Match Entry'!$R27="Complete",'Match Entry'!P27&amp;"-"&amp;'Match Entry'!Q27,"")</f>
        <v>#DIV/0!</v>
      </c>
      <c r="F60" s="12" t="e">
        <f>IF('Match Entry'!$R27="Complete",'Match Entry'!E27,"")</f>
        <v>#DIV/0!</v>
      </c>
      <c r="G60" s="12" t="e">
        <f>IF('Match Entry'!$R27="Complete",IF(ISNUMBER('Match Entry'!F27),'Match Entry'!F27&amp;"-"&amp;'Match Entry'!G27,"")&amp;IF(ISNUMBER('Match Entry'!H27),", "&amp;'Match Entry'!H27&amp;"-"&amp;'Match Entry'!I27,"")&amp;IF(ISNUMBER('Match Entry'!J27),", "&amp;'Match Entry'!J27&amp;"-"&amp;'Match Entry'!K27,"")&amp;IF(ISNUMBER('Match Entry'!L27),", "&amp;'Match Entry'!L27&amp;"-"&amp;'Match Entry'!M27,"")&amp;IF(ISNUMBER('Match Entry'!N27),", "&amp;'Match Entry'!N27&amp;"-"&amp;'Match Entry'!O27,""),"")</f>
        <v>#DIV/0!</v>
      </c>
      <c r="H60" s="12" t="e">
        <f>IF('Match Entry'!$R27="Complete",'Match Entry'!S27,"")</f>
        <v>#DIV/0!</v>
      </c>
      <c r="I60" s="12"/>
      <c r="J60" s="12"/>
      <c r="K60" s="12"/>
      <c r="L60" s="12"/>
      <c r="M60" s="12"/>
      <c r="N60" s="12"/>
      <c r="O60" s="12"/>
    </row>
    <row r="61" spans="1:15" ht="28.5">
      <c r="A61" s="12" t="e">
        <f>IF('Match Entry'!$R28="Complete",'Match Entry'!A28,"")</f>
        <v>#DIV/0!</v>
      </c>
      <c r="B61" s="12" t="e">
        <f>IF('Match Entry'!$R28="Complete",'Match Entry'!B28,"")</f>
        <v>#DIV/0!</v>
      </c>
      <c r="C61" s="12" t="e">
        <f>IF('Match Entry'!$R28="Complete",'Match Entry'!C28,"")</f>
        <v>#DIV/0!</v>
      </c>
      <c r="D61" s="12" t="e">
        <f>IF('Match Entry'!$R28="Complete",'Match Entry'!D28,"")</f>
        <v>#DIV/0!</v>
      </c>
      <c r="E61" s="12" t="e">
        <f>IF('Match Entry'!$R28="Complete",'Match Entry'!P28&amp;"-"&amp;'Match Entry'!Q28,"")</f>
        <v>#DIV/0!</v>
      </c>
      <c r="F61" s="12" t="e">
        <f>IF('Match Entry'!$R28="Complete",'Match Entry'!E28,"")</f>
        <v>#DIV/0!</v>
      </c>
      <c r="G61" s="12" t="e">
        <f>IF('Match Entry'!$R28="Complete",IF(ISNUMBER('Match Entry'!F28),'Match Entry'!F28&amp;"-"&amp;'Match Entry'!G28,"")&amp;IF(ISNUMBER('Match Entry'!H28),", "&amp;'Match Entry'!H28&amp;"-"&amp;'Match Entry'!I28,"")&amp;IF(ISNUMBER('Match Entry'!J28),", "&amp;'Match Entry'!J28&amp;"-"&amp;'Match Entry'!K28,"")&amp;IF(ISNUMBER('Match Entry'!L28),", "&amp;'Match Entry'!L28&amp;"-"&amp;'Match Entry'!M28,"")&amp;IF(ISNUMBER('Match Entry'!N28),", "&amp;'Match Entry'!N28&amp;"-"&amp;'Match Entry'!O28,""),"")</f>
        <v>#DIV/0!</v>
      </c>
      <c r="H61" s="12" t="e">
        <f>IF('Match Entry'!$R28="Complete",'Match Entry'!S28,"")</f>
        <v>#DIV/0!</v>
      </c>
      <c r="I61" s="12"/>
      <c r="J61" s="12"/>
      <c r="K61" s="12"/>
      <c r="L61" s="12"/>
      <c r="M61" s="12"/>
      <c r="N61" s="12"/>
      <c r="O61" s="12"/>
    </row>
    <row r="62" spans="1:15" ht="28.5">
      <c r="A62" s="12" t="e">
        <f>IF('Match Entry'!$R29="Complete",'Match Entry'!A29,"")</f>
        <v>#DIV/0!</v>
      </c>
      <c r="B62" s="12" t="e">
        <f>IF('Match Entry'!$R29="Complete",'Match Entry'!B29,"")</f>
        <v>#DIV/0!</v>
      </c>
      <c r="C62" s="12" t="e">
        <f>IF('Match Entry'!$R29="Complete",'Match Entry'!C29,"")</f>
        <v>#DIV/0!</v>
      </c>
      <c r="D62" s="12" t="e">
        <f>IF('Match Entry'!$R29="Complete",'Match Entry'!D29,"")</f>
        <v>#DIV/0!</v>
      </c>
      <c r="E62" s="12" t="e">
        <f>IF('Match Entry'!$R29="Complete",'Match Entry'!P29&amp;"-"&amp;'Match Entry'!Q29,"")</f>
        <v>#DIV/0!</v>
      </c>
      <c r="F62" s="12" t="e">
        <f>IF('Match Entry'!$R29="Complete",'Match Entry'!E29,"")</f>
        <v>#DIV/0!</v>
      </c>
      <c r="G62" s="12" t="e">
        <f>IF('Match Entry'!$R29="Complete",IF(ISNUMBER('Match Entry'!F29),'Match Entry'!F29&amp;"-"&amp;'Match Entry'!G29,"")&amp;IF(ISNUMBER('Match Entry'!H29),", "&amp;'Match Entry'!H29&amp;"-"&amp;'Match Entry'!I29,"")&amp;IF(ISNUMBER('Match Entry'!J29),", "&amp;'Match Entry'!J29&amp;"-"&amp;'Match Entry'!K29,"")&amp;IF(ISNUMBER('Match Entry'!L29),", "&amp;'Match Entry'!L29&amp;"-"&amp;'Match Entry'!M29,"")&amp;IF(ISNUMBER('Match Entry'!N29),", "&amp;'Match Entry'!N29&amp;"-"&amp;'Match Entry'!O29,""),"")</f>
        <v>#DIV/0!</v>
      </c>
      <c r="H62" s="12" t="e">
        <f>IF('Match Entry'!$R29="Complete",'Match Entry'!S29,"")</f>
        <v>#DIV/0!</v>
      </c>
      <c r="I62" s="12"/>
      <c r="J62" s="12"/>
      <c r="K62" s="12"/>
      <c r="L62" s="12"/>
      <c r="M62" s="12"/>
      <c r="N62" s="12"/>
      <c r="O62" s="12"/>
    </row>
    <row r="63" spans="1:15" ht="28.5">
      <c r="A63" s="12" t="e">
        <f>IF('Match Entry'!$R30="Complete",'Match Entry'!A30,"")</f>
        <v>#DIV/0!</v>
      </c>
      <c r="B63" s="12" t="e">
        <f>IF('Match Entry'!$R30="Complete",'Match Entry'!B30,"")</f>
        <v>#DIV/0!</v>
      </c>
      <c r="C63" s="12" t="e">
        <f>IF('Match Entry'!$R30="Complete",'Match Entry'!C30,"")</f>
        <v>#DIV/0!</v>
      </c>
      <c r="D63" s="12" t="e">
        <f>IF('Match Entry'!$R30="Complete",'Match Entry'!D30,"")</f>
        <v>#DIV/0!</v>
      </c>
      <c r="E63" s="12" t="e">
        <f>IF('Match Entry'!$R30="Complete",'Match Entry'!P30&amp;"-"&amp;'Match Entry'!Q30,"")</f>
        <v>#DIV/0!</v>
      </c>
      <c r="F63" s="12" t="e">
        <f>IF('Match Entry'!$R30="Complete",'Match Entry'!E30,"")</f>
        <v>#DIV/0!</v>
      </c>
      <c r="G63" s="12" t="e">
        <f>IF('Match Entry'!$R30="Complete",IF(ISNUMBER('Match Entry'!F30),'Match Entry'!F30&amp;"-"&amp;'Match Entry'!G30,"")&amp;IF(ISNUMBER('Match Entry'!H30),", "&amp;'Match Entry'!H30&amp;"-"&amp;'Match Entry'!I30,"")&amp;IF(ISNUMBER('Match Entry'!J30),", "&amp;'Match Entry'!J30&amp;"-"&amp;'Match Entry'!K30,"")&amp;IF(ISNUMBER('Match Entry'!L30),", "&amp;'Match Entry'!L30&amp;"-"&amp;'Match Entry'!M30,"")&amp;IF(ISNUMBER('Match Entry'!N30),", "&amp;'Match Entry'!N30&amp;"-"&amp;'Match Entry'!O30,""),"")</f>
        <v>#DIV/0!</v>
      </c>
      <c r="H63" s="12" t="e">
        <f>IF('Match Entry'!$R30="Complete",'Match Entry'!S30,"")</f>
        <v>#DIV/0!</v>
      </c>
      <c r="I63" s="12"/>
      <c r="J63" s="12"/>
      <c r="K63" s="12"/>
      <c r="L63" s="12"/>
      <c r="M63" s="12"/>
      <c r="N63" s="12"/>
      <c r="O63" s="12"/>
    </row>
    <row r="64" spans="1:15" ht="28.5">
      <c r="A64" s="12" t="e">
        <f>IF('Match Entry'!$R31="Complete",'Match Entry'!A31,"")</f>
        <v>#DIV/0!</v>
      </c>
      <c r="B64" s="12" t="e">
        <f>IF('Match Entry'!$R31="Complete",'Match Entry'!B31,"")</f>
        <v>#DIV/0!</v>
      </c>
      <c r="C64" s="12" t="e">
        <f>IF('Match Entry'!$R31="Complete",'Match Entry'!C31,"")</f>
        <v>#DIV/0!</v>
      </c>
      <c r="D64" s="12" t="e">
        <f>IF('Match Entry'!$R31="Complete",'Match Entry'!D31,"")</f>
        <v>#DIV/0!</v>
      </c>
      <c r="E64" s="12" t="e">
        <f>IF('Match Entry'!$R31="Complete",'Match Entry'!P31&amp;"-"&amp;'Match Entry'!Q31,"")</f>
        <v>#DIV/0!</v>
      </c>
      <c r="F64" s="12" t="e">
        <f>IF('Match Entry'!$R31="Complete",'Match Entry'!E31,"")</f>
        <v>#DIV/0!</v>
      </c>
      <c r="G64" s="12" t="e">
        <f>IF('Match Entry'!$R31="Complete",IF(ISNUMBER('Match Entry'!F31),'Match Entry'!F31&amp;"-"&amp;'Match Entry'!G31,"")&amp;IF(ISNUMBER('Match Entry'!H31),", "&amp;'Match Entry'!H31&amp;"-"&amp;'Match Entry'!I31,"")&amp;IF(ISNUMBER('Match Entry'!J31),", "&amp;'Match Entry'!J31&amp;"-"&amp;'Match Entry'!K31,"")&amp;IF(ISNUMBER('Match Entry'!L31),", "&amp;'Match Entry'!L31&amp;"-"&amp;'Match Entry'!M31,"")&amp;IF(ISNUMBER('Match Entry'!N31),", "&amp;'Match Entry'!N31&amp;"-"&amp;'Match Entry'!O31,""),"")</f>
        <v>#DIV/0!</v>
      </c>
      <c r="H64" s="12" t="e">
        <f>IF('Match Entry'!$R31="Complete",'Match Entry'!S31,"")</f>
        <v>#DIV/0!</v>
      </c>
      <c r="I64" s="12"/>
      <c r="J64" s="12"/>
      <c r="K64" s="12"/>
      <c r="L64" s="12"/>
      <c r="M64" s="12"/>
      <c r="N64" s="12"/>
      <c r="O64" s="12"/>
    </row>
    <row r="65" spans="1:15" ht="28.5">
      <c r="A65" s="12" t="e">
        <f>IF('Match Entry'!$R32="Complete",'Match Entry'!A32,"")</f>
        <v>#DIV/0!</v>
      </c>
      <c r="B65" s="12" t="e">
        <f>IF('Match Entry'!$R32="Complete",'Match Entry'!B32,"")</f>
        <v>#DIV/0!</v>
      </c>
      <c r="C65" s="12" t="e">
        <f>IF('Match Entry'!$R32="Complete",'Match Entry'!C32,"")</f>
        <v>#DIV/0!</v>
      </c>
      <c r="D65" s="12" t="e">
        <f>IF('Match Entry'!$R32="Complete",'Match Entry'!D32,"")</f>
        <v>#DIV/0!</v>
      </c>
      <c r="E65" s="12" t="e">
        <f>IF('Match Entry'!$R32="Complete",'Match Entry'!P32&amp;"-"&amp;'Match Entry'!Q32,"")</f>
        <v>#DIV/0!</v>
      </c>
      <c r="F65" s="12" t="e">
        <f>IF('Match Entry'!$R32="Complete",'Match Entry'!E32,"")</f>
        <v>#DIV/0!</v>
      </c>
      <c r="G65" s="12" t="e">
        <f>IF('Match Entry'!$R32="Complete",IF(ISNUMBER('Match Entry'!F32),'Match Entry'!F32&amp;"-"&amp;'Match Entry'!G32,"")&amp;IF(ISNUMBER('Match Entry'!H32),", "&amp;'Match Entry'!H32&amp;"-"&amp;'Match Entry'!I32,"")&amp;IF(ISNUMBER('Match Entry'!J32),", "&amp;'Match Entry'!J32&amp;"-"&amp;'Match Entry'!K32,"")&amp;IF(ISNUMBER('Match Entry'!L32),", "&amp;'Match Entry'!L32&amp;"-"&amp;'Match Entry'!M32,"")&amp;IF(ISNUMBER('Match Entry'!N32),", "&amp;'Match Entry'!N32&amp;"-"&amp;'Match Entry'!O32,""),"")</f>
        <v>#DIV/0!</v>
      </c>
      <c r="H65" s="12" t="e">
        <f>IF('Match Entry'!$R32="Complete",'Match Entry'!S32,"")</f>
        <v>#DIV/0!</v>
      </c>
      <c r="I65" s="12"/>
      <c r="J65" s="12"/>
      <c r="K65" s="12"/>
      <c r="L65" s="12"/>
      <c r="M65" s="12"/>
      <c r="N65" s="12"/>
      <c r="O65" s="12"/>
    </row>
    <row r="66" spans="1:15" ht="28.5">
      <c r="A66" s="12" t="e">
        <f>IF('Match Entry'!$R33="Complete",'Match Entry'!A33,"")</f>
        <v>#DIV/0!</v>
      </c>
      <c r="B66" s="12" t="e">
        <f>IF('Match Entry'!$R33="Complete",'Match Entry'!B33,"")</f>
        <v>#DIV/0!</v>
      </c>
      <c r="C66" s="12" t="e">
        <f>IF('Match Entry'!$R33="Complete",'Match Entry'!C33,"")</f>
        <v>#DIV/0!</v>
      </c>
      <c r="D66" s="12" t="e">
        <f>IF('Match Entry'!$R33="Complete",'Match Entry'!D33,"")</f>
        <v>#DIV/0!</v>
      </c>
      <c r="E66" s="12" t="e">
        <f>IF('Match Entry'!$R33="Complete",'Match Entry'!P33&amp;"-"&amp;'Match Entry'!Q33,"")</f>
        <v>#DIV/0!</v>
      </c>
      <c r="F66" s="12" t="e">
        <f>IF('Match Entry'!$R33="Complete",'Match Entry'!E33,"")</f>
        <v>#DIV/0!</v>
      </c>
      <c r="G66" s="12" t="e">
        <f>IF('Match Entry'!$R33="Complete",IF(ISNUMBER('Match Entry'!F33),'Match Entry'!F33&amp;"-"&amp;'Match Entry'!G33,"")&amp;IF(ISNUMBER('Match Entry'!H33),", "&amp;'Match Entry'!H33&amp;"-"&amp;'Match Entry'!I33,"")&amp;IF(ISNUMBER('Match Entry'!J33),", "&amp;'Match Entry'!J33&amp;"-"&amp;'Match Entry'!K33,"")&amp;IF(ISNUMBER('Match Entry'!L33),", "&amp;'Match Entry'!L33&amp;"-"&amp;'Match Entry'!M33,"")&amp;IF(ISNUMBER('Match Entry'!N33),", "&amp;'Match Entry'!N33&amp;"-"&amp;'Match Entry'!O33,""),"")</f>
        <v>#DIV/0!</v>
      </c>
      <c r="H66" s="12" t="e">
        <f>IF('Match Entry'!$R33="Complete",'Match Entry'!S33,"")</f>
        <v>#DIV/0!</v>
      </c>
      <c r="I66" s="12"/>
      <c r="J66" s="12"/>
      <c r="K66" s="12"/>
      <c r="L66" s="12"/>
      <c r="M66" s="12"/>
      <c r="N66" s="12"/>
      <c r="O66" s="12"/>
    </row>
    <row r="67" spans="1:15" ht="28.5">
      <c r="A67" s="12" t="e">
        <f>IF('Match Entry'!$R34="Complete",'Match Entry'!A34,"")</f>
        <v>#DIV/0!</v>
      </c>
      <c r="B67" s="12" t="e">
        <f>IF('Match Entry'!$R34="Complete",'Match Entry'!B34,"")</f>
        <v>#DIV/0!</v>
      </c>
      <c r="C67" s="12" t="e">
        <f>IF('Match Entry'!$R34="Complete",'Match Entry'!C34,"")</f>
        <v>#DIV/0!</v>
      </c>
      <c r="D67" s="12" t="e">
        <f>IF('Match Entry'!$R34="Complete",'Match Entry'!D34,"")</f>
        <v>#DIV/0!</v>
      </c>
      <c r="E67" s="12" t="e">
        <f>IF('Match Entry'!$R34="Complete",'Match Entry'!P34&amp;"-"&amp;'Match Entry'!Q34,"")</f>
        <v>#DIV/0!</v>
      </c>
      <c r="F67" s="12" t="e">
        <f>IF('Match Entry'!$R34="Complete",'Match Entry'!E34,"")</f>
        <v>#DIV/0!</v>
      </c>
      <c r="G67" s="12" t="e">
        <f>IF('Match Entry'!$R34="Complete",IF(ISNUMBER('Match Entry'!F34),'Match Entry'!F34&amp;"-"&amp;'Match Entry'!G34,"")&amp;IF(ISNUMBER('Match Entry'!H34),", "&amp;'Match Entry'!H34&amp;"-"&amp;'Match Entry'!I34,"")&amp;IF(ISNUMBER('Match Entry'!J34),", "&amp;'Match Entry'!J34&amp;"-"&amp;'Match Entry'!K34,"")&amp;IF(ISNUMBER('Match Entry'!L34),", "&amp;'Match Entry'!L34&amp;"-"&amp;'Match Entry'!M34,"")&amp;IF(ISNUMBER('Match Entry'!N34),", "&amp;'Match Entry'!N34&amp;"-"&amp;'Match Entry'!O34,""),"")</f>
        <v>#DIV/0!</v>
      </c>
      <c r="H67" s="12" t="e">
        <f>IF('Match Entry'!$R34="Complete",'Match Entry'!S34,"")</f>
        <v>#DIV/0!</v>
      </c>
      <c r="I67" s="12"/>
      <c r="J67" s="12"/>
      <c r="K67" s="12"/>
      <c r="L67" s="12"/>
      <c r="M67" s="12"/>
      <c r="N67" s="12"/>
      <c r="O67" s="12"/>
    </row>
    <row r="68" spans="1:15" ht="28.5">
      <c r="A68" s="12" t="e">
        <f>IF('Match Entry'!$R35="Complete",'Match Entry'!A35,"")</f>
        <v>#DIV/0!</v>
      </c>
      <c r="B68" s="12" t="e">
        <f>IF('Match Entry'!$R35="Complete",'Match Entry'!B35,"")</f>
        <v>#DIV/0!</v>
      </c>
      <c r="C68" s="12" t="e">
        <f>IF('Match Entry'!$R35="Complete",'Match Entry'!C35,"")</f>
        <v>#DIV/0!</v>
      </c>
      <c r="D68" s="12" t="e">
        <f>IF('Match Entry'!$R35="Complete",'Match Entry'!D35,"")</f>
        <v>#DIV/0!</v>
      </c>
      <c r="E68" s="12" t="e">
        <f>IF('Match Entry'!$R35="Complete",'Match Entry'!P35&amp;"-"&amp;'Match Entry'!Q35,"")</f>
        <v>#DIV/0!</v>
      </c>
      <c r="F68" s="12" t="e">
        <f>IF('Match Entry'!$R35="Complete",'Match Entry'!E35,"")</f>
        <v>#DIV/0!</v>
      </c>
      <c r="G68" s="12" t="e">
        <f>IF('Match Entry'!$R35="Complete",IF(ISNUMBER('Match Entry'!F35),'Match Entry'!F35&amp;"-"&amp;'Match Entry'!G35,"")&amp;IF(ISNUMBER('Match Entry'!H35),", "&amp;'Match Entry'!H35&amp;"-"&amp;'Match Entry'!I35,"")&amp;IF(ISNUMBER('Match Entry'!J35),", "&amp;'Match Entry'!J35&amp;"-"&amp;'Match Entry'!K35,"")&amp;IF(ISNUMBER('Match Entry'!L35),", "&amp;'Match Entry'!L35&amp;"-"&amp;'Match Entry'!M35,"")&amp;IF(ISNUMBER('Match Entry'!N35),", "&amp;'Match Entry'!N35&amp;"-"&amp;'Match Entry'!O35,""),"")</f>
        <v>#DIV/0!</v>
      </c>
      <c r="H68" s="12" t="e">
        <f>IF('Match Entry'!$R35="Complete",'Match Entry'!S35,"")</f>
        <v>#DIV/0!</v>
      </c>
      <c r="I68" s="12"/>
      <c r="J68" s="12"/>
      <c r="K68" s="12"/>
      <c r="L68" s="12"/>
      <c r="M68" s="12"/>
      <c r="N68" s="12"/>
      <c r="O68" s="12"/>
    </row>
    <row r="69" spans="1:15" ht="28.5">
      <c r="A69" s="12" t="e">
        <f>IF('Match Entry'!$R36="Complete",'Match Entry'!A36,"")</f>
        <v>#DIV/0!</v>
      </c>
      <c r="B69" s="12" t="e">
        <f>IF('Match Entry'!$R36="Complete",'Match Entry'!B36,"")</f>
        <v>#DIV/0!</v>
      </c>
      <c r="C69" s="12" t="e">
        <f>IF('Match Entry'!$R36="Complete",'Match Entry'!C36,"")</f>
        <v>#DIV/0!</v>
      </c>
      <c r="D69" s="12" t="e">
        <f>IF('Match Entry'!$R36="Complete",'Match Entry'!D36,"")</f>
        <v>#DIV/0!</v>
      </c>
      <c r="E69" s="12" t="e">
        <f>IF('Match Entry'!$R36="Complete",'Match Entry'!P36&amp;"-"&amp;'Match Entry'!Q36,"")</f>
        <v>#DIV/0!</v>
      </c>
      <c r="F69" s="12" t="e">
        <f>IF('Match Entry'!$R36="Complete",'Match Entry'!E36,"")</f>
        <v>#DIV/0!</v>
      </c>
      <c r="G69" s="12" t="e">
        <f>IF('Match Entry'!$R36="Complete",IF(ISNUMBER('Match Entry'!F36),'Match Entry'!F36&amp;"-"&amp;'Match Entry'!G36,"")&amp;IF(ISNUMBER('Match Entry'!H36),", "&amp;'Match Entry'!H36&amp;"-"&amp;'Match Entry'!I36,"")&amp;IF(ISNUMBER('Match Entry'!J36),", "&amp;'Match Entry'!J36&amp;"-"&amp;'Match Entry'!K36,"")&amp;IF(ISNUMBER('Match Entry'!L36),", "&amp;'Match Entry'!L36&amp;"-"&amp;'Match Entry'!M36,"")&amp;IF(ISNUMBER('Match Entry'!N36),", "&amp;'Match Entry'!N36&amp;"-"&amp;'Match Entry'!O36,""),"")</f>
        <v>#DIV/0!</v>
      </c>
      <c r="H69" s="12" t="e">
        <f>IF('Match Entry'!$R36="Complete",'Match Entry'!S36,"")</f>
        <v>#DIV/0!</v>
      </c>
      <c r="I69" s="12"/>
      <c r="J69" s="12"/>
      <c r="K69" s="12"/>
      <c r="L69" s="12"/>
      <c r="M69" s="12"/>
      <c r="N69" s="12"/>
      <c r="O69" s="12"/>
    </row>
    <row r="70" spans="1:15" ht="28.5">
      <c r="A70" s="12" t="e">
        <f>IF('Match Entry'!$R37="Complete",'Match Entry'!A37,"")</f>
        <v>#DIV/0!</v>
      </c>
      <c r="B70" s="12" t="e">
        <f>IF('Match Entry'!$R37="Complete",'Match Entry'!B37,"")</f>
        <v>#DIV/0!</v>
      </c>
      <c r="C70" s="12" t="e">
        <f>IF('Match Entry'!$R37="Complete",'Match Entry'!C37,"")</f>
        <v>#DIV/0!</v>
      </c>
      <c r="D70" s="12" t="e">
        <f>IF('Match Entry'!$R37="Complete",'Match Entry'!D37,"")</f>
        <v>#DIV/0!</v>
      </c>
      <c r="E70" s="12" t="e">
        <f>IF('Match Entry'!$R37="Complete",'Match Entry'!P37&amp;"-"&amp;'Match Entry'!Q37,"")</f>
        <v>#DIV/0!</v>
      </c>
      <c r="F70" s="12" t="e">
        <f>IF('Match Entry'!$R37="Complete",'Match Entry'!E37,"")</f>
        <v>#DIV/0!</v>
      </c>
      <c r="G70" s="12" t="e">
        <f>IF('Match Entry'!$R37="Complete",IF(ISNUMBER('Match Entry'!F37),'Match Entry'!F37&amp;"-"&amp;'Match Entry'!G37,"")&amp;IF(ISNUMBER('Match Entry'!H37),", "&amp;'Match Entry'!H37&amp;"-"&amp;'Match Entry'!I37,"")&amp;IF(ISNUMBER('Match Entry'!J37),", "&amp;'Match Entry'!J37&amp;"-"&amp;'Match Entry'!K37,"")&amp;IF(ISNUMBER('Match Entry'!L37),", "&amp;'Match Entry'!L37&amp;"-"&amp;'Match Entry'!M37,"")&amp;IF(ISNUMBER('Match Entry'!N37),", "&amp;'Match Entry'!N37&amp;"-"&amp;'Match Entry'!O37,""),"")</f>
        <v>#DIV/0!</v>
      </c>
      <c r="H70" s="12" t="e">
        <f>IF('Match Entry'!$R37="Complete",'Match Entry'!S37,"")</f>
        <v>#DIV/0!</v>
      </c>
      <c r="I70" s="12"/>
      <c r="J70" s="12"/>
      <c r="K70" s="12"/>
      <c r="L70" s="12"/>
      <c r="M70" s="12"/>
      <c r="N70" s="12"/>
      <c r="O70" s="12"/>
    </row>
    <row r="71" spans="1:15" ht="28.5">
      <c r="A71" s="12" t="e">
        <f>IF('Match Entry'!$R38="Complete",'Match Entry'!A38,"")</f>
        <v>#DIV/0!</v>
      </c>
      <c r="B71" s="12" t="e">
        <f>IF('Match Entry'!$R38="Complete",'Match Entry'!B38,"")</f>
        <v>#DIV/0!</v>
      </c>
      <c r="C71" s="12" t="e">
        <f>IF('Match Entry'!$R38="Complete",'Match Entry'!C38,"")</f>
        <v>#DIV/0!</v>
      </c>
      <c r="D71" s="12" t="e">
        <f>IF('Match Entry'!$R38="Complete",'Match Entry'!D38,"")</f>
        <v>#DIV/0!</v>
      </c>
      <c r="E71" s="12" t="e">
        <f>IF('Match Entry'!$R38="Complete",'Match Entry'!P38&amp;"-"&amp;'Match Entry'!Q38,"")</f>
        <v>#DIV/0!</v>
      </c>
      <c r="F71" s="12" t="e">
        <f>IF('Match Entry'!$R38="Complete",'Match Entry'!E38,"")</f>
        <v>#DIV/0!</v>
      </c>
      <c r="G71" s="12" t="e">
        <f>IF('Match Entry'!$R38="Complete",IF(ISNUMBER('Match Entry'!F38),'Match Entry'!F38&amp;"-"&amp;'Match Entry'!G38,"")&amp;IF(ISNUMBER('Match Entry'!H38),", "&amp;'Match Entry'!H38&amp;"-"&amp;'Match Entry'!I38,"")&amp;IF(ISNUMBER('Match Entry'!J38),", "&amp;'Match Entry'!J38&amp;"-"&amp;'Match Entry'!K38,"")&amp;IF(ISNUMBER('Match Entry'!L38),", "&amp;'Match Entry'!L38&amp;"-"&amp;'Match Entry'!M38,"")&amp;IF(ISNUMBER('Match Entry'!N38),", "&amp;'Match Entry'!N38&amp;"-"&amp;'Match Entry'!O38,""),"")</f>
        <v>#DIV/0!</v>
      </c>
      <c r="H71" s="12" t="e">
        <f>IF('Match Entry'!$R38="Complete",'Match Entry'!S38,"")</f>
        <v>#DIV/0!</v>
      </c>
      <c r="I71" s="12"/>
      <c r="J71" s="12"/>
      <c r="K71" s="12"/>
      <c r="L71" s="12"/>
      <c r="M71" s="12"/>
      <c r="N71" s="12"/>
      <c r="O71" s="12"/>
    </row>
    <row r="72" spans="1:15" ht="28.5">
      <c r="A72" s="12" t="e">
        <f>IF('Match Entry'!$R39="Complete",'Match Entry'!A39,"")</f>
        <v>#DIV/0!</v>
      </c>
      <c r="B72" s="12" t="e">
        <f>IF('Match Entry'!$R39="Complete",'Match Entry'!B39,"")</f>
        <v>#DIV/0!</v>
      </c>
      <c r="C72" s="12" t="e">
        <f>IF('Match Entry'!$R39="Complete",'Match Entry'!C39,"")</f>
        <v>#DIV/0!</v>
      </c>
      <c r="D72" s="12" t="e">
        <f>IF('Match Entry'!$R39="Complete",'Match Entry'!D39,"")</f>
        <v>#DIV/0!</v>
      </c>
      <c r="E72" s="12" t="e">
        <f>IF('Match Entry'!$R39="Complete",'Match Entry'!P39&amp;"-"&amp;'Match Entry'!Q39,"")</f>
        <v>#DIV/0!</v>
      </c>
      <c r="F72" s="12" t="e">
        <f>IF('Match Entry'!$R39="Complete",'Match Entry'!E39,"")</f>
        <v>#DIV/0!</v>
      </c>
      <c r="G72" s="12" t="e">
        <f>IF('Match Entry'!$R39="Complete",IF(ISNUMBER('Match Entry'!F39),'Match Entry'!F39&amp;"-"&amp;'Match Entry'!G39,"")&amp;IF(ISNUMBER('Match Entry'!H39),", "&amp;'Match Entry'!H39&amp;"-"&amp;'Match Entry'!I39,"")&amp;IF(ISNUMBER('Match Entry'!J39),", "&amp;'Match Entry'!J39&amp;"-"&amp;'Match Entry'!K39,"")&amp;IF(ISNUMBER('Match Entry'!L39),", "&amp;'Match Entry'!L39&amp;"-"&amp;'Match Entry'!M39,"")&amp;IF(ISNUMBER('Match Entry'!N39),", "&amp;'Match Entry'!N39&amp;"-"&amp;'Match Entry'!O39,""),"")</f>
        <v>#DIV/0!</v>
      </c>
      <c r="H72" s="12" t="e">
        <f>IF('Match Entry'!$R39="Complete",'Match Entry'!S39,"")</f>
        <v>#DIV/0!</v>
      </c>
      <c r="I72" s="12"/>
      <c r="J72" s="12"/>
      <c r="K72" s="12"/>
      <c r="L72" s="12"/>
      <c r="M72" s="12"/>
      <c r="N72" s="12"/>
      <c r="O72" s="12"/>
    </row>
    <row r="73" spans="1:15" ht="28.5">
      <c r="A73" s="12" t="e">
        <f>IF('Match Entry'!$R40="Complete",'Match Entry'!A40,"")</f>
        <v>#DIV/0!</v>
      </c>
      <c r="B73" s="12" t="e">
        <f>IF('Match Entry'!$R40="Complete",'Match Entry'!B40,"")</f>
        <v>#DIV/0!</v>
      </c>
      <c r="C73" s="12" t="e">
        <f>IF('Match Entry'!$R40="Complete",'Match Entry'!C40,"")</f>
        <v>#DIV/0!</v>
      </c>
      <c r="D73" s="12" t="e">
        <f>IF('Match Entry'!$R40="Complete",'Match Entry'!D40,"")</f>
        <v>#DIV/0!</v>
      </c>
      <c r="E73" s="12" t="e">
        <f>IF('Match Entry'!$R40="Complete",'Match Entry'!P40&amp;"-"&amp;'Match Entry'!Q40,"")</f>
        <v>#DIV/0!</v>
      </c>
      <c r="F73" s="12" t="e">
        <f>IF('Match Entry'!$R40="Complete",'Match Entry'!E40,"")</f>
        <v>#DIV/0!</v>
      </c>
      <c r="G73" s="12" t="e">
        <f>IF('Match Entry'!$R40="Complete",IF(ISNUMBER('Match Entry'!F40),'Match Entry'!F40&amp;"-"&amp;'Match Entry'!G40,"")&amp;IF(ISNUMBER('Match Entry'!H40),", "&amp;'Match Entry'!H40&amp;"-"&amp;'Match Entry'!I40,"")&amp;IF(ISNUMBER('Match Entry'!J40),", "&amp;'Match Entry'!J40&amp;"-"&amp;'Match Entry'!K40,"")&amp;IF(ISNUMBER('Match Entry'!L40),", "&amp;'Match Entry'!L40&amp;"-"&amp;'Match Entry'!M40,"")&amp;IF(ISNUMBER('Match Entry'!N40),", "&amp;'Match Entry'!N40&amp;"-"&amp;'Match Entry'!O40,""),"")</f>
        <v>#DIV/0!</v>
      </c>
      <c r="H73" s="12" t="e">
        <f>IF('Match Entry'!$R40="Complete",'Match Entry'!S40,"")</f>
        <v>#DIV/0!</v>
      </c>
      <c r="I73" s="12"/>
      <c r="J73" s="12"/>
      <c r="K73" s="12"/>
      <c r="L73" s="12"/>
      <c r="M73" s="12"/>
      <c r="N73" s="12"/>
      <c r="O73" s="12"/>
    </row>
    <row r="74" spans="1:15" ht="28.5">
      <c r="A74" s="12" t="e">
        <f>IF('Match Entry'!$R41="Complete",'Match Entry'!A41,"")</f>
        <v>#DIV/0!</v>
      </c>
      <c r="B74" s="12" t="e">
        <f>IF('Match Entry'!$R41="Complete",'Match Entry'!B41,"")</f>
        <v>#DIV/0!</v>
      </c>
      <c r="C74" s="12" t="e">
        <f>IF('Match Entry'!$R41="Complete",'Match Entry'!C41,"")</f>
        <v>#DIV/0!</v>
      </c>
      <c r="D74" s="12" t="e">
        <f>IF('Match Entry'!$R41="Complete",'Match Entry'!D41,"")</f>
        <v>#DIV/0!</v>
      </c>
      <c r="E74" s="12" t="e">
        <f>IF('Match Entry'!$R41="Complete",'Match Entry'!P41&amp;"-"&amp;'Match Entry'!Q41,"")</f>
        <v>#DIV/0!</v>
      </c>
      <c r="F74" s="12" t="e">
        <f>IF('Match Entry'!$R41="Complete",'Match Entry'!E41,"")</f>
        <v>#DIV/0!</v>
      </c>
      <c r="G74" s="12" t="e">
        <f>IF('Match Entry'!$R41="Complete",IF(ISNUMBER('Match Entry'!F41),'Match Entry'!F41&amp;"-"&amp;'Match Entry'!G41,"")&amp;IF(ISNUMBER('Match Entry'!H41),", "&amp;'Match Entry'!H41&amp;"-"&amp;'Match Entry'!I41,"")&amp;IF(ISNUMBER('Match Entry'!J41),", "&amp;'Match Entry'!J41&amp;"-"&amp;'Match Entry'!K41,"")&amp;IF(ISNUMBER('Match Entry'!L41),", "&amp;'Match Entry'!L41&amp;"-"&amp;'Match Entry'!M41,"")&amp;IF(ISNUMBER('Match Entry'!N41),", "&amp;'Match Entry'!N41&amp;"-"&amp;'Match Entry'!O41,""),"")</f>
        <v>#DIV/0!</v>
      </c>
      <c r="H74" s="12" t="e">
        <f>IF('Match Entry'!$R41="Complete",'Match Entry'!S41,"")</f>
        <v>#DIV/0!</v>
      </c>
      <c r="I74" s="12"/>
      <c r="J74" s="12"/>
      <c r="K74" s="12"/>
      <c r="L74" s="12"/>
      <c r="M74" s="12"/>
      <c r="N74" s="12"/>
      <c r="O74" s="12"/>
    </row>
    <row r="75" spans="1:15" ht="28.5">
      <c r="A75" s="12" t="e">
        <f>IF('Match Entry'!$R42="Complete",'Match Entry'!A42,"")</f>
        <v>#DIV/0!</v>
      </c>
      <c r="B75" s="12" t="e">
        <f>IF('Match Entry'!$R42="Complete",'Match Entry'!B42,"")</f>
        <v>#DIV/0!</v>
      </c>
      <c r="C75" s="12" t="e">
        <f>IF('Match Entry'!$R42="Complete",'Match Entry'!C42,"")</f>
        <v>#DIV/0!</v>
      </c>
      <c r="D75" s="12" t="e">
        <f>IF('Match Entry'!$R42="Complete",'Match Entry'!D42,"")</f>
        <v>#DIV/0!</v>
      </c>
      <c r="E75" s="12" t="e">
        <f>IF('Match Entry'!$R42="Complete",'Match Entry'!P42&amp;"-"&amp;'Match Entry'!Q42,"")</f>
        <v>#DIV/0!</v>
      </c>
      <c r="F75" s="12" t="e">
        <f>IF('Match Entry'!$R42="Complete",'Match Entry'!E42,"")</f>
        <v>#DIV/0!</v>
      </c>
      <c r="G75" s="12" t="e">
        <f>IF('Match Entry'!$R42="Complete",IF(ISNUMBER('Match Entry'!F42),'Match Entry'!F42&amp;"-"&amp;'Match Entry'!G42,"")&amp;IF(ISNUMBER('Match Entry'!H42),", "&amp;'Match Entry'!H42&amp;"-"&amp;'Match Entry'!I42,"")&amp;IF(ISNUMBER('Match Entry'!J42),", "&amp;'Match Entry'!J42&amp;"-"&amp;'Match Entry'!K42,"")&amp;IF(ISNUMBER('Match Entry'!L42),", "&amp;'Match Entry'!L42&amp;"-"&amp;'Match Entry'!M42,"")&amp;IF(ISNUMBER('Match Entry'!N42),", "&amp;'Match Entry'!N42&amp;"-"&amp;'Match Entry'!O42,""),"")</f>
        <v>#DIV/0!</v>
      </c>
      <c r="H75" s="12" t="e">
        <f>IF('Match Entry'!$R42="Complete",'Match Entry'!S42,"")</f>
        <v>#DIV/0!</v>
      </c>
      <c r="I75" s="12"/>
      <c r="J75" s="12"/>
      <c r="K75" s="12"/>
      <c r="L75" s="12"/>
      <c r="M75" s="12"/>
      <c r="N75" s="12"/>
      <c r="O75" s="12"/>
    </row>
    <row r="76" spans="1:15" ht="28.5">
      <c r="A76" s="12" t="e">
        <f>IF('Match Entry'!$R43="Complete",'Match Entry'!A43,"")</f>
        <v>#DIV/0!</v>
      </c>
      <c r="B76" s="12" t="e">
        <f>IF('Match Entry'!$R43="Complete",'Match Entry'!B43,"")</f>
        <v>#DIV/0!</v>
      </c>
      <c r="C76" s="12" t="e">
        <f>IF('Match Entry'!$R43="Complete",'Match Entry'!C43,"")</f>
        <v>#DIV/0!</v>
      </c>
      <c r="D76" s="12" t="e">
        <f>IF('Match Entry'!$R43="Complete",'Match Entry'!D43,"")</f>
        <v>#DIV/0!</v>
      </c>
      <c r="E76" s="12" t="e">
        <f>IF('Match Entry'!$R43="Complete",'Match Entry'!P43&amp;"-"&amp;'Match Entry'!Q43,"")</f>
        <v>#DIV/0!</v>
      </c>
      <c r="F76" s="12" t="e">
        <f>IF('Match Entry'!$R43="Complete",'Match Entry'!E43,"")</f>
        <v>#DIV/0!</v>
      </c>
      <c r="G76" s="12" t="e">
        <f>IF('Match Entry'!$R43="Complete",IF(ISNUMBER('Match Entry'!F43),'Match Entry'!F43&amp;"-"&amp;'Match Entry'!G43,"")&amp;IF(ISNUMBER('Match Entry'!H43),", "&amp;'Match Entry'!H43&amp;"-"&amp;'Match Entry'!I43,"")&amp;IF(ISNUMBER('Match Entry'!J43),", "&amp;'Match Entry'!J43&amp;"-"&amp;'Match Entry'!K43,"")&amp;IF(ISNUMBER('Match Entry'!L43),", "&amp;'Match Entry'!L43&amp;"-"&amp;'Match Entry'!M43,"")&amp;IF(ISNUMBER('Match Entry'!N43),", "&amp;'Match Entry'!N43&amp;"-"&amp;'Match Entry'!O43,""),"")</f>
        <v>#DIV/0!</v>
      </c>
      <c r="H76" s="12" t="e">
        <f>IF('Match Entry'!$R43="Complete",'Match Entry'!S43,"")</f>
        <v>#DIV/0!</v>
      </c>
      <c r="I76" s="12"/>
      <c r="J76" s="12"/>
      <c r="K76" s="12"/>
      <c r="L76" s="12"/>
      <c r="M76" s="12"/>
      <c r="N76" s="12"/>
      <c r="O76" s="12"/>
    </row>
    <row r="77" spans="1:15" ht="28.5">
      <c r="A77" s="12" t="e">
        <f>IF('Match Entry'!$R44="Complete",'Match Entry'!A44,"")</f>
        <v>#DIV/0!</v>
      </c>
      <c r="B77" s="12" t="e">
        <f>IF('Match Entry'!$R44="Complete",'Match Entry'!B44,"")</f>
        <v>#DIV/0!</v>
      </c>
      <c r="C77" s="12" t="e">
        <f>IF('Match Entry'!$R44="Complete",'Match Entry'!C44,"")</f>
        <v>#DIV/0!</v>
      </c>
      <c r="D77" s="12" t="e">
        <f>IF('Match Entry'!$R44="Complete",'Match Entry'!D44,"")</f>
        <v>#DIV/0!</v>
      </c>
      <c r="E77" s="12" t="e">
        <f>IF('Match Entry'!$R44="Complete",'Match Entry'!P44&amp;"-"&amp;'Match Entry'!Q44,"")</f>
        <v>#DIV/0!</v>
      </c>
      <c r="F77" s="12" t="e">
        <f>IF('Match Entry'!$R44="Complete",'Match Entry'!E44,"")</f>
        <v>#DIV/0!</v>
      </c>
      <c r="G77" s="12" t="e">
        <f>IF('Match Entry'!$R44="Complete",IF(ISNUMBER('Match Entry'!F44),'Match Entry'!F44&amp;"-"&amp;'Match Entry'!G44,"")&amp;IF(ISNUMBER('Match Entry'!H44),", "&amp;'Match Entry'!H44&amp;"-"&amp;'Match Entry'!I44,"")&amp;IF(ISNUMBER('Match Entry'!J44),", "&amp;'Match Entry'!J44&amp;"-"&amp;'Match Entry'!K44,"")&amp;IF(ISNUMBER('Match Entry'!L44),", "&amp;'Match Entry'!L44&amp;"-"&amp;'Match Entry'!M44,"")&amp;IF(ISNUMBER('Match Entry'!N44),", "&amp;'Match Entry'!N44&amp;"-"&amp;'Match Entry'!O44,""),"")</f>
        <v>#DIV/0!</v>
      </c>
      <c r="H77" s="12" t="e">
        <f>IF('Match Entry'!$R44="Complete",'Match Entry'!S44,"")</f>
        <v>#DIV/0!</v>
      </c>
      <c r="I77" s="12"/>
      <c r="J77" s="12"/>
      <c r="K77" s="12"/>
      <c r="L77" s="12"/>
      <c r="M77" s="12"/>
      <c r="N77" s="12"/>
      <c r="O77" s="12"/>
    </row>
    <row r="78" spans="1:15" ht="28.5">
      <c r="A78" s="12" t="e">
        <f>IF('Match Entry'!$R45="Complete",'Match Entry'!A45,"")</f>
        <v>#DIV/0!</v>
      </c>
      <c r="B78" s="12" t="e">
        <f>IF('Match Entry'!$R45="Complete",'Match Entry'!B45,"")</f>
        <v>#DIV/0!</v>
      </c>
      <c r="C78" s="12" t="e">
        <f>IF('Match Entry'!$R45="Complete",'Match Entry'!C45,"")</f>
        <v>#DIV/0!</v>
      </c>
      <c r="D78" s="12" t="e">
        <f>IF('Match Entry'!$R45="Complete",'Match Entry'!D45,"")</f>
        <v>#DIV/0!</v>
      </c>
      <c r="E78" s="12" t="e">
        <f>IF('Match Entry'!$R45="Complete",'Match Entry'!P45&amp;"-"&amp;'Match Entry'!Q45,"")</f>
        <v>#DIV/0!</v>
      </c>
      <c r="F78" s="12" t="e">
        <f>IF('Match Entry'!$R45="Complete",'Match Entry'!E45,"")</f>
        <v>#DIV/0!</v>
      </c>
      <c r="G78" s="12" t="e">
        <f>IF('Match Entry'!$R45="Complete",IF(ISNUMBER('Match Entry'!F45),'Match Entry'!F45&amp;"-"&amp;'Match Entry'!G45,"")&amp;IF(ISNUMBER('Match Entry'!H45),", "&amp;'Match Entry'!H45&amp;"-"&amp;'Match Entry'!I45,"")&amp;IF(ISNUMBER('Match Entry'!J45),", "&amp;'Match Entry'!J45&amp;"-"&amp;'Match Entry'!K45,"")&amp;IF(ISNUMBER('Match Entry'!L45),", "&amp;'Match Entry'!L45&amp;"-"&amp;'Match Entry'!M45,"")&amp;IF(ISNUMBER('Match Entry'!N45),", "&amp;'Match Entry'!N45&amp;"-"&amp;'Match Entry'!O45,""),"")</f>
        <v>#DIV/0!</v>
      </c>
      <c r="H78" s="12" t="e">
        <f>IF('Match Entry'!$R45="Complete",'Match Entry'!S45,"")</f>
        <v>#DIV/0!</v>
      </c>
      <c r="I78" s="12"/>
      <c r="J78" s="12"/>
      <c r="K78" s="12"/>
      <c r="L78" s="12"/>
      <c r="M78" s="12"/>
      <c r="N78" s="12"/>
      <c r="O78" s="12"/>
    </row>
    <row r="79" spans="1:15" ht="28.5">
      <c r="A79" s="12" t="e">
        <f>IF('Match Entry'!$R46="Complete",'Match Entry'!A46,"")</f>
        <v>#DIV/0!</v>
      </c>
      <c r="B79" s="12" t="e">
        <f>IF('Match Entry'!$R46="Complete",'Match Entry'!B46,"")</f>
        <v>#DIV/0!</v>
      </c>
      <c r="C79" s="12" t="e">
        <f>IF('Match Entry'!$R46="Complete",'Match Entry'!C46,"")</f>
        <v>#DIV/0!</v>
      </c>
      <c r="D79" s="12" t="e">
        <f>IF('Match Entry'!$R46="Complete",'Match Entry'!D46,"")</f>
        <v>#DIV/0!</v>
      </c>
      <c r="E79" s="12" t="e">
        <f>IF('Match Entry'!$R46="Complete",'Match Entry'!P46&amp;"-"&amp;'Match Entry'!Q46,"")</f>
        <v>#DIV/0!</v>
      </c>
      <c r="F79" s="12" t="e">
        <f>IF('Match Entry'!$R46="Complete",'Match Entry'!E46,"")</f>
        <v>#DIV/0!</v>
      </c>
      <c r="G79" s="12" t="e">
        <f>IF('Match Entry'!$R46="Complete",IF(ISNUMBER('Match Entry'!F46),'Match Entry'!F46&amp;"-"&amp;'Match Entry'!G46,"")&amp;IF(ISNUMBER('Match Entry'!H46),", "&amp;'Match Entry'!H46&amp;"-"&amp;'Match Entry'!I46,"")&amp;IF(ISNUMBER('Match Entry'!J46),", "&amp;'Match Entry'!J46&amp;"-"&amp;'Match Entry'!K46,"")&amp;IF(ISNUMBER('Match Entry'!L46),", "&amp;'Match Entry'!L46&amp;"-"&amp;'Match Entry'!M46,"")&amp;IF(ISNUMBER('Match Entry'!N46),", "&amp;'Match Entry'!N46&amp;"-"&amp;'Match Entry'!O46,""),"")</f>
        <v>#DIV/0!</v>
      </c>
      <c r="H79" s="12" t="e">
        <f>IF('Match Entry'!$R46="Complete",'Match Entry'!S46,"")</f>
        <v>#DIV/0!</v>
      </c>
      <c r="I79" s="12"/>
      <c r="J79" s="12"/>
      <c r="K79" s="12"/>
      <c r="L79" s="12"/>
      <c r="M79" s="12"/>
      <c r="N79" s="12"/>
      <c r="O79" s="12"/>
    </row>
    <row r="80" spans="1:15" ht="28.5">
      <c r="A80" s="12" t="e">
        <f>IF('Match Entry'!$R47="Complete",'Match Entry'!A47,"")</f>
        <v>#DIV/0!</v>
      </c>
      <c r="B80" s="12" t="e">
        <f>IF('Match Entry'!$R47="Complete",'Match Entry'!B47,"")</f>
        <v>#DIV/0!</v>
      </c>
      <c r="C80" s="12" t="e">
        <f>IF('Match Entry'!$R47="Complete",'Match Entry'!C47,"")</f>
        <v>#DIV/0!</v>
      </c>
      <c r="D80" s="12" t="e">
        <f>IF('Match Entry'!$R47="Complete",'Match Entry'!D47,"")</f>
        <v>#DIV/0!</v>
      </c>
      <c r="E80" s="12" t="e">
        <f>IF('Match Entry'!$R47="Complete",'Match Entry'!P47&amp;"-"&amp;'Match Entry'!Q47,"")</f>
        <v>#DIV/0!</v>
      </c>
      <c r="F80" s="12" t="e">
        <f>IF('Match Entry'!$R47="Complete",'Match Entry'!E47,"")</f>
        <v>#DIV/0!</v>
      </c>
      <c r="G80" s="12" t="e">
        <f>IF('Match Entry'!$R47="Complete",IF(ISNUMBER('Match Entry'!F47),'Match Entry'!F47&amp;"-"&amp;'Match Entry'!G47,"")&amp;IF(ISNUMBER('Match Entry'!H47),", "&amp;'Match Entry'!H47&amp;"-"&amp;'Match Entry'!I47,"")&amp;IF(ISNUMBER('Match Entry'!J47),", "&amp;'Match Entry'!J47&amp;"-"&amp;'Match Entry'!K47,"")&amp;IF(ISNUMBER('Match Entry'!L47),", "&amp;'Match Entry'!L47&amp;"-"&amp;'Match Entry'!M47,"")&amp;IF(ISNUMBER('Match Entry'!N47),", "&amp;'Match Entry'!N47&amp;"-"&amp;'Match Entry'!O47,""),"")</f>
        <v>#DIV/0!</v>
      </c>
      <c r="H80" s="12" t="e">
        <f>IF('Match Entry'!$R47="Complete",'Match Entry'!S47,"")</f>
        <v>#DIV/0!</v>
      </c>
      <c r="I80" s="12"/>
      <c r="J80" s="12"/>
      <c r="K80" s="12"/>
      <c r="L80" s="12"/>
      <c r="M80" s="12"/>
      <c r="N80" s="12"/>
      <c r="O80" s="12"/>
    </row>
    <row r="81" spans="1:15" ht="28.5">
      <c r="A81" s="12" t="e">
        <f>IF('Match Entry'!$R48="Complete",'Match Entry'!A48,"")</f>
        <v>#DIV/0!</v>
      </c>
      <c r="B81" s="12" t="e">
        <f>IF('Match Entry'!$R48="Complete",'Match Entry'!B48,"")</f>
        <v>#DIV/0!</v>
      </c>
      <c r="C81" s="12" t="e">
        <f>IF('Match Entry'!$R48="Complete",'Match Entry'!C48,"")</f>
        <v>#DIV/0!</v>
      </c>
      <c r="D81" s="12" t="e">
        <f>IF('Match Entry'!$R48="Complete",'Match Entry'!D48,"")</f>
        <v>#DIV/0!</v>
      </c>
      <c r="E81" s="12" t="e">
        <f>IF('Match Entry'!$R48="Complete",'Match Entry'!P48&amp;"-"&amp;'Match Entry'!Q48,"")</f>
        <v>#DIV/0!</v>
      </c>
      <c r="F81" s="12" t="e">
        <f>IF('Match Entry'!$R48="Complete",'Match Entry'!E48,"")</f>
        <v>#DIV/0!</v>
      </c>
      <c r="G81" s="12" t="e">
        <f>IF('Match Entry'!$R48="Complete",IF(ISNUMBER('Match Entry'!F48),'Match Entry'!F48&amp;"-"&amp;'Match Entry'!G48,"")&amp;IF(ISNUMBER('Match Entry'!H48),", "&amp;'Match Entry'!H48&amp;"-"&amp;'Match Entry'!I48,"")&amp;IF(ISNUMBER('Match Entry'!J48),", "&amp;'Match Entry'!J48&amp;"-"&amp;'Match Entry'!K48,"")&amp;IF(ISNUMBER('Match Entry'!L48),", "&amp;'Match Entry'!L48&amp;"-"&amp;'Match Entry'!M48,"")&amp;IF(ISNUMBER('Match Entry'!N48),", "&amp;'Match Entry'!N48&amp;"-"&amp;'Match Entry'!O48,""),"")</f>
        <v>#DIV/0!</v>
      </c>
      <c r="H81" s="12" t="e">
        <f>IF('Match Entry'!$R48="Complete",'Match Entry'!S48,"")</f>
        <v>#DIV/0!</v>
      </c>
      <c r="I81" s="12"/>
      <c r="J81" s="12"/>
      <c r="K81" s="12"/>
      <c r="L81" s="12"/>
      <c r="M81" s="12"/>
      <c r="N81" s="12"/>
      <c r="O81" s="12"/>
    </row>
    <row r="82" spans="1:15" ht="28.5">
      <c r="A82" s="12" t="e">
        <f>IF('Match Entry'!$R49="Complete",'Match Entry'!A49,"")</f>
        <v>#DIV/0!</v>
      </c>
      <c r="B82" s="12" t="e">
        <f>IF('Match Entry'!$R49="Complete",'Match Entry'!B49,"")</f>
        <v>#DIV/0!</v>
      </c>
      <c r="C82" s="12" t="e">
        <f>IF('Match Entry'!$R49="Complete",'Match Entry'!C49,"")</f>
        <v>#DIV/0!</v>
      </c>
      <c r="D82" s="12" t="e">
        <f>IF('Match Entry'!$R49="Complete",'Match Entry'!D49,"")</f>
        <v>#DIV/0!</v>
      </c>
      <c r="E82" s="12" t="e">
        <f>IF('Match Entry'!$R49="Complete",'Match Entry'!P49&amp;"-"&amp;'Match Entry'!Q49,"")</f>
        <v>#DIV/0!</v>
      </c>
      <c r="F82" s="12" t="e">
        <f>IF('Match Entry'!$R49="Complete",'Match Entry'!E49,"")</f>
        <v>#DIV/0!</v>
      </c>
      <c r="G82" s="12" t="e">
        <f>IF('Match Entry'!$R49="Complete",IF(ISNUMBER('Match Entry'!F49),'Match Entry'!F49&amp;"-"&amp;'Match Entry'!G49,"")&amp;IF(ISNUMBER('Match Entry'!H49),", "&amp;'Match Entry'!H49&amp;"-"&amp;'Match Entry'!I49,"")&amp;IF(ISNUMBER('Match Entry'!J49),", "&amp;'Match Entry'!J49&amp;"-"&amp;'Match Entry'!K49,"")&amp;IF(ISNUMBER('Match Entry'!L49),", "&amp;'Match Entry'!L49&amp;"-"&amp;'Match Entry'!M49,"")&amp;IF(ISNUMBER('Match Entry'!N49),", "&amp;'Match Entry'!N49&amp;"-"&amp;'Match Entry'!O49,""),"")</f>
        <v>#DIV/0!</v>
      </c>
      <c r="H82" s="12" t="e">
        <f>IF('Match Entry'!$R49="Complete",'Match Entry'!S49,"")</f>
        <v>#DIV/0!</v>
      </c>
      <c r="I82" s="12"/>
      <c r="J82" s="12"/>
      <c r="K82" s="12"/>
      <c r="L82" s="12"/>
      <c r="M82" s="12"/>
      <c r="N82" s="12"/>
      <c r="O82" s="12"/>
    </row>
    <row r="83" spans="1:15" ht="28.5">
      <c r="A83" s="12" t="e">
        <f>IF('Match Entry'!$R50="Complete",'Match Entry'!A50,"")</f>
        <v>#DIV/0!</v>
      </c>
      <c r="B83" s="12" t="e">
        <f>IF('Match Entry'!$R50="Complete",'Match Entry'!B50,"")</f>
        <v>#DIV/0!</v>
      </c>
      <c r="C83" s="12" t="e">
        <f>IF('Match Entry'!$R50="Complete",'Match Entry'!C50,"")</f>
        <v>#DIV/0!</v>
      </c>
      <c r="D83" s="12" t="e">
        <f>IF('Match Entry'!$R50="Complete",'Match Entry'!D50,"")</f>
        <v>#DIV/0!</v>
      </c>
      <c r="E83" s="12" t="e">
        <f>IF('Match Entry'!$R50="Complete",'Match Entry'!P50&amp;"-"&amp;'Match Entry'!Q50,"")</f>
        <v>#DIV/0!</v>
      </c>
      <c r="F83" s="12" t="e">
        <f>IF('Match Entry'!$R50="Complete",'Match Entry'!E50,"")</f>
        <v>#DIV/0!</v>
      </c>
      <c r="G83" s="12" t="e">
        <f>IF('Match Entry'!$R50="Complete",IF(ISNUMBER('Match Entry'!F50),'Match Entry'!F50&amp;"-"&amp;'Match Entry'!G50,"")&amp;IF(ISNUMBER('Match Entry'!H50),", "&amp;'Match Entry'!H50&amp;"-"&amp;'Match Entry'!I50,"")&amp;IF(ISNUMBER('Match Entry'!J50),", "&amp;'Match Entry'!J50&amp;"-"&amp;'Match Entry'!K50,"")&amp;IF(ISNUMBER('Match Entry'!L50),", "&amp;'Match Entry'!L50&amp;"-"&amp;'Match Entry'!M50,"")&amp;IF(ISNUMBER('Match Entry'!N50),", "&amp;'Match Entry'!N50&amp;"-"&amp;'Match Entry'!O50,""),"")</f>
        <v>#DIV/0!</v>
      </c>
      <c r="H83" s="12" t="e">
        <f>IF('Match Entry'!$R50="Complete",'Match Entry'!S50,"")</f>
        <v>#DIV/0!</v>
      </c>
      <c r="I83" s="12"/>
      <c r="J83" s="12"/>
      <c r="K83" s="12"/>
      <c r="L83" s="12"/>
      <c r="M83" s="12"/>
      <c r="N83" s="12"/>
      <c r="O83" s="12"/>
    </row>
    <row r="84" spans="1:15" ht="28.5">
      <c r="A84" s="12" t="e">
        <f>IF('Match Entry'!$R51="Complete",'Match Entry'!A51,"")</f>
        <v>#DIV/0!</v>
      </c>
      <c r="B84" s="12" t="e">
        <f>IF('Match Entry'!$R51="Complete",'Match Entry'!B51,"")</f>
        <v>#DIV/0!</v>
      </c>
      <c r="C84" s="12" t="e">
        <f>IF('Match Entry'!$R51="Complete",'Match Entry'!C51,"")</f>
        <v>#DIV/0!</v>
      </c>
      <c r="D84" s="12" t="e">
        <f>IF('Match Entry'!$R51="Complete",'Match Entry'!D51,"")</f>
        <v>#DIV/0!</v>
      </c>
      <c r="E84" s="12" t="e">
        <f>IF('Match Entry'!$R51="Complete",'Match Entry'!P51&amp;"-"&amp;'Match Entry'!Q51,"")</f>
        <v>#DIV/0!</v>
      </c>
      <c r="F84" s="12" t="e">
        <f>IF('Match Entry'!$R51="Complete",'Match Entry'!E51,"")</f>
        <v>#DIV/0!</v>
      </c>
      <c r="G84" s="12" t="e">
        <f>IF('Match Entry'!$R51="Complete",IF(ISNUMBER('Match Entry'!F51),'Match Entry'!F51&amp;"-"&amp;'Match Entry'!G51,"")&amp;IF(ISNUMBER('Match Entry'!H51),", "&amp;'Match Entry'!H51&amp;"-"&amp;'Match Entry'!I51,"")&amp;IF(ISNUMBER('Match Entry'!J51),", "&amp;'Match Entry'!J51&amp;"-"&amp;'Match Entry'!K51,"")&amp;IF(ISNUMBER('Match Entry'!L51),", "&amp;'Match Entry'!L51&amp;"-"&amp;'Match Entry'!M51,"")&amp;IF(ISNUMBER('Match Entry'!N51),", "&amp;'Match Entry'!N51&amp;"-"&amp;'Match Entry'!O51,""),"")</f>
        <v>#DIV/0!</v>
      </c>
      <c r="H84" s="12" t="e">
        <f>IF('Match Entry'!$R51="Complete",'Match Entry'!S51,"")</f>
        <v>#DIV/0!</v>
      </c>
      <c r="I84" s="12"/>
      <c r="J84" s="12"/>
      <c r="K84" s="12"/>
      <c r="L84" s="12"/>
      <c r="M84" s="12"/>
      <c r="N84" s="12"/>
      <c r="O84" s="12"/>
    </row>
    <row r="85" spans="1:15" ht="28.5">
      <c r="A85" s="12" t="e">
        <f>IF('Match Entry'!$R52="Complete",'Match Entry'!A52,"")</f>
        <v>#DIV/0!</v>
      </c>
      <c r="B85" s="12" t="e">
        <f>IF('Match Entry'!$R52="Complete",'Match Entry'!B52,"")</f>
        <v>#DIV/0!</v>
      </c>
      <c r="C85" s="12" t="e">
        <f>IF('Match Entry'!$R52="Complete",'Match Entry'!C52,"")</f>
        <v>#DIV/0!</v>
      </c>
      <c r="D85" s="12" t="e">
        <f>IF('Match Entry'!$R52="Complete",'Match Entry'!D52,"")</f>
        <v>#DIV/0!</v>
      </c>
      <c r="E85" s="12" t="e">
        <f>IF('Match Entry'!$R52="Complete",'Match Entry'!P52&amp;"-"&amp;'Match Entry'!Q52,"")</f>
        <v>#DIV/0!</v>
      </c>
      <c r="F85" s="12" t="e">
        <f>IF('Match Entry'!$R52="Complete",'Match Entry'!E52,"")</f>
        <v>#DIV/0!</v>
      </c>
      <c r="G85" s="12" t="e">
        <f>IF('Match Entry'!$R52="Complete",IF(ISNUMBER('Match Entry'!F52),'Match Entry'!F52&amp;"-"&amp;'Match Entry'!G52,"")&amp;IF(ISNUMBER('Match Entry'!H52),", "&amp;'Match Entry'!H52&amp;"-"&amp;'Match Entry'!I52,"")&amp;IF(ISNUMBER('Match Entry'!J52),", "&amp;'Match Entry'!J52&amp;"-"&amp;'Match Entry'!K52,"")&amp;IF(ISNUMBER('Match Entry'!L52),", "&amp;'Match Entry'!L52&amp;"-"&amp;'Match Entry'!M52,"")&amp;IF(ISNUMBER('Match Entry'!N52),", "&amp;'Match Entry'!N52&amp;"-"&amp;'Match Entry'!O52,""),"")</f>
        <v>#DIV/0!</v>
      </c>
      <c r="H85" s="12" t="e">
        <f>IF('Match Entry'!$R52="Complete",'Match Entry'!S52,"")</f>
        <v>#DIV/0!</v>
      </c>
      <c r="I85" s="12"/>
      <c r="J85" s="12"/>
      <c r="K85" s="12"/>
      <c r="L85" s="12"/>
      <c r="M85" s="12"/>
      <c r="N85" s="12"/>
      <c r="O85" s="12"/>
    </row>
    <row r="86" spans="1:15" ht="28.5">
      <c r="A86" s="12" t="e">
        <f>IF('Match Entry'!$R53="Complete",'Match Entry'!A53,"")</f>
        <v>#DIV/0!</v>
      </c>
      <c r="B86" s="12" t="e">
        <f>IF('Match Entry'!$R53="Complete",'Match Entry'!B53,"")</f>
        <v>#DIV/0!</v>
      </c>
      <c r="C86" s="12" t="e">
        <f>IF('Match Entry'!$R53="Complete",'Match Entry'!C53,"")</f>
        <v>#DIV/0!</v>
      </c>
      <c r="D86" s="12" t="e">
        <f>IF('Match Entry'!$R53="Complete",'Match Entry'!D53,"")</f>
        <v>#DIV/0!</v>
      </c>
      <c r="E86" s="12" t="e">
        <f>IF('Match Entry'!$R53="Complete",'Match Entry'!P53&amp;"-"&amp;'Match Entry'!Q53,"")</f>
        <v>#DIV/0!</v>
      </c>
      <c r="F86" s="12" t="e">
        <f>IF('Match Entry'!$R53="Complete",'Match Entry'!E53,"")</f>
        <v>#DIV/0!</v>
      </c>
      <c r="G86" s="12" t="e">
        <f>IF('Match Entry'!$R53="Complete",IF(ISNUMBER('Match Entry'!F53),'Match Entry'!F53&amp;"-"&amp;'Match Entry'!G53,"")&amp;IF(ISNUMBER('Match Entry'!H53),", "&amp;'Match Entry'!H53&amp;"-"&amp;'Match Entry'!I53,"")&amp;IF(ISNUMBER('Match Entry'!J53),", "&amp;'Match Entry'!J53&amp;"-"&amp;'Match Entry'!K53,"")&amp;IF(ISNUMBER('Match Entry'!L53),", "&amp;'Match Entry'!L53&amp;"-"&amp;'Match Entry'!M53,"")&amp;IF(ISNUMBER('Match Entry'!N53),", "&amp;'Match Entry'!N53&amp;"-"&amp;'Match Entry'!O53,""),"")</f>
        <v>#DIV/0!</v>
      </c>
      <c r="H86" s="12" t="e">
        <f>IF('Match Entry'!$R53="Complete",'Match Entry'!S53,"")</f>
        <v>#DIV/0!</v>
      </c>
      <c r="I86" s="12"/>
      <c r="J86" s="12"/>
      <c r="K86" s="12"/>
      <c r="L86" s="12"/>
      <c r="M86" s="12"/>
      <c r="N86" s="12"/>
      <c r="O86" s="12"/>
    </row>
    <row r="87" spans="1:15" ht="28.5">
      <c r="A87" s="12" t="e">
        <f>IF('Match Entry'!$R54="Complete",'Match Entry'!A54,"")</f>
        <v>#DIV/0!</v>
      </c>
      <c r="B87" s="12" t="e">
        <f>IF('Match Entry'!$R54="Complete",'Match Entry'!B54,"")</f>
        <v>#DIV/0!</v>
      </c>
      <c r="C87" s="12" t="e">
        <f>IF('Match Entry'!$R54="Complete",'Match Entry'!C54,"")</f>
        <v>#DIV/0!</v>
      </c>
      <c r="D87" s="12" t="e">
        <f>IF('Match Entry'!$R54="Complete",'Match Entry'!D54,"")</f>
        <v>#DIV/0!</v>
      </c>
      <c r="E87" s="12" t="e">
        <f>IF('Match Entry'!$R54="Complete",'Match Entry'!P54&amp;"-"&amp;'Match Entry'!Q54,"")</f>
        <v>#DIV/0!</v>
      </c>
      <c r="F87" s="12" t="e">
        <f>IF('Match Entry'!$R54="Complete",'Match Entry'!E54,"")</f>
        <v>#DIV/0!</v>
      </c>
      <c r="G87" s="12" t="e">
        <f>IF('Match Entry'!$R54="Complete",IF(ISNUMBER('Match Entry'!F54),'Match Entry'!F54&amp;"-"&amp;'Match Entry'!G54,"")&amp;IF(ISNUMBER('Match Entry'!H54),", "&amp;'Match Entry'!H54&amp;"-"&amp;'Match Entry'!I54,"")&amp;IF(ISNUMBER('Match Entry'!J54),", "&amp;'Match Entry'!J54&amp;"-"&amp;'Match Entry'!K54,"")&amp;IF(ISNUMBER('Match Entry'!L54),", "&amp;'Match Entry'!L54&amp;"-"&amp;'Match Entry'!M54,"")&amp;IF(ISNUMBER('Match Entry'!N54),", "&amp;'Match Entry'!N54&amp;"-"&amp;'Match Entry'!O54,""),"")</f>
        <v>#DIV/0!</v>
      </c>
      <c r="H87" s="12" t="e">
        <f>IF('Match Entry'!$R54="Complete",'Match Entry'!S54,"")</f>
        <v>#DIV/0!</v>
      </c>
      <c r="I87" s="12"/>
      <c r="J87" s="12"/>
      <c r="K87" s="12"/>
      <c r="L87" s="12"/>
      <c r="M87" s="12"/>
      <c r="N87" s="12"/>
      <c r="O87" s="12"/>
    </row>
    <row r="88" spans="1:15" ht="28.5">
      <c r="A88" s="12" t="e">
        <f>IF('Match Entry'!$R55="Complete",'Match Entry'!A55,"")</f>
        <v>#DIV/0!</v>
      </c>
      <c r="B88" s="12" t="e">
        <f>IF('Match Entry'!$R55="Complete",'Match Entry'!B55,"")</f>
        <v>#DIV/0!</v>
      </c>
      <c r="C88" s="12" t="e">
        <f>IF('Match Entry'!$R55="Complete",'Match Entry'!C55,"")</f>
        <v>#DIV/0!</v>
      </c>
      <c r="D88" s="12" t="e">
        <f>IF('Match Entry'!$R55="Complete",'Match Entry'!D55,"")</f>
        <v>#DIV/0!</v>
      </c>
      <c r="E88" s="12" t="e">
        <f>IF('Match Entry'!$R55="Complete",'Match Entry'!P55&amp;"-"&amp;'Match Entry'!Q55,"")</f>
        <v>#DIV/0!</v>
      </c>
      <c r="F88" s="12" t="e">
        <f>IF('Match Entry'!$R55="Complete",'Match Entry'!E55,"")</f>
        <v>#DIV/0!</v>
      </c>
      <c r="G88" s="12" t="e">
        <f>IF('Match Entry'!$R55="Complete",IF(ISNUMBER('Match Entry'!F55),'Match Entry'!F55&amp;"-"&amp;'Match Entry'!G55,"")&amp;IF(ISNUMBER('Match Entry'!H55),", "&amp;'Match Entry'!H55&amp;"-"&amp;'Match Entry'!I55,"")&amp;IF(ISNUMBER('Match Entry'!J55),", "&amp;'Match Entry'!J55&amp;"-"&amp;'Match Entry'!K55,"")&amp;IF(ISNUMBER('Match Entry'!L55),", "&amp;'Match Entry'!L55&amp;"-"&amp;'Match Entry'!M55,"")&amp;IF(ISNUMBER('Match Entry'!N55),", "&amp;'Match Entry'!N55&amp;"-"&amp;'Match Entry'!O55,""),"")</f>
        <v>#DIV/0!</v>
      </c>
      <c r="H88" s="12" t="e">
        <f>IF('Match Entry'!$R55="Complete",'Match Entry'!S55,"")</f>
        <v>#DIV/0!</v>
      </c>
      <c r="I88" s="12"/>
      <c r="J88" s="12"/>
      <c r="K88" s="12"/>
      <c r="L88" s="12"/>
      <c r="M88" s="12"/>
      <c r="N88" s="12"/>
      <c r="O88" s="12"/>
    </row>
    <row r="89" spans="1:15" ht="28.5">
      <c r="A89" s="12" t="e">
        <f>IF('Match Entry'!$R56="Complete",'Match Entry'!A56,"")</f>
        <v>#DIV/0!</v>
      </c>
      <c r="B89" s="12" t="e">
        <f>IF('Match Entry'!$R56="Complete",'Match Entry'!B56,"")</f>
        <v>#DIV/0!</v>
      </c>
      <c r="C89" s="12" t="e">
        <f>IF('Match Entry'!$R56="Complete",'Match Entry'!C56,"")</f>
        <v>#DIV/0!</v>
      </c>
      <c r="D89" s="12" t="e">
        <f>IF('Match Entry'!$R56="Complete",'Match Entry'!D56,"")</f>
        <v>#DIV/0!</v>
      </c>
      <c r="E89" s="12" t="e">
        <f>IF('Match Entry'!$R56="Complete",'Match Entry'!P56&amp;"-"&amp;'Match Entry'!Q56,"")</f>
        <v>#DIV/0!</v>
      </c>
      <c r="F89" s="12" t="e">
        <f>IF('Match Entry'!$R56="Complete",'Match Entry'!E56,"")</f>
        <v>#DIV/0!</v>
      </c>
      <c r="G89" s="12" t="e">
        <f>IF('Match Entry'!$R56="Complete",IF(ISNUMBER('Match Entry'!F56),'Match Entry'!F56&amp;"-"&amp;'Match Entry'!G56,"")&amp;IF(ISNUMBER('Match Entry'!H56),", "&amp;'Match Entry'!H56&amp;"-"&amp;'Match Entry'!I56,"")&amp;IF(ISNUMBER('Match Entry'!J56),", "&amp;'Match Entry'!J56&amp;"-"&amp;'Match Entry'!K56,"")&amp;IF(ISNUMBER('Match Entry'!L56),", "&amp;'Match Entry'!L56&amp;"-"&amp;'Match Entry'!M56,"")&amp;IF(ISNUMBER('Match Entry'!N56),", "&amp;'Match Entry'!N56&amp;"-"&amp;'Match Entry'!O56,""),"")</f>
        <v>#DIV/0!</v>
      </c>
      <c r="H89" s="12" t="e">
        <f>IF('Match Entry'!$R56="Complete",'Match Entry'!S56,"")</f>
        <v>#DIV/0!</v>
      </c>
      <c r="I89" s="12"/>
      <c r="J89" s="12"/>
      <c r="K89" s="12"/>
      <c r="L89" s="12"/>
      <c r="M89" s="12"/>
      <c r="N89" s="12"/>
      <c r="O89" s="12"/>
    </row>
    <row r="90" spans="1:15" ht="28.5">
      <c r="A90" s="12" t="e">
        <f>IF('Match Entry'!$R57="Complete",'Match Entry'!A57,"")</f>
        <v>#DIV/0!</v>
      </c>
      <c r="B90" s="12" t="e">
        <f>IF('Match Entry'!$R57="Complete",'Match Entry'!B57,"")</f>
        <v>#DIV/0!</v>
      </c>
      <c r="C90" s="12" t="e">
        <f>IF('Match Entry'!$R57="Complete",'Match Entry'!C57,"")</f>
        <v>#DIV/0!</v>
      </c>
      <c r="D90" s="12" t="e">
        <f>IF('Match Entry'!$R57="Complete",'Match Entry'!D57,"")</f>
        <v>#DIV/0!</v>
      </c>
      <c r="E90" s="12" t="e">
        <f>IF('Match Entry'!$R57="Complete",'Match Entry'!P57&amp;"-"&amp;'Match Entry'!Q57,"")</f>
        <v>#DIV/0!</v>
      </c>
      <c r="F90" s="12" t="e">
        <f>IF('Match Entry'!$R57="Complete",'Match Entry'!E57,"")</f>
        <v>#DIV/0!</v>
      </c>
      <c r="G90" s="12" t="e">
        <f>IF('Match Entry'!$R57="Complete",IF(ISNUMBER('Match Entry'!F57),'Match Entry'!F57&amp;"-"&amp;'Match Entry'!G57,"")&amp;IF(ISNUMBER('Match Entry'!H57),", "&amp;'Match Entry'!H57&amp;"-"&amp;'Match Entry'!I57,"")&amp;IF(ISNUMBER('Match Entry'!J57),", "&amp;'Match Entry'!J57&amp;"-"&amp;'Match Entry'!K57,"")&amp;IF(ISNUMBER('Match Entry'!L57),", "&amp;'Match Entry'!L57&amp;"-"&amp;'Match Entry'!M57,"")&amp;IF(ISNUMBER('Match Entry'!N57),", "&amp;'Match Entry'!N57&amp;"-"&amp;'Match Entry'!O57,""),"")</f>
        <v>#DIV/0!</v>
      </c>
      <c r="H90" s="12" t="e">
        <f>IF('Match Entry'!$R57="Complete",'Match Entry'!S57,"")</f>
        <v>#DIV/0!</v>
      </c>
      <c r="I90" s="12"/>
      <c r="J90" s="12"/>
      <c r="K90" s="12"/>
      <c r="L90" s="12"/>
      <c r="M90" s="12"/>
      <c r="N90" s="12"/>
      <c r="O90" s="12"/>
    </row>
    <row r="91" spans="1:15" ht="28.5">
      <c r="A91" s="12" t="e">
        <f>IF('Match Entry'!$R58="Complete",'Match Entry'!A58,"")</f>
        <v>#DIV/0!</v>
      </c>
      <c r="B91" s="12" t="e">
        <f>IF('Match Entry'!$R58="Complete",'Match Entry'!B58,"")</f>
        <v>#DIV/0!</v>
      </c>
      <c r="C91" s="12" t="e">
        <f>IF('Match Entry'!$R58="Complete",'Match Entry'!C58,"")</f>
        <v>#DIV/0!</v>
      </c>
      <c r="D91" s="12" t="e">
        <f>IF('Match Entry'!$R58="Complete",'Match Entry'!D58,"")</f>
        <v>#DIV/0!</v>
      </c>
      <c r="E91" s="12" t="e">
        <f>IF('Match Entry'!$R58="Complete",'Match Entry'!P58&amp;"-"&amp;'Match Entry'!Q58,"")</f>
        <v>#DIV/0!</v>
      </c>
      <c r="F91" s="12" t="e">
        <f>IF('Match Entry'!$R58="Complete",'Match Entry'!E58,"")</f>
        <v>#DIV/0!</v>
      </c>
      <c r="G91" s="12" t="e">
        <f>IF('Match Entry'!$R58="Complete",IF(ISNUMBER('Match Entry'!F58),'Match Entry'!F58&amp;"-"&amp;'Match Entry'!G58,"")&amp;IF(ISNUMBER('Match Entry'!H58),", "&amp;'Match Entry'!H58&amp;"-"&amp;'Match Entry'!I58,"")&amp;IF(ISNUMBER('Match Entry'!J58),", "&amp;'Match Entry'!J58&amp;"-"&amp;'Match Entry'!K58,"")&amp;IF(ISNUMBER('Match Entry'!L58),", "&amp;'Match Entry'!L58&amp;"-"&amp;'Match Entry'!M58,"")&amp;IF(ISNUMBER('Match Entry'!N58),", "&amp;'Match Entry'!N58&amp;"-"&amp;'Match Entry'!O58,""),"")</f>
        <v>#DIV/0!</v>
      </c>
      <c r="H91" s="12" t="e">
        <f>IF('Match Entry'!$R58="Complete",'Match Entry'!S58,"")</f>
        <v>#DIV/0!</v>
      </c>
      <c r="I91" s="12"/>
      <c r="J91" s="12"/>
      <c r="K91" s="12"/>
      <c r="L91" s="12"/>
      <c r="M91" s="12"/>
      <c r="N91" s="12"/>
      <c r="O91" s="12"/>
    </row>
    <row r="92" spans="1:15" ht="28.5">
      <c r="A92" s="12" t="e">
        <f>IF('Match Entry'!$R59="Complete",'Match Entry'!A59,"")</f>
        <v>#DIV/0!</v>
      </c>
      <c r="B92" s="12" t="e">
        <f>IF('Match Entry'!$R59="Complete",'Match Entry'!B59,"")</f>
        <v>#DIV/0!</v>
      </c>
      <c r="C92" s="12" t="e">
        <f>IF('Match Entry'!$R59="Complete",'Match Entry'!C59,"")</f>
        <v>#DIV/0!</v>
      </c>
      <c r="D92" s="12" t="e">
        <f>IF('Match Entry'!$R59="Complete",'Match Entry'!D59,"")</f>
        <v>#DIV/0!</v>
      </c>
      <c r="E92" s="12" t="e">
        <f>IF('Match Entry'!$R59="Complete",'Match Entry'!P59&amp;"-"&amp;'Match Entry'!Q59,"")</f>
        <v>#DIV/0!</v>
      </c>
      <c r="F92" s="12" t="e">
        <f>IF('Match Entry'!$R59="Complete",'Match Entry'!E59,"")</f>
        <v>#DIV/0!</v>
      </c>
      <c r="G92" s="12" t="e">
        <f>IF('Match Entry'!$R59="Complete",IF(ISNUMBER('Match Entry'!F59),'Match Entry'!F59&amp;"-"&amp;'Match Entry'!G59,"")&amp;IF(ISNUMBER('Match Entry'!H59),", "&amp;'Match Entry'!H59&amp;"-"&amp;'Match Entry'!I59,"")&amp;IF(ISNUMBER('Match Entry'!J59),", "&amp;'Match Entry'!J59&amp;"-"&amp;'Match Entry'!K59,"")&amp;IF(ISNUMBER('Match Entry'!L59),", "&amp;'Match Entry'!L59&amp;"-"&amp;'Match Entry'!M59,"")&amp;IF(ISNUMBER('Match Entry'!N59),", "&amp;'Match Entry'!N59&amp;"-"&amp;'Match Entry'!O59,""),"")</f>
        <v>#DIV/0!</v>
      </c>
      <c r="H92" s="12" t="e">
        <f>IF('Match Entry'!$R59="Complete",'Match Entry'!S59,"")</f>
        <v>#DIV/0!</v>
      </c>
      <c r="I92" s="12"/>
      <c r="J92" s="12"/>
      <c r="K92" s="12"/>
      <c r="L92" s="12"/>
      <c r="M92" s="12"/>
      <c r="N92" s="12"/>
      <c r="O92" s="12"/>
    </row>
    <row r="93" spans="1:15" ht="28.5">
      <c r="A93" s="12" t="e">
        <f>IF('Match Entry'!$R60="Complete",'Match Entry'!A60,"")</f>
        <v>#DIV/0!</v>
      </c>
      <c r="B93" s="12" t="e">
        <f>IF('Match Entry'!$R60="Complete",'Match Entry'!B60,"")</f>
        <v>#DIV/0!</v>
      </c>
      <c r="C93" s="12" t="e">
        <f>IF('Match Entry'!$R60="Complete",'Match Entry'!C60,"")</f>
        <v>#DIV/0!</v>
      </c>
      <c r="D93" s="12" t="e">
        <f>IF('Match Entry'!$R60="Complete",'Match Entry'!D60,"")</f>
        <v>#DIV/0!</v>
      </c>
      <c r="E93" s="12" t="e">
        <f>IF('Match Entry'!$R60="Complete",'Match Entry'!P60&amp;"-"&amp;'Match Entry'!Q60,"")</f>
        <v>#DIV/0!</v>
      </c>
      <c r="F93" s="12" t="e">
        <f>IF('Match Entry'!$R60="Complete",'Match Entry'!E60,"")</f>
        <v>#DIV/0!</v>
      </c>
      <c r="G93" s="12" t="e">
        <f>IF('Match Entry'!$R60="Complete",IF(ISNUMBER('Match Entry'!F60),'Match Entry'!F60&amp;"-"&amp;'Match Entry'!G60,"")&amp;IF(ISNUMBER('Match Entry'!H60),", "&amp;'Match Entry'!H60&amp;"-"&amp;'Match Entry'!I60,"")&amp;IF(ISNUMBER('Match Entry'!J60),", "&amp;'Match Entry'!J60&amp;"-"&amp;'Match Entry'!K60,"")&amp;IF(ISNUMBER('Match Entry'!L60),", "&amp;'Match Entry'!L60&amp;"-"&amp;'Match Entry'!M60,"")&amp;IF(ISNUMBER('Match Entry'!N60),", "&amp;'Match Entry'!N60&amp;"-"&amp;'Match Entry'!O60,""),"")</f>
        <v>#DIV/0!</v>
      </c>
      <c r="H93" s="12" t="e">
        <f>IF('Match Entry'!$R60="Complete",'Match Entry'!S60,"")</f>
        <v>#DIV/0!</v>
      </c>
      <c r="I93" s="12"/>
      <c r="J93" s="12"/>
      <c r="K93" s="12"/>
      <c r="L93" s="12"/>
      <c r="M93" s="12"/>
      <c r="N93" s="12"/>
      <c r="O93" s="12"/>
    </row>
    <row r="94" spans="1:15" ht="28.5">
      <c r="A94" s="12" t="e">
        <f>IF('Match Entry'!$R61="Complete",'Match Entry'!A61,"")</f>
        <v>#DIV/0!</v>
      </c>
      <c r="B94" s="12" t="e">
        <f>IF('Match Entry'!$R61="Complete",'Match Entry'!B61,"")</f>
        <v>#DIV/0!</v>
      </c>
      <c r="C94" s="12" t="e">
        <f>IF('Match Entry'!$R61="Complete",'Match Entry'!C61,"")</f>
        <v>#DIV/0!</v>
      </c>
      <c r="D94" s="12" t="e">
        <f>IF('Match Entry'!$R61="Complete",'Match Entry'!D61,"")</f>
        <v>#DIV/0!</v>
      </c>
      <c r="E94" s="12" t="e">
        <f>IF('Match Entry'!$R61="Complete",'Match Entry'!P61&amp;"-"&amp;'Match Entry'!Q61,"")</f>
        <v>#DIV/0!</v>
      </c>
      <c r="F94" s="12" t="e">
        <f>IF('Match Entry'!$R61="Complete",'Match Entry'!E61,"")</f>
        <v>#DIV/0!</v>
      </c>
      <c r="G94" s="12" t="e">
        <f>IF('Match Entry'!$R61="Complete",IF(ISNUMBER('Match Entry'!F61),'Match Entry'!F61&amp;"-"&amp;'Match Entry'!G61,"")&amp;IF(ISNUMBER('Match Entry'!H61),", "&amp;'Match Entry'!H61&amp;"-"&amp;'Match Entry'!I61,"")&amp;IF(ISNUMBER('Match Entry'!J61),", "&amp;'Match Entry'!J61&amp;"-"&amp;'Match Entry'!K61,"")&amp;IF(ISNUMBER('Match Entry'!L61),", "&amp;'Match Entry'!L61&amp;"-"&amp;'Match Entry'!M61,"")&amp;IF(ISNUMBER('Match Entry'!N61),", "&amp;'Match Entry'!N61&amp;"-"&amp;'Match Entry'!O61,""),"")</f>
        <v>#DIV/0!</v>
      </c>
      <c r="H94" s="12" t="e">
        <f>IF('Match Entry'!$R61="Complete",'Match Entry'!S61,"")</f>
        <v>#DIV/0!</v>
      </c>
      <c r="I94" s="12"/>
      <c r="J94" s="12"/>
      <c r="K94" s="12"/>
      <c r="L94" s="12"/>
      <c r="M94" s="12"/>
      <c r="N94" s="12"/>
      <c r="O94" s="12"/>
    </row>
    <row r="95" spans="1:15" ht="28.5">
      <c r="A95" s="12" t="e">
        <f>IF('Match Entry'!$R62="Complete",'Match Entry'!A62,"")</f>
        <v>#DIV/0!</v>
      </c>
      <c r="B95" s="12" t="e">
        <f>IF('Match Entry'!$R62="Complete",'Match Entry'!B62,"")</f>
        <v>#DIV/0!</v>
      </c>
      <c r="C95" s="12" t="e">
        <f>IF('Match Entry'!$R62="Complete",'Match Entry'!C62,"")</f>
        <v>#DIV/0!</v>
      </c>
      <c r="D95" s="12" t="e">
        <f>IF('Match Entry'!$R62="Complete",'Match Entry'!D62,"")</f>
        <v>#DIV/0!</v>
      </c>
      <c r="E95" s="12" t="e">
        <f>IF('Match Entry'!$R62="Complete",'Match Entry'!P62&amp;"-"&amp;'Match Entry'!Q62,"")</f>
        <v>#DIV/0!</v>
      </c>
      <c r="F95" s="12" t="e">
        <f>IF('Match Entry'!$R62="Complete",'Match Entry'!E62,"")</f>
        <v>#DIV/0!</v>
      </c>
      <c r="G95" s="12" t="e">
        <f>IF('Match Entry'!$R62="Complete",IF(ISNUMBER('Match Entry'!F62),'Match Entry'!F62&amp;"-"&amp;'Match Entry'!G62,"")&amp;IF(ISNUMBER('Match Entry'!H62),", "&amp;'Match Entry'!H62&amp;"-"&amp;'Match Entry'!I62,"")&amp;IF(ISNUMBER('Match Entry'!J62),", "&amp;'Match Entry'!J62&amp;"-"&amp;'Match Entry'!K62,"")&amp;IF(ISNUMBER('Match Entry'!L62),", "&amp;'Match Entry'!L62&amp;"-"&amp;'Match Entry'!M62,"")&amp;IF(ISNUMBER('Match Entry'!N62),", "&amp;'Match Entry'!N62&amp;"-"&amp;'Match Entry'!O62,""),"")</f>
        <v>#DIV/0!</v>
      </c>
      <c r="H95" s="12" t="e">
        <f>IF('Match Entry'!$R62="Complete",'Match Entry'!S62,"")</f>
        <v>#DIV/0!</v>
      </c>
      <c r="I95" s="12"/>
      <c r="J95" s="12"/>
      <c r="K95" s="12"/>
      <c r="L95" s="12"/>
      <c r="M95" s="12"/>
      <c r="N95" s="12"/>
      <c r="O95" s="12"/>
    </row>
    <row r="96" spans="1:15" ht="28.5">
      <c r="A96" s="12" t="e">
        <f>IF('Match Entry'!$R63="Complete",'Match Entry'!A63,"")</f>
        <v>#DIV/0!</v>
      </c>
      <c r="B96" s="12" t="e">
        <f>IF('Match Entry'!$R63="Complete",'Match Entry'!B63,"")</f>
        <v>#DIV/0!</v>
      </c>
      <c r="C96" s="12" t="e">
        <f>IF('Match Entry'!$R63="Complete",'Match Entry'!C63,"")</f>
        <v>#DIV/0!</v>
      </c>
      <c r="D96" s="12" t="e">
        <f>IF('Match Entry'!$R63="Complete",'Match Entry'!D63,"")</f>
        <v>#DIV/0!</v>
      </c>
      <c r="E96" s="12" t="e">
        <f>IF('Match Entry'!$R63="Complete",'Match Entry'!P63&amp;"-"&amp;'Match Entry'!Q63,"")</f>
        <v>#DIV/0!</v>
      </c>
      <c r="F96" s="12" t="e">
        <f>IF('Match Entry'!$R63="Complete",'Match Entry'!E63,"")</f>
        <v>#DIV/0!</v>
      </c>
      <c r="G96" s="12" t="e">
        <f>IF('Match Entry'!$R63="Complete",IF(ISNUMBER('Match Entry'!F63),'Match Entry'!F63&amp;"-"&amp;'Match Entry'!G63,"")&amp;IF(ISNUMBER('Match Entry'!H63),", "&amp;'Match Entry'!H63&amp;"-"&amp;'Match Entry'!I63,"")&amp;IF(ISNUMBER('Match Entry'!J63),", "&amp;'Match Entry'!J63&amp;"-"&amp;'Match Entry'!K63,"")&amp;IF(ISNUMBER('Match Entry'!L63),", "&amp;'Match Entry'!L63&amp;"-"&amp;'Match Entry'!M63,"")&amp;IF(ISNUMBER('Match Entry'!N63),", "&amp;'Match Entry'!N63&amp;"-"&amp;'Match Entry'!O63,""),"")</f>
        <v>#DIV/0!</v>
      </c>
      <c r="H96" s="12" t="e">
        <f>IF('Match Entry'!$R63="Complete",'Match Entry'!S63,"")</f>
        <v>#DIV/0!</v>
      </c>
      <c r="I96" s="12"/>
      <c r="J96" s="12"/>
      <c r="K96" s="12"/>
      <c r="L96" s="12"/>
      <c r="M96" s="12"/>
      <c r="N96" s="12"/>
      <c r="O96" s="12"/>
    </row>
    <row r="97" spans="1:15" ht="28.5">
      <c r="A97" s="12" t="e">
        <f>IF('Match Entry'!$R64="Complete",'Match Entry'!A64,"")</f>
        <v>#DIV/0!</v>
      </c>
      <c r="B97" s="12" t="e">
        <f>IF('Match Entry'!$R64="Complete",'Match Entry'!B64,"")</f>
        <v>#DIV/0!</v>
      </c>
      <c r="C97" s="12" t="e">
        <f>IF('Match Entry'!$R64="Complete",'Match Entry'!C64,"")</f>
        <v>#DIV/0!</v>
      </c>
      <c r="D97" s="12" t="e">
        <f>IF('Match Entry'!$R64="Complete",'Match Entry'!D64,"")</f>
        <v>#DIV/0!</v>
      </c>
      <c r="E97" s="12" t="e">
        <f>IF('Match Entry'!$R64="Complete",'Match Entry'!P64&amp;"-"&amp;'Match Entry'!Q64,"")</f>
        <v>#DIV/0!</v>
      </c>
      <c r="F97" s="12" t="e">
        <f>IF('Match Entry'!$R64="Complete",'Match Entry'!E64,"")</f>
        <v>#DIV/0!</v>
      </c>
      <c r="G97" s="12" t="e">
        <f>IF('Match Entry'!$R64="Complete",IF(ISNUMBER('Match Entry'!F64),'Match Entry'!F64&amp;"-"&amp;'Match Entry'!G64,"")&amp;IF(ISNUMBER('Match Entry'!H64),", "&amp;'Match Entry'!H64&amp;"-"&amp;'Match Entry'!I64,"")&amp;IF(ISNUMBER('Match Entry'!J64),", "&amp;'Match Entry'!J64&amp;"-"&amp;'Match Entry'!K64,"")&amp;IF(ISNUMBER('Match Entry'!L64),", "&amp;'Match Entry'!L64&amp;"-"&amp;'Match Entry'!M64,"")&amp;IF(ISNUMBER('Match Entry'!N64),", "&amp;'Match Entry'!N64&amp;"-"&amp;'Match Entry'!O64,""),"")</f>
        <v>#DIV/0!</v>
      </c>
      <c r="H97" s="12" t="e">
        <f>IF('Match Entry'!$R64="Complete",'Match Entry'!S64,"")</f>
        <v>#DIV/0!</v>
      </c>
      <c r="I97" s="12"/>
      <c r="J97" s="12"/>
      <c r="K97" s="12"/>
      <c r="L97" s="12"/>
      <c r="M97" s="12"/>
      <c r="N97" s="12"/>
      <c r="O97" s="12"/>
    </row>
    <row r="98" spans="1:15" ht="28.5">
      <c r="A98" s="12" t="e">
        <f>IF('Match Entry'!$R65="Complete",'Match Entry'!A65,"")</f>
        <v>#DIV/0!</v>
      </c>
      <c r="B98" s="12" t="e">
        <f>IF('Match Entry'!$R65="Complete",'Match Entry'!B65,"")</f>
        <v>#DIV/0!</v>
      </c>
      <c r="C98" s="12" t="e">
        <f>IF('Match Entry'!$R65="Complete",'Match Entry'!C65,"")</f>
        <v>#DIV/0!</v>
      </c>
      <c r="D98" s="12" t="e">
        <f>IF('Match Entry'!$R65="Complete",'Match Entry'!D65,"")</f>
        <v>#DIV/0!</v>
      </c>
      <c r="E98" s="12" t="e">
        <f>IF('Match Entry'!$R65="Complete",'Match Entry'!P65&amp;"-"&amp;'Match Entry'!Q65,"")</f>
        <v>#DIV/0!</v>
      </c>
      <c r="F98" s="12" t="e">
        <f>IF('Match Entry'!$R65="Complete",'Match Entry'!E65,"")</f>
        <v>#DIV/0!</v>
      </c>
      <c r="G98" s="12" t="e">
        <f>IF('Match Entry'!$R65="Complete",IF(ISNUMBER('Match Entry'!F65),'Match Entry'!F65&amp;"-"&amp;'Match Entry'!G65,"")&amp;IF(ISNUMBER('Match Entry'!H65),", "&amp;'Match Entry'!H65&amp;"-"&amp;'Match Entry'!I65,"")&amp;IF(ISNUMBER('Match Entry'!J65),", "&amp;'Match Entry'!J65&amp;"-"&amp;'Match Entry'!K65,"")&amp;IF(ISNUMBER('Match Entry'!L65),", "&amp;'Match Entry'!L65&amp;"-"&amp;'Match Entry'!M65,"")&amp;IF(ISNUMBER('Match Entry'!N65),", "&amp;'Match Entry'!N65&amp;"-"&amp;'Match Entry'!O65,""),"")</f>
        <v>#DIV/0!</v>
      </c>
      <c r="H98" s="12" t="e">
        <f>IF('Match Entry'!$R65="Complete",'Match Entry'!S65,"")</f>
        <v>#DIV/0!</v>
      </c>
      <c r="I98" s="12"/>
      <c r="J98" s="12"/>
      <c r="K98" s="12"/>
      <c r="L98" s="12"/>
      <c r="M98" s="12"/>
      <c r="N98" s="12"/>
      <c r="O98" s="12"/>
    </row>
    <row r="99" spans="1:15" ht="28.5">
      <c r="A99" s="12" t="e">
        <f>IF('Match Entry'!$R66="Complete",'Match Entry'!A66,"")</f>
        <v>#DIV/0!</v>
      </c>
      <c r="B99" s="12" t="e">
        <f>IF('Match Entry'!$R66="Complete",'Match Entry'!B66,"")</f>
        <v>#DIV/0!</v>
      </c>
      <c r="C99" s="12" t="e">
        <f>IF('Match Entry'!$R66="Complete",'Match Entry'!C66,"")</f>
        <v>#DIV/0!</v>
      </c>
      <c r="D99" s="12" t="e">
        <f>IF('Match Entry'!$R66="Complete",'Match Entry'!D66,"")</f>
        <v>#DIV/0!</v>
      </c>
      <c r="E99" s="12" t="e">
        <f>IF('Match Entry'!$R66="Complete",'Match Entry'!P66&amp;"-"&amp;'Match Entry'!Q66,"")</f>
        <v>#DIV/0!</v>
      </c>
      <c r="F99" s="12" t="e">
        <f>IF('Match Entry'!$R66="Complete",'Match Entry'!E66,"")</f>
        <v>#DIV/0!</v>
      </c>
      <c r="G99" s="12" t="e">
        <f>IF('Match Entry'!$R66="Complete",IF(ISNUMBER('Match Entry'!F66),'Match Entry'!F66&amp;"-"&amp;'Match Entry'!G66,"")&amp;IF(ISNUMBER('Match Entry'!H66),", "&amp;'Match Entry'!H66&amp;"-"&amp;'Match Entry'!I66,"")&amp;IF(ISNUMBER('Match Entry'!J66),", "&amp;'Match Entry'!J66&amp;"-"&amp;'Match Entry'!K66,"")&amp;IF(ISNUMBER('Match Entry'!L66),", "&amp;'Match Entry'!L66&amp;"-"&amp;'Match Entry'!M66,"")&amp;IF(ISNUMBER('Match Entry'!N66),", "&amp;'Match Entry'!N66&amp;"-"&amp;'Match Entry'!O66,""),"")</f>
        <v>#DIV/0!</v>
      </c>
      <c r="H99" s="12" t="e">
        <f>IF('Match Entry'!$R66="Complete",'Match Entry'!S66,"")</f>
        <v>#DIV/0!</v>
      </c>
      <c r="I99" s="12"/>
      <c r="J99" s="12"/>
      <c r="K99" s="12"/>
      <c r="L99" s="12"/>
      <c r="M99" s="12"/>
      <c r="N99" s="12"/>
      <c r="O99" s="12"/>
    </row>
    <row r="100" spans="1:15" ht="28.5">
      <c r="A100" s="12" t="e">
        <f>IF('Match Entry'!$R67="Complete",'Match Entry'!A67,"")</f>
        <v>#DIV/0!</v>
      </c>
      <c r="B100" s="12" t="e">
        <f>IF('Match Entry'!$R67="Complete",'Match Entry'!B67,"")</f>
        <v>#DIV/0!</v>
      </c>
      <c r="C100" s="12" t="e">
        <f>IF('Match Entry'!$R67="Complete",'Match Entry'!C67,"")</f>
        <v>#DIV/0!</v>
      </c>
      <c r="D100" s="12" t="e">
        <f>IF('Match Entry'!$R67="Complete",'Match Entry'!D67,"")</f>
        <v>#DIV/0!</v>
      </c>
      <c r="E100" s="12" t="e">
        <f>IF('Match Entry'!$R67="Complete",'Match Entry'!P67&amp;"-"&amp;'Match Entry'!Q67,"")</f>
        <v>#DIV/0!</v>
      </c>
      <c r="F100" s="12" t="e">
        <f>IF('Match Entry'!$R67="Complete",'Match Entry'!E67,"")</f>
        <v>#DIV/0!</v>
      </c>
      <c r="G100" s="12" t="e">
        <f>IF('Match Entry'!$R67="Complete",IF(ISNUMBER('Match Entry'!F67),'Match Entry'!F67&amp;"-"&amp;'Match Entry'!G67,"")&amp;IF(ISNUMBER('Match Entry'!H67),", "&amp;'Match Entry'!H67&amp;"-"&amp;'Match Entry'!I67,"")&amp;IF(ISNUMBER('Match Entry'!J67),", "&amp;'Match Entry'!J67&amp;"-"&amp;'Match Entry'!K67,"")&amp;IF(ISNUMBER('Match Entry'!L67),", "&amp;'Match Entry'!L67&amp;"-"&amp;'Match Entry'!M67,"")&amp;IF(ISNUMBER('Match Entry'!N67),", "&amp;'Match Entry'!N67&amp;"-"&amp;'Match Entry'!O67,""),"")</f>
        <v>#DIV/0!</v>
      </c>
      <c r="H100" s="12" t="e">
        <f>IF('Match Entry'!$R67="Complete",'Match Entry'!S67,"")</f>
        <v>#DIV/0!</v>
      </c>
      <c r="I100" s="12"/>
      <c r="J100" s="12"/>
      <c r="K100" s="12"/>
      <c r="L100" s="12"/>
      <c r="M100" s="12"/>
      <c r="N100" s="12"/>
      <c r="O100" s="12"/>
    </row>
    <row r="101" spans="1:15" ht="28.5">
      <c r="A101" s="12" t="e">
        <f>IF('Match Entry'!$R68="Complete",'Match Entry'!A68,"")</f>
        <v>#DIV/0!</v>
      </c>
      <c r="B101" s="12" t="e">
        <f>IF('Match Entry'!$R68="Complete",'Match Entry'!B68,"")</f>
        <v>#DIV/0!</v>
      </c>
      <c r="C101" s="12" t="e">
        <f>IF('Match Entry'!$R68="Complete",'Match Entry'!C68,"")</f>
        <v>#DIV/0!</v>
      </c>
      <c r="D101" s="12" t="e">
        <f>IF('Match Entry'!$R68="Complete",'Match Entry'!D68,"")</f>
        <v>#DIV/0!</v>
      </c>
      <c r="E101" s="12" t="e">
        <f>IF('Match Entry'!$R68="Complete",'Match Entry'!P68&amp;"-"&amp;'Match Entry'!Q68,"")</f>
        <v>#DIV/0!</v>
      </c>
      <c r="F101" s="12" t="e">
        <f>IF('Match Entry'!$R68="Complete",'Match Entry'!E68,"")</f>
        <v>#DIV/0!</v>
      </c>
      <c r="G101" s="12" t="e">
        <f>IF('Match Entry'!$R68="Complete",IF(ISNUMBER('Match Entry'!F68),'Match Entry'!F68&amp;"-"&amp;'Match Entry'!G68,"")&amp;IF(ISNUMBER('Match Entry'!H68),", "&amp;'Match Entry'!H68&amp;"-"&amp;'Match Entry'!I68,"")&amp;IF(ISNUMBER('Match Entry'!J68),", "&amp;'Match Entry'!J68&amp;"-"&amp;'Match Entry'!K68,"")&amp;IF(ISNUMBER('Match Entry'!L68),", "&amp;'Match Entry'!L68&amp;"-"&amp;'Match Entry'!M68,"")&amp;IF(ISNUMBER('Match Entry'!N68),", "&amp;'Match Entry'!N68&amp;"-"&amp;'Match Entry'!O68,""),"")</f>
        <v>#DIV/0!</v>
      </c>
      <c r="H101" s="12" t="e">
        <f>IF('Match Entry'!$R68="Complete",'Match Entry'!S68,"")</f>
        <v>#DIV/0!</v>
      </c>
      <c r="I101" s="12"/>
      <c r="J101" s="12"/>
      <c r="K101" s="12"/>
      <c r="L101" s="12"/>
      <c r="M101" s="12"/>
      <c r="N101" s="12"/>
      <c r="O101" s="12"/>
    </row>
    <row r="102" spans="1:15" ht="28.5">
      <c r="A102" s="12" t="e">
        <f>IF('Match Entry'!$R69="Complete",'Match Entry'!A69,"")</f>
        <v>#DIV/0!</v>
      </c>
      <c r="B102" s="12" t="e">
        <f>IF('Match Entry'!$R69="Complete",'Match Entry'!B69,"")</f>
        <v>#DIV/0!</v>
      </c>
      <c r="C102" s="12" t="e">
        <f>IF('Match Entry'!$R69="Complete",'Match Entry'!C69,"")</f>
        <v>#DIV/0!</v>
      </c>
      <c r="D102" s="12" t="e">
        <f>IF('Match Entry'!$R69="Complete",'Match Entry'!D69,"")</f>
        <v>#DIV/0!</v>
      </c>
      <c r="E102" s="12" t="e">
        <f>IF('Match Entry'!$R69="Complete",'Match Entry'!P69&amp;"-"&amp;'Match Entry'!Q69,"")</f>
        <v>#DIV/0!</v>
      </c>
      <c r="F102" s="12" t="e">
        <f>IF('Match Entry'!$R69="Complete",'Match Entry'!E69,"")</f>
        <v>#DIV/0!</v>
      </c>
      <c r="G102" s="12" t="e">
        <f>IF('Match Entry'!$R69="Complete",IF(ISNUMBER('Match Entry'!F69),'Match Entry'!F69&amp;"-"&amp;'Match Entry'!G69,"")&amp;IF(ISNUMBER('Match Entry'!H69),", "&amp;'Match Entry'!H69&amp;"-"&amp;'Match Entry'!I69,"")&amp;IF(ISNUMBER('Match Entry'!J69),", "&amp;'Match Entry'!J69&amp;"-"&amp;'Match Entry'!K69,"")&amp;IF(ISNUMBER('Match Entry'!L69),", "&amp;'Match Entry'!L69&amp;"-"&amp;'Match Entry'!M69,"")&amp;IF(ISNUMBER('Match Entry'!N69),", "&amp;'Match Entry'!N69&amp;"-"&amp;'Match Entry'!O69,""),"")</f>
        <v>#DIV/0!</v>
      </c>
      <c r="H102" s="12" t="e">
        <f>IF('Match Entry'!$R69="Complete",'Match Entry'!S69,"")</f>
        <v>#DIV/0!</v>
      </c>
      <c r="I102" s="12"/>
      <c r="J102" s="12"/>
      <c r="K102" s="12"/>
      <c r="L102" s="12"/>
      <c r="M102" s="12"/>
      <c r="N102" s="12"/>
      <c r="O102" s="12"/>
    </row>
    <row r="103" spans="1:15" ht="28.5">
      <c r="A103" s="12" t="e">
        <f>IF('Match Entry'!$R70="Complete",'Match Entry'!A70,"")</f>
        <v>#DIV/0!</v>
      </c>
      <c r="B103" s="12" t="e">
        <f>IF('Match Entry'!$R70="Complete",'Match Entry'!B70,"")</f>
        <v>#DIV/0!</v>
      </c>
      <c r="C103" s="12" t="e">
        <f>IF('Match Entry'!$R70="Complete",'Match Entry'!C70,"")</f>
        <v>#DIV/0!</v>
      </c>
      <c r="D103" s="12" t="e">
        <f>IF('Match Entry'!$R70="Complete",'Match Entry'!D70,"")</f>
        <v>#DIV/0!</v>
      </c>
      <c r="E103" s="12" t="e">
        <f>IF('Match Entry'!$R70="Complete",'Match Entry'!P70&amp;"-"&amp;'Match Entry'!Q70,"")</f>
        <v>#DIV/0!</v>
      </c>
      <c r="F103" s="12" t="e">
        <f>IF('Match Entry'!$R70="Complete",'Match Entry'!E70,"")</f>
        <v>#DIV/0!</v>
      </c>
      <c r="G103" s="12" t="e">
        <f>IF('Match Entry'!$R70="Complete",IF(ISNUMBER('Match Entry'!F70),'Match Entry'!F70&amp;"-"&amp;'Match Entry'!G70,"")&amp;IF(ISNUMBER('Match Entry'!H70),", "&amp;'Match Entry'!H70&amp;"-"&amp;'Match Entry'!I70,"")&amp;IF(ISNUMBER('Match Entry'!J70),", "&amp;'Match Entry'!J70&amp;"-"&amp;'Match Entry'!K70,"")&amp;IF(ISNUMBER('Match Entry'!L70),", "&amp;'Match Entry'!L70&amp;"-"&amp;'Match Entry'!M70,"")&amp;IF(ISNUMBER('Match Entry'!N70),", "&amp;'Match Entry'!N70&amp;"-"&amp;'Match Entry'!O70,""),"")</f>
        <v>#DIV/0!</v>
      </c>
      <c r="H103" s="12" t="e">
        <f>IF('Match Entry'!$R70="Complete",'Match Entry'!S70,"")</f>
        <v>#DIV/0!</v>
      </c>
      <c r="I103" s="12"/>
      <c r="J103" s="12"/>
      <c r="K103" s="12"/>
      <c r="L103" s="12"/>
      <c r="M103" s="12"/>
      <c r="N103" s="12"/>
      <c r="O103" s="12"/>
    </row>
    <row r="104" spans="1:15" ht="28.5">
      <c r="A104" s="12" t="e">
        <f>IF('Match Entry'!$R71="Complete",'Match Entry'!A71,"")</f>
        <v>#DIV/0!</v>
      </c>
      <c r="B104" s="12" t="e">
        <f>IF('Match Entry'!$R71="Complete",'Match Entry'!B71,"")</f>
        <v>#DIV/0!</v>
      </c>
      <c r="C104" s="12" t="e">
        <f>IF('Match Entry'!$R71="Complete",'Match Entry'!C71,"")</f>
        <v>#DIV/0!</v>
      </c>
      <c r="D104" s="12" t="e">
        <f>IF('Match Entry'!$R71="Complete",'Match Entry'!D71,"")</f>
        <v>#DIV/0!</v>
      </c>
      <c r="E104" s="12" t="e">
        <f>IF('Match Entry'!$R71="Complete",'Match Entry'!P71&amp;"-"&amp;'Match Entry'!Q71,"")</f>
        <v>#DIV/0!</v>
      </c>
      <c r="F104" s="12" t="e">
        <f>IF('Match Entry'!$R71="Complete",'Match Entry'!E71,"")</f>
        <v>#DIV/0!</v>
      </c>
      <c r="G104" s="12" t="e">
        <f>IF('Match Entry'!$R71="Complete",IF(ISNUMBER('Match Entry'!F71),'Match Entry'!F71&amp;"-"&amp;'Match Entry'!G71,"")&amp;IF(ISNUMBER('Match Entry'!H71),", "&amp;'Match Entry'!H71&amp;"-"&amp;'Match Entry'!I71,"")&amp;IF(ISNUMBER('Match Entry'!J71),", "&amp;'Match Entry'!J71&amp;"-"&amp;'Match Entry'!K71,"")&amp;IF(ISNUMBER('Match Entry'!L71),", "&amp;'Match Entry'!L71&amp;"-"&amp;'Match Entry'!M71,"")&amp;IF(ISNUMBER('Match Entry'!N71),", "&amp;'Match Entry'!N71&amp;"-"&amp;'Match Entry'!O71,""),"")</f>
        <v>#DIV/0!</v>
      </c>
      <c r="H104" s="12" t="e">
        <f>IF('Match Entry'!$R71="Complete",'Match Entry'!S71,"")</f>
        <v>#DIV/0!</v>
      </c>
      <c r="I104" s="12"/>
      <c r="J104" s="12"/>
      <c r="K104" s="12"/>
      <c r="L104" s="12"/>
      <c r="M104" s="12"/>
      <c r="N104" s="12"/>
      <c r="O104" s="12"/>
    </row>
    <row r="105" spans="1:15" ht="28.5">
      <c r="A105" s="12" t="e">
        <f>IF('Match Entry'!$R72="Complete",'Match Entry'!A72,"")</f>
        <v>#DIV/0!</v>
      </c>
      <c r="B105" s="12" t="e">
        <f>IF('Match Entry'!$R72="Complete",'Match Entry'!B72,"")</f>
        <v>#DIV/0!</v>
      </c>
      <c r="C105" s="12" t="e">
        <f>IF('Match Entry'!$R72="Complete",'Match Entry'!C72,"")</f>
        <v>#DIV/0!</v>
      </c>
      <c r="D105" s="12" t="e">
        <f>IF('Match Entry'!$R72="Complete",'Match Entry'!D72,"")</f>
        <v>#DIV/0!</v>
      </c>
      <c r="E105" s="12" t="e">
        <f>IF('Match Entry'!$R72="Complete",'Match Entry'!P72&amp;"-"&amp;'Match Entry'!Q72,"")</f>
        <v>#DIV/0!</v>
      </c>
      <c r="F105" s="12" t="e">
        <f>IF('Match Entry'!$R72="Complete",'Match Entry'!E72,"")</f>
        <v>#DIV/0!</v>
      </c>
      <c r="G105" s="12" t="e">
        <f>IF('Match Entry'!$R72="Complete",IF(ISNUMBER('Match Entry'!F72),'Match Entry'!F72&amp;"-"&amp;'Match Entry'!G72,"")&amp;IF(ISNUMBER('Match Entry'!H72),", "&amp;'Match Entry'!H72&amp;"-"&amp;'Match Entry'!I72,"")&amp;IF(ISNUMBER('Match Entry'!J72),", "&amp;'Match Entry'!J72&amp;"-"&amp;'Match Entry'!K72,"")&amp;IF(ISNUMBER('Match Entry'!L72),", "&amp;'Match Entry'!L72&amp;"-"&amp;'Match Entry'!M72,"")&amp;IF(ISNUMBER('Match Entry'!N72),", "&amp;'Match Entry'!N72&amp;"-"&amp;'Match Entry'!O72,""),"")</f>
        <v>#DIV/0!</v>
      </c>
      <c r="H105" s="12" t="e">
        <f>IF('Match Entry'!$R72="Complete",'Match Entry'!S72,"")</f>
        <v>#DIV/0!</v>
      </c>
      <c r="I105" s="12"/>
      <c r="J105" s="12"/>
      <c r="K105" s="12"/>
      <c r="L105" s="12"/>
      <c r="M105" s="12"/>
      <c r="N105" s="12"/>
      <c r="O105" s="12"/>
    </row>
    <row r="106" spans="1:15" ht="28.5">
      <c r="A106" s="12" t="e">
        <f>IF('Match Entry'!$R73="Complete",'Match Entry'!A73,"")</f>
        <v>#DIV/0!</v>
      </c>
      <c r="B106" s="12" t="e">
        <f>IF('Match Entry'!$R73="Complete",'Match Entry'!B73,"")</f>
        <v>#DIV/0!</v>
      </c>
      <c r="C106" s="12" t="e">
        <f>IF('Match Entry'!$R73="Complete",'Match Entry'!C73,"")</f>
        <v>#DIV/0!</v>
      </c>
      <c r="D106" s="12" t="e">
        <f>IF('Match Entry'!$R73="Complete",'Match Entry'!D73,"")</f>
        <v>#DIV/0!</v>
      </c>
      <c r="E106" s="12" t="e">
        <f>IF('Match Entry'!$R73="Complete",'Match Entry'!P73&amp;"-"&amp;'Match Entry'!Q73,"")</f>
        <v>#DIV/0!</v>
      </c>
      <c r="F106" s="12" t="e">
        <f>IF('Match Entry'!$R73="Complete",'Match Entry'!E73,"")</f>
        <v>#DIV/0!</v>
      </c>
      <c r="G106" s="12" t="e">
        <f>IF('Match Entry'!$R73="Complete",IF(ISNUMBER('Match Entry'!F73),'Match Entry'!F73&amp;"-"&amp;'Match Entry'!G73,"")&amp;IF(ISNUMBER('Match Entry'!H73),", "&amp;'Match Entry'!H73&amp;"-"&amp;'Match Entry'!I73,"")&amp;IF(ISNUMBER('Match Entry'!J73),", "&amp;'Match Entry'!J73&amp;"-"&amp;'Match Entry'!K73,"")&amp;IF(ISNUMBER('Match Entry'!L73),", "&amp;'Match Entry'!L73&amp;"-"&amp;'Match Entry'!M73,"")&amp;IF(ISNUMBER('Match Entry'!N73),", "&amp;'Match Entry'!N73&amp;"-"&amp;'Match Entry'!O73,""),"")</f>
        <v>#DIV/0!</v>
      </c>
      <c r="H106" s="12" t="e">
        <f>IF('Match Entry'!$R73="Complete",'Match Entry'!S73,"")</f>
        <v>#DIV/0!</v>
      </c>
      <c r="I106" s="12"/>
      <c r="J106" s="12"/>
      <c r="K106" s="12"/>
      <c r="L106" s="12"/>
      <c r="M106" s="12"/>
      <c r="N106" s="12"/>
      <c r="O106" s="12"/>
    </row>
    <row r="107" spans="1:15" ht="28.5">
      <c r="A107" s="12" t="e">
        <f>IF('Match Entry'!$R74="Complete",'Match Entry'!A74,"")</f>
        <v>#DIV/0!</v>
      </c>
      <c r="B107" s="12" t="e">
        <f>IF('Match Entry'!$R74="Complete",'Match Entry'!B74,"")</f>
        <v>#DIV/0!</v>
      </c>
      <c r="C107" s="12" t="e">
        <f>IF('Match Entry'!$R74="Complete",'Match Entry'!C74,"")</f>
        <v>#DIV/0!</v>
      </c>
      <c r="D107" s="12" t="e">
        <f>IF('Match Entry'!$R74="Complete",'Match Entry'!D74,"")</f>
        <v>#DIV/0!</v>
      </c>
      <c r="E107" s="12" t="e">
        <f>IF('Match Entry'!$R74="Complete",'Match Entry'!P74&amp;"-"&amp;'Match Entry'!Q74,"")</f>
        <v>#DIV/0!</v>
      </c>
      <c r="F107" s="12" t="e">
        <f>IF('Match Entry'!$R74="Complete",'Match Entry'!E74,"")</f>
        <v>#DIV/0!</v>
      </c>
      <c r="G107" s="12" t="e">
        <f>IF('Match Entry'!$R74="Complete",IF(ISNUMBER('Match Entry'!F74),'Match Entry'!F74&amp;"-"&amp;'Match Entry'!G74,"")&amp;IF(ISNUMBER('Match Entry'!H74),", "&amp;'Match Entry'!H74&amp;"-"&amp;'Match Entry'!I74,"")&amp;IF(ISNUMBER('Match Entry'!J74),", "&amp;'Match Entry'!J74&amp;"-"&amp;'Match Entry'!K74,"")&amp;IF(ISNUMBER('Match Entry'!L74),", "&amp;'Match Entry'!L74&amp;"-"&amp;'Match Entry'!M74,"")&amp;IF(ISNUMBER('Match Entry'!N74),", "&amp;'Match Entry'!N74&amp;"-"&amp;'Match Entry'!O74,""),"")</f>
        <v>#DIV/0!</v>
      </c>
      <c r="H107" s="12" t="e">
        <f>IF('Match Entry'!$R74="Complete",'Match Entry'!S74,"")</f>
        <v>#DIV/0!</v>
      </c>
      <c r="I107" s="12"/>
      <c r="J107" s="12"/>
      <c r="K107" s="12"/>
      <c r="L107" s="12"/>
      <c r="M107" s="12"/>
      <c r="N107" s="12"/>
      <c r="O107" s="12"/>
    </row>
    <row r="108" spans="1:15" ht="28.5">
      <c r="A108" s="12" t="e">
        <f>IF('Match Entry'!$R75="Complete",'Match Entry'!A75,"")</f>
        <v>#DIV/0!</v>
      </c>
      <c r="B108" s="12" t="e">
        <f>IF('Match Entry'!$R75="Complete",'Match Entry'!B75,"")</f>
        <v>#DIV/0!</v>
      </c>
      <c r="C108" s="12" t="e">
        <f>IF('Match Entry'!$R75="Complete",'Match Entry'!C75,"")</f>
        <v>#DIV/0!</v>
      </c>
      <c r="D108" s="12" t="e">
        <f>IF('Match Entry'!$R75="Complete",'Match Entry'!D75,"")</f>
        <v>#DIV/0!</v>
      </c>
      <c r="E108" s="12" t="e">
        <f>IF('Match Entry'!$R75="Complete",'Match Entry'!P75&amp;"-"&amp;'Match Entry'!Q75,"")</f>
        <v>#DIV/0!</v>
      </c>
      <c r="F108" s="12" t="e">
        <f>IF('Match Entry'!$R75="Complete",'Match Entry'!E75,"")</f>
        <v>#DIV/0!</v>
      </c>
      <c r="G108" s="12" t="e">
        <f>IF('Match Entry'!$R75="Complete",IF(ISNUMBER('Match Entry'!F75),'Match Entry'!F75&amp;"-"&amp;'Match Entry'!G75,"")&amp;IF(ISNUMBER('Match Entry'!H75),", "&amp;'Match Entry'!H75&amp;"-"&amp;'Match Entry'!I75,"")&amp;IF(ISNUMBER('Match Entry'!J75),", "&amp;'Match Entry'!J75&amp;"-"&amp;'Match Entry'!K75,"")&amp;IF(ISNUMBER('Match Entry'!L75),", "&amp;'Match Entry'!L75&amp;"-"&amp;'Match Entry'!M75,"")&amp;IF(ISNUMBER('Match Entry'!N75),", "&amp;'Match Entry'!N75&amp;"-"&amp;'Match Entry'!O75,""),"")</f>
        <v>#DIV/0!</v>
      </c>
      <c r="H108" s="12" t="e">
        <f>IF('Match Entry'!$R75="Complete",'Match Entry'!S75,"")</f>
        <v>#DIV/0!</v>
      </c>
      <c r="I108" s="12"/>
      <c r="J108" s="12"/>
      <c r="K108" s="12"/>
      <c r="L108" s="12"/>
      <c r="M108" s="12"/>
      <c r="N108" s="12"/>
      <c r="O108" s="12"/>
    </row>
    <row r="109" spans="1:15" ht="28.5">
      <c r="A109" s="12" t="e">
        <f>IF('Match Entry'!$R76="Complete",'Match Entry'!A76,"")</f>
        <v>#DIV/0!</v>
      </c>
      <c r="B109" s="12" t="e">
        <f>IF('Match Entry'!$R76="Complete",'Match Entry'!B76,"")</f>
        <v>#DIV/0!</v>
      </c>
      <c r="C109" s="12" t="e">
        <f>IF('Match Entry'!$R76="Complete",'Match Entry'!C76,"")</f>
        <v>#DIV/0!</v>
      </c>
      <c r="D109" s="12" t="e">
        <f>IF('Match Entry'!$R76="Complete",'Match Entry'!D76,"")</f>
        <v>#DIV/0!</v>
      </c>
      <c r="E109" s="12" t="e">
        <f>IF('Match Entry'!$R76="Complete",'Match Entry'!P76&amp;"-"&amp;'Match Entry'!Q76,"")</f>
        <v>#DIV/0!</v>
      </c>
      <c r="F109" s="12" t="e">
        <f>IF('Match Entry'!$R76="Complete",'Match Entry'!E76,"")</f>
        <v>#DIV/0!</v>
      </c>
      <c r="G109" s="12" t="e">
        <f>IF('Match Entry'!$R76="Complete",IF(ISNUMBER('Match Entry'!F76),'Match Entry'!F76&amp;"-"&amp;'Match Entry'!G76,"")&amp;IF(ISNUMBER('Match Entry'!H76),", "&amp;'Match Entry'!H76&amp;"-"&amp;'Match Entry'!I76,"")&amp;IF(ISNUMBER('Match Entry'!J76),", "&amp;'Match Entry'!J76&amp;"-"&amp;'Match Entry'!K76,"")&amp;IF(ISNUMBER('Match Entry'!L76),", "&amp;'Match Entry'!L76&amp;"-"&amp;'Match Entry'!M76,"")&amp;IF(ISNUMBER('Match Entry'!N76),", "&amp;'Match Entry'!N76&amp;"-"&amp;'Match Entry'!O76,""),"")</f>
        <v>#DIV/0!</v>
      </c>
      <c r="H109" s="12" t="e">
        <f>IF('Match Entry'!$R76="Complete",'Match Entry'!S76,"")</f>
        <v>#DIV/0!</v>
      </c>
      <c r="I109" s="12"/>
      <c r="J109" s="12"/>
      <c r="K109" s="12"/>
      <c r="L109" s="12"/>
      <c r="M109" s="12"/>
      <c r="N109" s="12"/>
      <c r="O109" s="12"/>
    </row>
    <row r="110" spans="1:15" ht="28.5">
      <c r="A110" s="12" t="e">
        <f>IF('Match Entry'!$R77="Complete",'Match Entry'!A77,"")</f>
        <v>#DIV/0!</v>
      </c>
      <c r="B110" s="12" t="e">
        <f>IF('Match Entry'!$R77="Complete",'Match Entry'!B77,"")</f>
        <v>#DIV/0!</v>
      </c>
      <c r="C110" s="12" t="e">
        <f>IF('Match Entry'!$R77="Complete",'Match Entry'!C77,"")</f>
        <v>#DIV/0!</v>
      </c>
      <c r="D110" s="12" t="e">
        <f>IF('Match Entry'!$R77="Complete",'Match Entry'!D77,"")</f>
        <v>#DIV/0!</v>
      </c>
      <c r="E110" s="12" t="e">
        <f>IF('Match Entry'!$R77="Complete",'Match Entry'!P77&amp;"-"&amp;'Match Entry'!Q77,"")</f>
        <v>#DIV/0!</v>
      </c>
      <c r="F110" s="12" t="e">
        <f>IF('Match Entry'!$R77="Complete",'Match Entry'!E77,"")</f>
        <v>#DIV/0!</v>
      </c>
      <c r="G110" s="12" t="e">
        <f>IF('Match Entry'!$R77="Complete",IF(ISNUMBER('Match Entry'!F77),'Match Entry'!F77&amp;"-"&amp;'Match Entry'!G77,"")&amp;IF(ISNUMBER('Match Entry'!H77),", "&amp;'Match Entry'!H77&amp;"-"&amp;'Match Entry'!I77,"")&amp;IF(ISNUMBER('Match Entry'!J77),", "&amp;'Match Entry'!J77&amp;"-"&amp;'Match Entry'!K77,"")&amp;IF(ISNUMBER('Match Entry'!L77),", "&amp;'Match Entry'!L77&amp;"-"&amp;'Match Entry'!M77,"")&amp;IF(ISNUMBER('Match Entry'!N77),", "&amp;'Match Entry'!N77&amp;"-"&amp;'Match Entry'!O77,""),"")</f>
        <v>#DIV/0!</v>
      </c>
      <c r="H110" s="12" t="e">
        <f>IF('Match Entry'!$R77="Complete",'Match Entry'!S77,"")</f>
        <v>#DIV/0!</v>
      </c>
      <c r="I110" s="12"/>
      <c r="J110" s="12"/>
      <c r="K110" s="12"/>
      <c r="L110" s="12"/>
      <c r="M110" s="12"/>
      <c r="N110" s="12"/>
      <c r="O110" s="12"/>
    </row>
    <row r="111" spans="1:15" ht="28.5">
      <c r="A111" s="12" t="e">
        <f>IF('Match Entry'!$R78="Complete",'Match Entry'!A78,"")</f>
        <v>#DIV/0!</v>
      </c>
      <c r="B111" s="12" t="e">
        <f>IF('Match Entry'!$R78="Complete",'Match Entry'!B78,"")</f>
        <v>#DIV/0!</v>
      </c>
      <c r="C111" s="12" t="e">
        <f>IF('Match Entry'!$R78="Complete",'Match Entry'!C78,"")</f>
        <v>#DIV/0!</v>
      </c>
      <c r="D111" s="12" t="e">
        <f>IF('Match Entry'!$R78="Complete",'Match Entry'!D78,"")</f>
        <v>#DIV/0!</v>
      </c>
      <c r="E111" s="12" t="e">
        <f>IF('Match Entry'!$R78="Complete",'Match Entry'!P78&amp;"-"&amp;'Match Entry'!Q78,"")</f>
        <v>#DIV/0!</v>
      </c>
      <c r="F111" s="12" t="e">
        <f>IF('Match Entry'!$R78="Complete",'Match Entry'!E78,"")</f>
        <v>#DIV/0!</v>
      </c>
      <c r="G111" s="12" t="e">
        <f>IF('Match Entry'!$R78="Complete",IF(ISNUMBER('Match Entry'!F78),'Match Entry'!F78&amp;"-"&amp;'Match Entry'!G78,"")&amp;IF(ISNUMBER('Match Entry'!H78),", "&amp;'Match Entry'!H78&amp;"-"&amp;'Match Entry'!I78,"")&amp;IF(ISNUMBER('Match Entry'!J78),", "&amp;'Match Entry'!J78&amp;"-"&amp;'Match Entry'!K78,"")&amp;IF(ISNUMBER('Match Entry'!L78),", "&amp;'Match Entry'!L78&amp;"-"&amp;'Match Entry'!M78,"")&amp;IF(ISNUMBER('Match Entry'!N78),", "&amp;'Match Entry'!N78&amp;"-"&amp;'Match Entry'!O78,""),"")</f>
        <v>#DIV/0!</v>
      </c>
      <c r="H111" s="12" t="e">
        <f>IF('Match Entry'!$R78="Complete",'Match Entry'!S78,"")</f>
        <v>#DIV/0!</v>
      </c>
      <c r="I111" s="12"/>
      <c r="J111" s="12"/>
      <c r="K111" s="12"/>
      <c r="L111" s="12"/>
      <c r="M111" s="12"/>
      <c r="N111" s="12"/>
      <c r="O111" s="12"/>
    </row>
    <row r="112" spans="1:15" ht="28.5">
      <c r="A112" s="12" t="e">
        <f>IF('Match Entry'!$R79="Complete",'Match Entry'!A79,"")</f>
        <v>#DIV/0!</v>
      </c>
      <c r="B112" s="12" t="e">
        <f>IF('Match Entry'!$R79="Complete",'Match Entry'!B79,"")</f>
        <v>#DIV/0!</v>
      </c>
      <c r="C112" s="12" t="e">
        <f>IF('Match Entry'!$R79="Complete",'Match Entry'!C79,"")</f>
        <v>#DIV/0!</v>
      </c>
      <c r="D112" s="12" t="e">
        <f>IF('Match Entry'!$R79="Complete",'Match Entry'!D79,"")</f>
        <v>#DIV/0!</v>
      </c>
      <c r="E112" s="12" t="e">
        <f>IF('Match Entry'!$R79="Complete",'Match Entry'!P79&amp;"-"&amp;'Match Entry'!Q79,"")</f>
        <v>#DIV/0!</v>
      </c>
      <c r="F112" s="12" t="e">
        <f>IF('Match Entry'!$R79="Complete",'Match Entry'!E79,"")</f>
        <v>#DIV/0!</v>
      </c>
      <c r="G112" s="12" t="e">
        <f>IF('Match Entry'!$R79="Complete",IF(ISNUMBER('Match Entry'!F79),'Match Entry'!F79&amp;"-"&amp;'Match Entry'!G79,"")&amp;IF(ISNUMBER('Match Entry'!H79),", "&amp;'Match Entry'!H79&amp;"-"&amp;'Match Entry'!I79,"")&amp;IF(ISNUMBER('Match Entry'!J79),", "&amp;'Match Entry'!J79&amp;"-"&amp;'Match Entry'!K79,"")&amp;IF(ISNUMBER('Match Entry'!L79),", "&amp;'Match Entry'!L79&amp;"-"&amp;'Match Entry'!M79,"")&amp;IF(ISNUMBER('Match Entry'!N79),", "&amp;'Match Entry'!N79&amp;"-"&amp;'Match Entry'!O79,""),"")</f>
        <v>#DIV/0!</v>
      </c>
      <c r="H112" s="12" t="e">
        <f>IF('Match Entry'!$R79="Complete",'Match Entry'!S79,"")</f>
        <v>#DIV/0!</v>
      </c>
      <c r="I112" s="12"/>
      <c r="J112" s="12"/>
      <c r="K112" s="12"/>
      <c r="L112" s="12"/>
      <c r="M112" s="12"/>
      <c r="N112" s="12"/>
      <c r="O112" s="12"/>
    </row>
    <row r="113" spans="1:15" ht="28.5">
      <c r="A113" s="12" t="e">
        <f>IF('Match Entry'!$R80="Complete",'Match Entry'!A80,"")</f>
        <v>#DIV/0!</v>
      </c>
      <c r="B113" s="12" t="e">
        <f>IF('Match Entry'!$R80="Complete",'Match Entry'!B80,"")</f>
        <v>#DIV/0!</v>
      </c>
      <c r="C113" s="12" t="e">
        <f>IF('Match Entry'!$R80="Complete",'Match Entry'!C80,"")</f>
        <v>#DIV/0!</v>
      </c>
      <c r="D113" s="12" t="e">
        <f>IF('Match Entry'!$R80="Complete",'Match Entry'!D80,"")</f>
        <v>#DIV/0!</v>
      </c>
      <c r="E113" s="12" t="e">
        <f>IF('Match Entry'!$R80="Complete",'Match Entry'!P80&amp;"-"&amp;'Match Entry'!Q80,"")</f>
        <v>#DIV/0!</v>
      </c>
      <c r="F113" s="12" t="e">
        <f>IF('Match Entry'!$R80="Complete",'Match Entry'!E80,"")</f>
        <v>#DIV/0!</v>
      </c>
      <c r="G113" s="12" t="e">
        <f>IF('Match Entry'!$R80="Complete",IF(ISNUMBER('Match Entry'!F80),'Match Entry'!F80&amp;"-"&amp;'Match Entry'!G80,"")&amp;IF(ISNUMBER('Match Entry'!H80),", "&amp;'Match Entry'!H80&amp;"-"&amp;'Match Entry'!I80,"")&amp;IF(ISNUMBER('Match Entry'!J80),", "&amp;'Match Entry'!J80&amp;"-"&amp;'Match Entry'!K80,"")&amp;IF(ISNUMBER('Match Entry'!L80),", "&amp;'Match Entry'!L80&amp;"-"&amp;'Match Entry'!M80,"")&amp;IF(ISNUMBER('Match Entry'!N80),", "&amp;'Match Entry'!N80&amp;"-"&amp;'Match Entry'!O80,""),"")</f>
        <v>#DIV/0!</v>
      </c>
      <c r="H113" s="12" t="e">
        <f>IF('Match Entry'!$R80="Complete",'Match Entry'!S80,"")</f>
        <v>#DIV/0!</v>
      </c>
      <c r="I113" s="12"/>
      <c r="J113" s="12"/>
      <c r="K113" s="12"/>
      <c r="L113" s="12"/>
      <c r="M113" s="12"/>
      <c r="N113" s="12"/>
      <c r="O113" s="12"/>
    </row>
    <row r="114" spans="1:15" ht="28.5">
      <c r="A114" s="12" t="e">
        <f>IF('Match Entry'!$R81="Complete",'Match Entry'!A81,"")</f>
        <v>#DIV/0!</v>
      </c>
      <c r="B114" s="12" t="e">
        <f>IF('Match Entry'!$R81="Complete",'Match Entry'!B81,"")</f>
        <v>#DIV/0!</v>
      </c>
      <c r="C114" s="12" t="e">
        <f>IF('Match Entry'!$R81="Complete",'Match Entry'!C81,"")</f>
        <v>#DIV/0!</v>
      </c>
      <c r="D114" s="12" t="e">
        <f>IF('Match Entry'!$R81="Complete",'Match Entry'!D81,"")</f>
        <v>#DIV/0!</v>
      </c>
      <c r="E114" s="12" t="e">
        <f>IF('Match Entry'!$R81="Complete",'Match Entry'!P81&amp;"-"&amp;'Match Entry'!Q81,"")</f>
        <v>#DIV/0!</v>
      </c>
      <c r="F114" s="12" t="e">
        <f>IF('Match Entry'!$R81="Complete",'Match Entry'!E81,"")</f>
        <v>#DIV/0!</v>
      </c>
      <c r="G114" s="12" t="e">
        <f>IF('Match Entry'!$R81="Complete",IF(ISNUMBER('Match Entry'!F81),'Match Entry'!F81&amp;"-"&amp;'Match Entry'!G81,"")&amp;IF(ISNUMBER('Match Entry'!H81),", "&amp;'Match Entry'!H81&amp;"-"&amp;'Match Entry'!I81,"")&amp;IF(ISNUMBER('Match Entry'!J81),", "&amp;'Match Entry'!J81&amp;"-"&amp;'Match Entry'!K81,"")&amp;IF(ISNUMBER('Match Entry'!L81),", "&amp;'Match Entry'!L81&amp;"-"&amp;'Match Entry'!M81,"")&amp;IF(ISNUMBER('Match Entry'!N81),", "&amp;'Match Entry'!N81&amp;"-"&amp;'Match Entry'!O81,""),"")</f>
        <v>#DIV/0!</v>
      </c>
      <c r="H114" s="12" t="e">
        <f>IF('Match Entry'!$R81="Complete",'Match Entry'!S81,"")</f>
        <v>#DIV/0!</v>
      </c>
      <c r="I114" s="12"/>
      <c r="J114" s="12"/>
      <c r="K114" s="12"/>
      <c r="L114" s="12"/>
      <c r="M114" s="12"/>
      <c r="N114" s="12"/>
      <c r="O114" s="12"/>
    </row>
    <row r="115" spans="1:15" ht="28.5">
      <c r="A115" s="12" t="e">
        <f>IF('Match Entry'!$R82="Complete",'Match Entry'!A82,"")</f>
        <v>#DIV/0!</v>
      </c>
      <c r="B115" s="12" t="e">
        <f>IF('Match Entry'!$R82="Complete",'Match Entry'!B82,"")</f>
        <v>#DIV/0!</v>
      </c>
      <c r="C115" s="12" t="e">
        <f>IF('Match Entry'!$R82="Complete",'Match Entry'!C82,"")</f>
        <v>#DIV/0!</v>
      </c>
      <c r="D115" s="12" t="e">
        <f>IF('Match Entry'!$R82="Complete",'Match Entry'!D82,"")</f>
        <v>#DIV/0!</v>
      </c>
      <c r="E115" s="12" t="e">
        <f>IF('Match Entry'!$R82="Complete",'Match Entry'!P82&amp;"-"&amp;'Match Entry'!Q82,"")</f>
        <v>#DIV/0!</v>
      </c>
      <c r="F115" s="12" t="e">
        <f>IF('Match Entry'!$R82="Complete",'Match Entry'!E82,"")</f>
        <v>#DIV/0!</v>
      </c>
      <c r="G115" s="12" t="e">
        <f>IF('Match Entry'!$R82="Complete",IF(ISNUMBER('Match Entry'!F82),'Match Entry'!F82&amp;"-"&amp;'Match Entry'!G82,"")&amp;IF(ISNUMBER('Match Entry'!H82),", "&amp;'Match Entry'!H82&amp;"-"&amp;'Match Entry'!I82,"")&amp;IF(ISNUMBER('Match Entry'!J82),", "&amp;'Match Entry'!J82&amp;"-"&amp;'Match Entry'!K82,"")&amp;IF(ISNUMBER('Match Entry'!L82),", "&amp;'Match Entry'!L82&amp;"-"&amp;'Match Entry'!M82,"")&amp;IF(ISNUMBER('Match Entry'!N82),", "&amp;'Match Entry'!N82&amp;"-"&amp;'Match Entry'!O82,""),"")</f>
        <v>#DIV/0!</v>
      </c>
      <c r="H115" s="12" t="e">
        <f>IF('Match Entry'!$R82="Complete",'Match Entry'!S82,"")</f>
        <v>#DIV/0!</v>
      </c>
      <c r="I115" s="12"/>
      <c r="J115" s="12"/>
      <c r="K115" s="12"/>
      <c r="L115" s="12"/>
      <c r="M115" s="12"/>
      <c r="N115" s="12"/>
      <c r="O115" s="12"/>
    </row>
    <row r="116" spans="1:15" ht="28.5">
      <c r="A116" s="12" t="e">
        <f>IF('Match Entry'!$R83="Complete",'Match Entry'!A83,"")</f>
        <v>#DIV/0!</v>
      </c>
      <c r="B116" s="12" t="e">
        <f>IF('Match Entry'!$R83="Complete",'Match Entry'!B83,"")</f>
        <v>#DIV/0!</v>
      </c>
      <c r="C116" s="12" t="e">
        <f>IF('Match Entry'!$R83="Complete",'Match Entry'!C83,"")</f>
        <v>#DIV/0!</v>
      </c>
      <c r="D116" s="12" t="e">
        <f>IF('Match Entry'!$R83="Complete",'Match Entry'!D83,"")</f>
        <v>#DIV/0!</v>
      </c>
      <c r="E116" s="12" t="e">
        <f>IF('Match Entry'!$R83="Complete",'Match Entry'!P83&amp;"-"&amp;'Match Entry'!Q83,"")</f>
        <v>#DIV/0!</v>
      </c>
      <c r="F116" s="12" t="e">
        <f>IF('Match Entry'!$R83="Complete",'Match Entry'!E83,"")</f>
        <v>#DIV/0!</v>
      </c>
      <c r="G116" s="12" t="e">
        <f>IF('Match Entry'!$R83="Complete",IF(ISNUMBER('Match Entry'!F83),'Match Entry'!F83&amp;"-"&amp;'Match Entry'!G83,"")&amp;IF(ISNUMBER('Match Entry'!H83),", "&amp;'Match Entry'!H83&amp;"-"&amp;'Match Entry'!I83,"")&amp;IF(ISNUMBER('Match Entry'!J83),", "&amp;'Match Entry'!J83&amp;"-"&amp;'Match Entry'!K83,"")&amp;IF(ISNUMBER('Match Entry'!L83),", "&amp;'Match Entry'!L83&amp;"-"&amp;'Match Entry'!M83,"")&amp;IF(ISNUMBER('Match Entry'!N83),", "&amp;'Match Entry'!N83&amp;"-"&amp;'Match Entry'!O83,""),"")</f>
        <v>#DIV/0!</v>
      </c>
      <c r="H116" s="12" t="e">
        <f>IF('Match Entry'!$R83="Complete",'Match Entry'!S83,"")</f>
        <v>#DIV/0!</v>
      </c>
      <c r="I116" s="12"/>
      <c r="J116" s="12"/>
      <c r="K116" s="12"/>
      <c r="L116" s="12"/>
      <c r="M116" s="12"/>
      <c r="N116" s="12"/>
      <c r="O116" s="12"/>
    </row>
    <row r="117" spans="1:15" ht="28.5">
      <c r="A117" s="12" t="e">
        <f>IF('Match Entry'!$R84="Complete",'Match Entry'!A84,"")</f>
        <v>#DIV/0!</v>
      </c>
      <c r="B117" s="12" t="e">
        <f>IF('Match Entry'!$R84="Complete",'Match Entry'!B84,"")</f>
        <v>#DIV/0!</v>
      </c>
      <c r="C117" s="12" t="e">
        <f>IF('Match Entry'!$R84="Complete",'Match Entry'!C84,"")</f>
        <v>#DIV/0!</v>
      </c>
      <c r="D117" s="12" t="e">
        <f>IF('Match Entry'!$R84="Complete",'Match Entry'!D84,"")</f>
        <v>#DIV/0!</v>
      </c>
      <c r="E117" s="12" t="e">
        <f>IF('Match Entry'!$R84="Complete",'Match Entry'!P84&amp;"-"&amp;'Match Entry'!Q84,"")</f>
        <v>#DIV/0!</v>
      </c>
      <c r="F117" s="12" t="e">
        <f>IF('Match Entry'!$R84="Complete",'Match Entry'!E84,"")</f>
        <v>#DIV/0!</v>
      </c>
      <c r="G117" s="12" t="e">
        <f>IF('Match Entry'!$R84="Complete",IF(ISNUMBER('Match Entry'!F84),'Match Entry'!F84&amp;"-"&amp;'Match Entry'!G84,"")&amp;IF(ISNUMBER('Match Entry'!H84),", "&amp;'Match Entry'!H84&amp;"-"&amp;'Match Entry'!I84,"")&amp;IF(ISNUMBER('Match Entry'!J84),", "&amp;'Match Entry'!J84&amp;"-"&amp;'Match Entry'!K84,"")&amp;IF(ISNUMBER('Match Entry'!L84),", "&amp;'Match Entry'!L84&amp;"-"&amp;'Match Entry'!M84,"")&amp;IF(ISNUMBER('Match Entry'!N84),", "&amp;'Match Entry'!N84&amp;"-"&amp;'Match Entry'!O84,""),"")</f>
        <v>#DIV/0!</v>
      </c>
      <c r="H117" s="12" t="e">
        <f>IF('Match Entry'!$R84="Complete",'Match Entry'!S84,"")</f>
        <v>#DIV/0!</v>
      </c>
      <c r="I117" s="12"/>
      <c r="J117" s="12"/>
      <c r="K117" s="12"/>
      <c r="L117" s="12"/>
      <c r="M117" s="12"/>
      <c r="N117" s="12"/>
      <c r="O117" s="12"/>
    </row>
    <row r="118" spans="1:15" ht="28.5">
      <c r="A118" s="12" t="e">
        <f>IF('Match Entry'!$R85="Complete",'Match Entry'!A85,"")</f>
        <v>#DIV/0!</v>
      </c>
      <c r="B118" s="12" t="e">
        <f>IF('Match Entry'!$R85="Complete",'Match Entry'!B85,"")</f>
        <v>#DIV/0!</v>
      </c>
      <c r="C118" s="12" t="e">
        <f>IF('Match Entry'!$R85="Complete",'Match Entry'!C85,"")</f>
        <v>#DIV/0!</v>
      </c>
      <c r="D118" s="12" t="e">
        <f>IF('Match Entry'!$R85="Complete",'Match Entry'!D85,"")</f>
        <v>#DIV/0!</v>
      </c>
      <c r="E118" s="12" t="e">
        <f>IF('Match Entry'!$R85="Complete",'Match Entry'!P85&amp;"-"&amp;'Match Entry'!Q85,"")</f>
        <v>#DIV/0!</v>
      </c>
      <c r="F118" s="12" t="e">
        <f>IF('Match Entry'!$R85="Complete",'Match Entry'!E85,"")</f>
        <v>#DIV/0!</v>
      </c>
      <c r="G118" s="12" t="e">
        <f>IF('Match Entry'!$R85="Complete",IF(ISNUMBER('Match Entry'!F85),'Match Entry'!F85&amp;"-"&amp;'Match Entry'!G85,"")&amp;IF(ISNUMBER('Match Entry'!H85),", "&amp;'Match Entry'!H85&amp;"-"&amp;'Match Entry'!I85,"")&amp;IF(ISNUMBER('Match Entry'!J85),", "&amp;'Match Entry'!J85&amp;"-"&amp;'Match Entry'!K85,"")&amp;IF(ISNUMBER('Match Entry'!L85),", "&amp;'Match Entry'!L85&amp;"-"&amp;'Match Entry'!M85,"")&amp;IF(ISNUMBER('Match Entry'!N85),", "&amp;'Match Entry'!N85&amp;"-"&amp;'Match Entry'!O85,""),"")</f>
        <v>#DIV/0!</v>
      </c>
      <c r="H118" s="12" t="e">
        <f>IF('Match Entry'!$R85="Complete",'Match Entry'!S85,"")</f>
        <v>#DIV/0!</v>
      </c>
      <c r="I118" s="12"/>
      <c r="J118" s="12"/>
      <c r="K118" s="12"/>
      <c r="L118" s="12"/>
      <c r="M118" s="12"/>
      <c r="N118" s="12"/>
      <c r="O118" s="12"/>
    </row>
    <row r="119" spans="1:15" ht="28.5">
      <c r="A119" s="12" t="e">
        <f>IF('Match Entry'!$R86="Complete",'Match Entry'!A86,"")</f>
        <v>#DIV/0!</v>
      </c>
      <c r="B119" s="12" t="e">
        <f>IF('Match Entry'!$R86="Complete",'Match Entry'!B86,"")</f>
        <v>#DIV/0!</v>
      </c>
      <c r="C119" s="12" t="e">
        <f>IF('Match Entry'!$R86="Complete",'Match Entry'!C86,"")</f>
        <v>#DIV/0!</v>
      </c>
      <c r="D119" s="12" t="e">
        <f>IF('Match Entry'!$R86="Complete",'Match Entry'!D86,"")</f>
        <v>#DIV/0!</v>
      </c>
      <c r="E119" s="12" t="e">
        <f>IF('Match Entry'!$R86="Complete",'Match Entry'!P86&amp;"-"&amp;'Match Entry'!Q86,"")</f>
        <v>#DIV/0!</v>
      </c>
      <c r="F119" s="12" t="e">
        <f>IF('Match Entry'!$R86="Complete",'Match Entry'!E86,"")</f>
        <v>#DIV/0!</v>
      </c>
      <c r="G119" s="12" t="e">
        <f>IF('Match Entry'!$R86="Complete",IF(ISNUMBER('Match Entry'!F86),'Match Entry'!F86&amp;"-"&amp;'Match Entry'!G86,"")&amp;IF(ISNUMBER('Match Entry'!H86),", "&amp;'Match Entry'!H86&amp;"-"&amp;'Match Entry'!I86,"")&amp;IF(ISNUMBER('Match Entry'!J86),", "&amp;'Match Entry'!J86&amp;"-"&amp;'Match Entry'!K86,"")&amp;IF(ISNUMBER('Match Entry'!L86),", "&amp;'Match Entry'!L86&amp;"-"&amp;'Match Entry'!M86,"")&amp;IF(ISNUMBER('Match Entry'!N86),", "&amp;'Match Entry'!N86&amp;"-"&amp;'Match Entry'!O86,""),"")</f>
        <v>#DIV/0!</v>
      </c>
      <c r="H119" s="12" t="e">
        <f>IF('Match Entry'!$R86="Complete",'Match Entry'!S86,"")</f>
        <v>#DIV/0!</v>
      </c>
      <c r="I119" s="12"/>
      <c r="J119" s="12"/>
      <c r="K119" s="12"/>
      <c r="L119" s="12"/>
      <c r="M119" s="12"/>
      <c r="N119" s="12"/>
      <c r="O119" s="12"/>
    </row>
    <row r="120" spans="1:15" ht="28.5">
      <c r="A120" s="12" t="e">
        <f>IF('Match Entry'!$R87="Complete",'Match Entry'!A87,"")</f>
        <v>#DIV/0!</v>
      </c>
      <c r="B120" s="12" t="e">
        <f>IF('Match Entry'!$R87="Complete",'Match Entry'!B87,"")</f>
        <v>#DIV/0!</v>
      </c>
      <c r="C120" s="12" t="e">
        <f>IF('Match Entry'!$R87="Complete",'Match Entry'!C87,"")</f>
        <v>#DIV/0!</v>
      </c>
      <c r="D120" s="12" t="e">
        <f>IF('Match Entry'!$R87="Complete",'Match Entry'!D87,"")</f>
        <v>#DIV/0!</v>
      </c>
      <c r="E120" s="12" t="e">
        <f>IF('Match Entry'!$R87="Complete",'Match Entry'!P87&amp;"-"&amp;'Match Entry'!Q87,"")</f>
        <v>#DIV/0!</v>
      </c>
      <c r="F120" s="12" t="e">
        <f>IF('Match Entry'!$R87="Complete",'Match Entry'!E87,"")</f>
        <v>#DIV/0!</v>
      </c>
      <c r="G120" s="12" t="e">
        <f>IF('Match Entry'!$R87="Complete",IF(ISNUMBER('Match Entry'!F87),'Match Entry'!F87&amp;"-"&amp;'Match Entry'!G87,"")&amp;IF(ISNUMBER('Match Entry'!H87),", "&amp;'Match Entry'!H87&amp;"-"&amp;'Match Entry'!I87,"")&amp;IF(ISNUMBER('Match Entry'!J87),", "&amp;'Match Entry'!J87&amp;"-"&amp;'Match Entry'!K87,"")&amp;IF(ISNUMBER('Match Entry'!L87),", "&amp;'Match Entry'!L87&amp;"-"&amp;'Match Entry'!M87,"")&amp;IF(ISNUMBER('Match Entry'!N87),", "&amp;'Match Entry'!N87&amp;"-"&amp;'Match Entry'!O87,""),"")</f>
        <v>#DIV/0!</v>
      </c>
      <c r="H120" s="12" t="e">
        <f>IF('Match Entry'!$R87="Complete",'Match Entry'!S87,"")</f>
        <v>#DIV/0!</v>
      </c>
      <c r="I120" s="12"/>
      <c r="J120" s="12"/>
      <c r="K120" s="12"/>
      <c r="L120" s="12"/>
      <c r="M120" s="12"/>
      <c r="N120" s="12"/>
      <c r="O120" s="12"/>
    </row>
    <row r="121" spans="1:15" ht="28.5">
      <c r="A121" s="12" t="e">
        <f>IF('Match Entry'!$R88="Complete",'Match Entry'!A88,"")</f>
        <v>#DIV/0!</v>
      </c>
      <c r="B121" s="12" t="e">
        <f>IF('Match Entry'!$R88="Complete",'Match Entry'!B88,"")</f>
        <v>#DIV/0!</v>
      </c>
      <c r="C121" s="12" t="e">
        <f>IF('Match Entry'!$R88="Complete",'Match Entry'!C88,"")</f>
        <v>#DIV/0!</v>
      </c>
      <c r="D121" s="12" t="e">
        <f>IF('Match Entry'!$R88="Complete",'Match Entry'!D88,"")</f>
        <v>#DIV/0!</v>
      </c>
      <c r="E121" s="12" t="e">
        <f>IF('Match Entry'!$R88="Complete",'Match Entry'!P88&amp;"-"&amp;'Match Entry'!Q88,"")</f>
        <v>#DIV/0!</v>
      </c>
      <c r="F121" s="12" t="e">
        <f>IF('Match Entry'!$R88="Complete",'Match Entry'!E88,"")</f>
        <v>#DIV/0!</v>
      </c>
      <c r="G121" s="12" t="e">
        <f>IF('Match Entry'!$R88="Complete",IF(ISNUMBER('Match Entry'!F88),'Match Entry'!F88&amp;"-"&amp;'Match Entry'!G88,"")&amp;IF(ISNUMBER('Match Entry'!H88),", "&amp;'Match Entry'!H88&amp;"-"&amp;'Match Entry'!I88,"")&amp;IF(ISNUMBER('Match Entry'!J88),", "&amp;'Match Entry'!J88&amp;"-"&amp;'Match Entry'!K88,"")&amp;IF(ISNUMBER('Match Entry'!L88),", "&amp;'Match Entry'!L88&amp;"-"&amp;'Match Entry'!M88,"")&amp;IF(ISNUMBER('Match Entry'!N88),", "&amp;'Match Entry'!N88&amp;"-"&amp;'Match Entry'!O88,""),"")</f>
        <v>#DIV/0!</v>
      </c>
      <c r="H121" s="12" t="e">
        <f>IF('Match Entry'!$R88="Complete",'Match Entry'!S88,"")</f>
        <v>#DIV/0!</v>
      </c>
      <c r="I121" s="12"/>
      <c r="J121" s="12"/>
      <c r="K121" s="12"/>
      <c r="L121" s="12"/>
      <c r="M121" s="12"/>
      <c r="N121" s="12"/>
      <c r="O121" s="12"/>
    </row>
    <row r="122" spans="1:15" ht="28.5">
      <c r="A122" s="12" t="e">
        <f>IF('Match Entry'!$R89="Complete",'Match Entry'!A89,"")</f>
        <v>#DIV/0!</v>
      </c>
      <c r="B122" s="12" t="e">
        <f>IF('Match Entry'!$R89="Complete",'Match Entry'!B89,"")</f>
        <v>#DIV/0!</v>
      </c>
      <c r="C122" s="12" t="e">
        <f>IF('Match Entry'!$R89="Complete",'Match Entry'!C89,"")</f>
        <v>#DIV/0!</v>
      </c>
      <c r="D122" s="12" t="e">
        <f>IF('Match Entry'!$R89="Complete",'Match Entry'!D89,"")</f>
        <v>#DIV/0!</v>
      </c>
      <c r="E122" s="12" t="e">
        <f>IF('Match Entry'!$R89="Complete",'Match Entry'!P89&amp;"-"&amp;'Match Entry'!Q89,"")</f>
        <v>#DIV/0!</v>
      </c>
      <c r="F122" s="12" t="e">
        <f>IF('Match Entry'!$R89="Complete",'Match Entry'!E89,"")</f>
        <v>#DIV/0!</v>
      </c>
      <c r="G122" s="12" t="e">
        <f>IF('Match Entry'!$R89="Complete",IF(ISNUMBER('Match Entry'!F89),'Match Entry'!F89&amp;"-"&amp;'Match Entry'!G89,"")&amp;IF(ISNUMBER('Match Entry'!H89),", "&amp;'Match Entry'!H89&amp;"-"&amp;'Match Entry'!I89,"")&amp;IF(ISNUMBER('Match Entry'!J89),", "&amp;'Match Entry'!J89&amp;"-"&amp;'Match Entry'!K89,"")&amp;IF(ISNUMBER('Match Entry'!L89),", "&amp;'Match Entry'!L89&amp;"-"&amp;'Match Entry'!M89,"")&amp;IF(ISNUMBER('Match Entry'!N89),", "&amp;'Match Entry'!N89&amp;"-"&amp;'Match Entry'!O89,""),"")</f>
        <v>#DIV/0!</v>
      </c>
      <c r="H122" s="12" t="e">
        <f>IF('Match Entry'!$R89="Complete",'Match Entry'!S89,"")</f>
        <v>#DIV/0!</v>
      </c>
      <c r="I122" s="12"/>
      <c r="J122" s="12"/>
      <c r="K122" s="12"/>
      <c r="L122" s="12"/>
      <c r="M122" s="12"/>
      <c r="N122" s="12"/>
      <c r="O122" s="12"/>
    </row>
    <row r="123" spans="1:15" ht="28.5">
      <c r="A123" s="12" t="e">
        <f>IF('Match Entry'!$R90="Complete",'Match Entry'!A90,"")</f>
        <v>#DIV/0!</v>
      </c>
      <c r="B123" s="12" t="e">
        <f>IF('Match Entry'!$R90="Complete",'Match Entry'!B90,"")</f>
        <v>#DIV/0!</v>
      </c>
      <c r="C123" s="12" t="e">
        <f>IF('Match Entry'!$R90="Complete",'Match Entry'!C90,"")</f>
        <v>#DIV/0!</v>
      </c>
      <c r="D123" s="12" t="e">
        <f>IF('Match Entry'!$R90="Complete",'Match Entry'!D90,"")</f>
        <v>#DIV/0!</v>
      </c>
      <c r="E123" s="12" t="e">
        <f>IF('Match Entry'!$R90="Complete",'Match Entry'!P90&amp;"-"&amp;'Match Entry'!Q90,"")</f>
        <v>#DIV/0!</v>
      </c>
      <c r="F123" s="12" t="e">
        <f>IF('Match Entry'!$R90="Complete",'Match Entry'!E90,"")</f>
        <v>#DIV/0!</v>
      </c>
      <c r="G123" s="12" t="e">
        <f>IF('Match Entry'!$R90="Complete",IF(ISNUMBER('Match Entry'!F90),'Match Entry'!F90&amp;"-"&amp;'Match Entry'!G90,"")&amp;IF(ISNUMBER('Match Entry'!H90),", "&amp;'Match Entry'!H90&amp;"-"&amp;'Match Entry'!I90,"")&amp;IF(ISNUMBER('Match Entry'!J90),", "&amp;'Match Entry'!J90&amp;"-"&amp;'Match Entry'!K90,"")&amp;IF(ISNUMBER('Match Entry'!L90),", "&amp;'Match Entry'!L90&amp;"-"&amp;'Match Entry'!M90,"")&amp;IF(ISNUMBER('Match Entry'!N90),", "&amp;'Match Entry'!N90&amp;"-"&amp;'Match Entry'!O90,""),"")</f>
        <v>#DIV/0!</v>
      </c>
      <c r="H123" s="12" t="e">
        <f>IF('Match Entry'!$R90="Complete",'Match Entry'!S90,"")</f>
        <v>#DIV/0!</v>
      </c>
      <c r="I123" s="12"/>
      <c r="J123" s="12"/>
      <c r="K123" s="12"/>
      <c r="L123" s="12"/>
      <c r="M123" s="12"/>
      <c r="N123" s="12"/>
      <c r="O123" s="12"/>
    </row>
    <row r="124" spans="1:15" ht="28.5">
      <c r="A124" s="12" t="e">
        <f>IF('Match Entry'!$R91="Complete",'Match Entry'!A91,"")</f>
        <v>#DIV/0!</v>
      </c>
      <c r="B124" s="12" t="e">
        <f>IF('Match Entry'!$R91="Complete",'Match Entry'!B91,"")</f>
        <v>#DIV/0!</v>
      </c>
      <c r="C124" s="12" t="e">
        <f>IF('Match Entry'!$R91="Complete",'Match Entry'!C91,"")</f>
        <v>#DIV/0!</v>
      </c>
      <c r="D124" s="12" t="e">
        <f>IF('Match Entry'!$R91="Complete",'Match Entry'!D91,"")</f>
        <v>#DIV/0!</v>
      </c>
      <c r="E124" s="12" t="e">
        <f>IF('Match Entry'!$R91="Complete",'Match Entry'!P91&amp;"-"&amp;'Match Entry'!Q91,"")</f>
        <v>#DIV/0!</v>
      </c>
      <c r="F124" s="12" t="e">
        <f>IF('Match Entry'!$R91="Complete",'Match Entry'!E91,"")</f>
        <v>#DIV/0!</v>
      </c>
      <c r="G124" s="12" t="e">
        <f>IF('Match Entry'!$R91="Complete",IF(ISNUMBER('Match Entry'!F91),'Match Entry'!F91&amp;"-"&amp;'Match Entry'!G91,"")&amp;IF(ISNUMBER('Match Entry'!H91),", "&amp;'Match Entry'!H91&amp;"-"&amp;'Match Entry'!I91,"")&amp;IF(ISNUMBER('Match Entry'!J91),", "&amp;'Match Entry'!J91&amp;"-"&amp;'Match Entry'!K91,"")&amp;IF(ISNUMBER('Match Entry'!L91),", "&amp;'Match Entry'!L91&amp;"-"&amp;'Match Entry'!M91,"")&amp;IF(ISNUMBER('Match Entry'!N91),", "&amp;'Match Entry'!N91&amp;"-"&amp;'Match Entry'!O91,""),"")</f>
        <v>#DIV/0!</v>
      </c>
      <c r="H124" s="12" t="e">
        <f>IF('Match Entry'!$R91="Complete",'Match Entry'!S91,"")</f>
        <v>#DIV/0!</v>
      </c>
      <c r="I124" s="12"/>
      <c r="J124" s="12"/>
      <c r="K124" s="12"/>
      <c r="L124" s="12"/>
      <c r="M124" s="12"/>
      <c r="N124" s="12"/>
      <c r="O124" s="12"/>
    </row>
    <row r="125" spans="1:15" ht="28.5">
      <c r="A125" s="12" t="e">
        <f>IF('Match Entry'!$R92="Complete",'Match Entry'!A92,"")</f>
        <v>#DIV/0!</v>
      </c>
      <c r="B125" s="12" t="e">
        <f>IF('Match Entry'!$R92="Complete",'Match Entry'!B92,"")</f>
        <v>#DIV/0!</v>
      </c>
      <c r="C125" s="12" t="e">
        <f>IF('Match Entry'!$R92="Complete",'Match Entry'!C92,"")</f>
        <v>#DIV/0!</v>
      </c>
      <c r="D125" s="12" t="e">
        <f>IF('Match Entry'!$R92="Complete",'Match Entry'!D92,"")</f>
        <v>#DIV/0!</v>
      </c>
      <c r="E125" s="12" t="e">
        <f>IF('Match Entry'!$R92="Complete",'Match Entry'!P92&amp;"-"&amp;'Match Entry'!Q92,"")</f>
        <v>#DIV/0!</v>
      </c>
      <c r="F125" s="12" t="e">
        <f>IF('Match Entry'!$R92="Complete",'Match Entry'!E92,"")</f>
        <v>#DIV/0!</v>
      </c>
      <c r="G125" s="12" t="e">
        <f>IF('Match Entry'!$R92="Complete",IF(ISNUMBER('Match Entry'!F92),'Match Entry'!F92&amp;"-"&amp;'Match Entry'!G92,"")&amp;IF(ISNUMBER('Match Entry'!H92),", "&amp;'Match Entry'!H92&amp;"-"&amp;'Match Entry'!I92,"")&amp;IF(ISNUMBER('Match Entry'!J92),", "&amp;'Match Entry'!J92&amp;"-"&amp;'Match Entry'!K92,"")&amp;IF(ISNUMBER('Match Entry'!L92),", "&amp;'Match Entry'!L92&amp;"-"&amp;'Match Entry'!M92,"")&amp;IF(ISNUMBER('Match Entry'!N92),", "&amp;'Match Entry'!N92&amp;"-"&amp;'Match Entry'!O92,""),"")</f>
        <v>#DIV/0!</v>
      </c>
      <c r="H125" s="12" t="e">
        <f>IF('Match Entry'!$R92="Complete",'Match Entry'!S92,"")</f>
        <v>#DIV/0!</v>
      </c>
      <c r="I125" s="12"/>
      <c r="J125" s="12"/>
      <c r="K125" s="12"/>
      <c r="L125" s="12"/>
      <c r="M125" s="12"/>
      <c r="N125" s="12"/>
      <c r="O125" s="12"/>
    </row>
    <row r="126" spans="1:15" ht="28.5">
      <c r="A126" s="12" t="e">
        <f>IF('Match Entry'!$R93="Complete",'Match Entry'!A93,"")</f>
        <v>#DIV/0!</v>
      </c>
      <c r="B126" s="12" t="e">
        <f>IF('Match Entry'!$R93="Complete",'Match Entry'!B93,"")</f>
        <v>#DIV/0!</v>
      </c>
      <c r="C126" s="12" t="e">
        <f>IF('Match Entry'!$R93="Complete",'Match Entry'!C93,"")</f>
        <v>#DIV/0!</v>
      </c>
      <c r="D126" s="12" t="e">
        <f>IF('Match Entry'!$R93="Complete",'Match Entry'!D93,"")</f>
        <v>#DIV/0!</v>
      </c>
      <c r="E126" s="12" t="e">
        <f>IF('Match Entry'!$R93="Complete",'Match Entry'!P93&amp;"-"&amp;'Match Entry'!Q93,"")</f>
        <v>#DIV/0!</v>
      </c>
      <c r="F126" s="12" t="e">
        <f>IF('Match Entry'!$R93="Complete",'Match Entry'!E93,"")</f>
        <v>#DIV/0!</v>
      </c>
      <c r="G126" s="12" t="e">
        <f>IF('Match Entry'!$R93="Complete",IF(ISNUMBER('Match Entry'!F93),'Match Entry'!F93&amp;"-"&amp;'Match Entry'!G93,"")&amp;IF(ISNUMBER('Match Entry'!H93),", "&amp;'Match Entry'!H93&amp;"-"&amp;'Match Entry'!I93,"")&amp;IF(ISNUMBER('Match Entry'!J93),", "&amp;'Match Entry'!J93&amp;"-"&amp;'Match Entry'!K93,"")&amp;IF(ISNUMBER('Match Entry'!L93),", "&amp;'Match Entry'!L93&amp;"-"&amp;'Match Entry'!M93,"")&amp;IF(ISNUMBER('Match Entry'!N93),", "&amp;'Match Entry'!N93&amp;"-"&amp;'Match Entry'!O93,""),"")</f>
        <v>#DIV/0!</v>
      </c>
      <c r="H126" s="12" t="e">
        <f>IF('Match Entry'!$R93="Complete",'Match Entry'!S93,"")</f>
        <v>#DIV/0!</v>
      </c>
      <c r="I126" s="12"/>
      <c r="J126" s="12"/>
      <c r="K126" s="12"/>
      <c r="L126" s="12"/>
      <c r="M126" s="12"/>
      <c r="N126" s="12"/>
      <c r="O126" s="12"/>
    </row>
    <row r="127" spans="1:15" ht="28.5">
      <c r="A127" s="12" t="e">
        <f>IF('Match Entry'!$R94="Complete",'Match Entry'!A94,"")</f>
        <v>#DIV/0!</v>
      </c>
      <c r="B127" s="12" t="e">
        <f>IF('Match Entry'!$R94="Complete",'Match Entry'!B94,"")</f>
        <v>#DIV/0!</v>
      </c>
      <c r="C127" s="12" t="e">
        <f>IF('Match Entry'!$R94="Complete",'Match Entry'!C94,"")</f>
        <v>#DIV/0!</v>
      </c>
      <c r="D127" s="12" t="e">
        <f>IF('Match Entry'!$R94="Complete",'Match Entry'!D94,"")</f>
        <v>#DIV/0!</v>
      </c>
      <c r="E127" s="12" t="e">
        <f>IF('Match Entry'!$R94="Complete",'Match Entry'!P94&amp;"-"&amp;'Match Entry'!Q94,"")</f>
        <v>#DIV/0!</v>
      </c>
      <c r="F127" s="12" t="e">
        <f>IF('Match Entry'!$R94="Complete",'Match Entry'!E94,"")</f>
        <v>#DIV/0!</v>
      </c>
      <c r="G127" s="12" t="e">
        <f>IF('Match Entry'!$R94="Complete",IF(ISNUMBER('Match Entry'!F94),'Match Entry'!F94&amp;"-"&amp;'Match Entry'!G94,"")&amp;IF(ISNUMBER('Match Entry'!H94),", "&amp;'Match Entry'!H94&amp;"-"&amp;'Match Entry'!I94,"")&amp;IF(ISNUMBER('Match Entry'!J94),", "&amp;'Match Entry'!J94&amp;"-"&amp;'Match Entry'!K94,"")&amp;IF(ISNUMBER('Match Entry'!L94),", "&amp;'Match Entry'!L94&amp;"-"&amp;'Match Entry'!M94,"")&amp;IF(ISNUMBER('Match Entry'!N94),", "&amp;'Match Entry'!N94&amp;"-"&amp;'Match Entry'!O94,""),"")</f>
        <v>#DIV/0!</v>
      </c>
      <c r="H127" s="12" t="e">
        <f>IF('Match Entry'!$R94="Complete",'Match Entry'!S94,"")</f>
        <v>#DIV/0!</v>
      </c>
      <c r="I127" s="12"/>
      <c r="J127" s="12"/>
      <c r="K127" s="12"/>
      <c r="L127" s="12"/>
      <c r="M127" s="12"/>
      <c r="N127" s="12"/>
      <c r="O127" s="12"/>
    </row>
    <row r="128" spans="1:15" ht="28.5">
      <c r="A128" s="12" t="e">
        <f>IF('Match Entry'!$R95="Complete",'Match Entry'!A95,"")</f>
        <v>#DIV/0!</v>
      </c>
      <c r="B128" s="12" t="e">
        <f>IF('Match Entry'!$R95="Complete",'Match Entry'!B95,"")</f>
        <v>#DIV/0!</v>
      </c>
      <c r="C128" s="12" t="e">
        <f>IF('Match Entry'!$R95="Complete",'Match Entry'!C95,"")</f>
        <v>#DIV/0!</v>
      </c>
      <c r="D128" s="12" t="e">
        <f>IF('Match Entry'!$R95="Complete",'Match Entry'!D95,"")</f>
        <v>#DIV/0!</v>
      </c>
      <c r="E128" s="12" t="e">
        <f>IF('Match Entry'!$R95="Complete",'Match Entry'!P95&amp;"-"&amp;'Match Entry'!Q95,"")</f>
        <v>#DIV/0!</v>
      </c>
      <c r="F128" s="12" t="e">
        <f>IF('Match Entry'!$R95="Complete",'Match Entry'!E95,"")</f>
        <v>#DIV/0!</v>
      </c>
      <c r="G128" s="12" t="e">
        <f>IF('Match Entry'!$R95="Complete",IF(ISNUMBER('Match Entry'!F95),'Match Entry'!F95&amp;"-"&amp;'Match Entry'!G95,"")&amp;IF(ISNUMBER('Match Entry'!H95),", "&amp;'Match Entry'!H95&amp;"-"&amp;'Match Entry'!I95,"")&amp;IF(ISNUMBER('Match Entry'!J95),", "&amp;'Match Entry'!J95&amp;"-"&amp;'Match Entry'!K95,"")&amp;IF(ISNUMBER('Match Entry'!L95),", "&amp;'Match Entry'!L95&amp;"-"&amp;'Match Entry'!M95,"")&amp;IF(ISNUMBER('Match Entry'!N95),", "&amp;'Match Entry'!N95&amp;"-"&amp;'Match Entry'!O95,""),"")</f>
        <v>#DIV/0!</v>
      </c>
      <c r="H128" s="12" t="e">
        <f>IF('Match Entry'!$R95="Complete",'Match Entry'!S95,"")</f>
        <v>#DIV/0!</v>
      </c>
      <c r="I128" s="12"/>
      <c r="J128" s="12"/>
      <c r="K128" s="12"/>
      <c r="L128" s="12"/>
      <c r="M128" s="12"/>
      <c r="N128" s="12"/>
      <c r="O128" s="12"/>
    </row>
    <row r="129" spans="1:15" ht="28.5">
      <c r="A129" s="12" t="e">
        <f>IF('Match Entry'!$R96="Complete",'Match Entry'!A96,"")</f>
        <v>#DIV/0!</v>
      </c>
      <c r="B129" s="12" t="e">
        <f>IF('Match Entry'!$R96="Complete",'Match Entry'!B96,"")</f>
        <v>#DIV/0!</v>
      </c>
      <c r="C129" s="12" t="e">
        <f>IF('Match Entry'!$R96="Complete",'Match Entry'!C96,"")</f>
        <v>#DIV/0!</v>
      </c>
      <c r="D129" s="12" t="e">
        <f>IF('Match Entry'!$R96="Complete",'Match Entry'!D96,"")</f>
        <v>#DIV/0!</v>
      </c>
      <c r="E129" s="12" t="e">
        <f>IF('Match Entry'!$R96="Complete",'Match Entry'!P96&amp;"-"&amp;'Match Entry'!Q96,"")</f>
        <v>#DIV/0!</v>
      </c>
      <c r="F129" s="12" t="e">
        <f>IF('Match Entry'!$R96="Complete",'Match Entry'!E96,"")</f>
        <v>#DIV/0!</v>
      </c>
      <c r="G129" s="12" t="e">
        <f>IF('Match Entry'!$R96="Complete",IF(ISNUMBER('Match Entry'!F96),'Match Entry'!F96&amp;"-"&amp;'Match Entry'!G96,"")&amp;IF(ISNUMBER('Match Entry'!H96),", "&amp;'Match Entry'!H96&amp;"-"&amp;'Match Entry'!I96,"")&amp;IF(ISNUMBER('Match Entry'!J96),", "&amp;'Match Entry'!J96&amp;"-"&amp;'Match Entry'!K96,"")&amp;IF(ISNUMBER('Match Entry'!L96),", "&amp;'Match Entry'!L96&amp;"-"&amp;'Match Entry'!M96,"")&amp;IF(ISNUMBER('Match Entry'!N96),", "&amp;'Match Entry'!N96&amp;"-"&amp;'Match Entry'!O96,""),"")</f>
        <v>#DIV/0!</v>
      </c>
      <c r="H129" s="12" t="e">
        <f>IF('Match Entry'!$R96="Complete",'Match Entry'!S96,"")</f>
        <v>#DIV/0!</v>
      </c>
      <c r="I129" s="12"/>
      <c r="J129" s="12"/>
      <c r="K129" s="12"/>
      <c r="L129" s="12"/>
      <c r="M129" s="12"/>
      <c r="N129" s="12"/>
      <c r="O129" s="12"/>
    </row>
    <row r="130" spans="1:15" ht="28.5">
      <c r="A130" s="12" t="e">
        <f>IF('Match Entry'!$R97="Complete",'Match Entry'!A97,"")</f>
        <v>#DIV/0!</v>
      </c>
      <c r="B130" s="12" t="e">
        <f>IF('Match Entry'!$R97="Complete",'Match Entry'!B97,"")</f>
        <v>#DIV/0!</v>
      </c>
      <c r="C130" s="12" t="e">
        <f>IF('Match Entry'!$R97="Complete",'Match Entry'!C97,"")</f>
        <v>#DIV/0!</v>
      </c>
      <c r="D130" s="12" t="e">
        <f>IF('Match Entry'!$R97="Complete",'Match Entry'!D97,"")</f>
        <v>#DIV/0!</v>
      </c>
      <c r="E130" s="12" t="e">
        <f>IF('Match Entry'!$R97="Complete",'Match Entry'!P97&amp;"-"&amp;'Match Entry'!Q97,"")</f>
        <v>#DIV/0!</v>
      </c>
      <c r="F130" s="12" t="e">
        <f>IF('Match Entry'!$R97="Complete",'Match Entry'!E97,"")</f>
        <v>#DIV/0!</v>
      </c>
      <c r="G130" s="12" t="e">
        <f>IF('Match Entry'!$R97="Complete",IF(ISNUMBER('Match Entry'!F97),'Match Entry'!F97&amp;"-"&amp;'Match Entry'!G97,"")&amp;IF(ISNUMBER('Match Entry'!H97),", "&amp;'Match Entry'!H97&amp;"-"&amp;'Match Entry'!I97,"")&amp;IF(ISNUMBER('Match Entry'!J97),", "&amp;'Match Entry'!J97&amp;"-"&amp;'Match Entry'!K97,"")&amp;IF(ISNUMBER('Match Entry'!L97),", "&amp;'Match Entry'!L97&amp;"-"&amp;'Match Entry'!M97,"")&amp;IF(ISNUMBER('Match Entry'!N97),", "&amp;'Match Entry'!N97&amp;"-"&amp;'Match Entry'!O97,""),"")</f>
        <v>#DIV/0!</v>
      </c>
      <c r="H130" s="12" t="e">
        <f>IF('Match Entry'!$R97="Complete",'Match Entry'!S97,"")</f>
        <v>#DIV/0!</v>
      </c>
      <c r="I130" s="12"/>
      <c r="J130" s="12"/>
      <c r="K130" s="12"/>
      <c r="L130" s="12"/>
      <c r="M130" s="12"/>
      <c r="N130" s="12"/>
      <c r="O130" s="12"/>
    </row>
    <row r="131" spans="1:15" ht="28.5">
      <c r="A131" s="12" t="e">
        <f>IF('Match Entry'!$R98="Complete",'Match Entry'!A98,"")</f>
        <v>#DIV/0!</v>
      </c>
      <c r="B131" s="12" t="e">
        <f>IF('Match Entry'!$R98="Complete",'Match Entry'!B98,"")</f>
        <v>#DIV/0!</v>
      </c>
      <c r="C131" s="12" t="e">
        <f>IF('Match Entry'!$R98="Complete",'Match Entry'!C98,"")</f>
        <v>#DIV/0!</v>
      </c>
      <c r="D131" s="12" t="e">
        <f>IF('Match Entry'!$R98="Complete",'Match Entry'!D98,"")</f>
        <v>#DIV/0!</v>
      </c>
      <c r="E131" s="12" t="e">
        <f>IF('Match Entry'!$R98="Complete",'Match Entry'!P98&amp;"-"&amp;'Match Entry'!Q98,"")</f>
        <v>#DIV/0!</v>
      </c>
      <c r="F131" s="12" t="e">
        <f>IF('Match Entry'!$R98="Complete",'Match Entry'!E98,"")</f>
        <v>#DIV/0!</v>
      </c>
      <c r="G131" s="12" t="e">
        <f>IF('Match Entry'!$R98="Complete",IF(ISNUMBER('Match Entry'!F98),'Match Entry'!F98&amp;"-"&amp;'Match Entry'!G98,"")&amp;IF(ISNUMBER('Match Entry'!H98),", "&amp;'Match Entry'!H98&amp;"-"&amp;'Match Entry'!I98,"")&amp;IF(ISNUMBER('Match Entry'!J98),", "&amp;'Match Entry'!J98&amp;"-"&amp;'Match Entry'!K98,"")&amp;IF(ISNUMBER('Match Entry'!L98),", "&amp;'Match Entry'!L98&amp;"-"&amp;'Match Entry'!M98,"")&amp;IF(ISNUMBER('Match Entry'!N98),", "&amp;'Match Entry'!N98&amp;"-"&amp;'Match Entry'!O98,""),"")</f>
        <v>#DIV/0!</v>
      </c>
      <c r="H131" s="12" t="e">
        <f>IF('Match Entry'!$R98="Complete",'Match Entry'!S98,"")</f>
        <v>#DIV/0!</v>
      </c>
      <c r="I131" s="12"/>
      <c r="J131" s="12"/>
      <c r="K131" s="12"/>
      <c r="L131" s="12"/>
      <c r="M131" s="12"/>
      <c r="N131" s="12"/>
      <c r="O131" s="12"/>
    </row>
    <row r="132" spans="1:15" ht="28.5">
      <c r="A132" s="12" t="e">
        <f>IF('Match Entry'!$R99="Complete",'Match Entry'!A99,"")</f>
        <v>#DIV/0!</v>
      </c>
      <c r="B132" s="12" t="e">
        <f>IF('Match Entry'!$R99="Complete",'Match Entry'!B99,"")</f>
        <v>#DIV/0!</v>
      </c>
      <c r="C132" s="12" t="e">
        <f>IF('Match Entry'!$R99="Complete",'Match Entry'!C99,"")</f>
        <v>#DIV/0!</v>
      </c>
      <c r="D132" s="12" t="e">
        <f>IF('Match Entry'!$R99="Complete",'Match Entry'!D99,"")</f>
        <v>#DIV/0!</v>
      </c>
      <c r="E132" s="12" t="e">
        <f>IF('Match Entry'!$R99="Complete",'Match Entry'!P99&amp;"-"&amp;'Match Entry'!Q99,"")</f>
        <v>#DIV/0!</v>
      </c>
      <c r="F132" s="12" t="e">
        <f>IF('Match Entry'!$R99="Complete",'Match Entry'!E99,"")</f>
        <v>#DIV/0!</v>
      </c>
      <c r="G132" s="12" t="e">
        <f>IF('Match Entry'!$R99="Complete",IF(ISNUMBER('Match Entry'!F99),'Match Entry'!F99&amp;"-"&amp;'Match Entry'!G99,"")&amp;IF(ISNUMBER('Match Entry'!H99),", "&amp;'Match Entry'!H99&amp;"-"&amp;'Match Entry'!I99,"")&amp;IF(ISNUMBER('Match Entry'!J99),", "&amp;'Match Entry'!J99&amp;"-"&amp;'Match Entry'!K99,"")&amp;IF(ISNUMBER('Match Entry'!L99),", "&amp;'Match Entry'!L99&amp;"-"&amp;'Match Entry'!M99,"")&amp;IF(ISNUMBER('Match Entry'!N99),", "&amp;'Match Entry'!N99&amp;"-"&amp;'Match Entry'!O99,""),"")</f>
        <v>#DIV/0!</v>
      </c>
      <c r="H132" s="12" t="e">
        <f>IF('Match Entry'!$R99="Complete",'Match Entry'!S99,"")</f>
        <v>#DIV/0!</v>
      </c>
      <c r="I132" s="12"/>
      <c r="J132" s="12"/>
      <c r="K132" s="12"/>
      <c r="L132" s="12"/>
      <c r="M132" s="12"/>
      <c r="N132" s="12"/>
      <c r="O132" s="12"/>
    </row>
    <row r="133" spans="1:15" ht="28.5">
      <c r="A133" s="12" t="e">
        <f>IF('Match Entry'!$R100="Complete",'Match Entry'!A100,"")</f>
        <v>#DIV/0!</v>
      </c>
      <c r="B133" s="12" t="e">
        <f>IF('Match Entry'!$R100="Complete",'Match Entry'!B100,"")</f>
        <v>#DIV/0!</v>
      </c>
      <c r="C133" s="12" t="e">
        <f>IF('Match Entry'!$R100="Complete",'Match Entry'!C100,"")</f>
        <v>#DIV/0!</v>
      </c>
      <c r="D133" s="12" t="e">
        <f>IF('Match Entry'!$R100="Complete",'Match Entry'!D100,"")</f>
        <v>#DIV/0!</v>
      </c>
      <c r="E133" s="12" t="e">
        <f>IF('Match Entry'!$R100="Complete",'Match Entry'!P100&amp;"-"&amp;'Match Entry'!Q100,"")</f>
        <v>#DIV/0!</v>
      </c>
      <c r="F133" s="12" t="e">
        <f>IF('Match Entry'!$R100="Complete",'Match Entry'!E100,"")</f>
        <v>#DIV/0!</v>
      </c>
      <c r="G133" s="12" t="e">
        <f>IF('Match Entry'!$R100="Complete",IF(ISNUMBER('Match Entry'!F100),'Match Entry'!F100&amp;"-"&amp;'Match Entry'!G100,"")&amp;IF(ISNUMBER('Match Entry'!H100),", "&amp;'Match Entry'!H100&amp;"-"&amp;'Match Entry'!I100,"")&amp;IF(ISNUMBER('Match Entry'!J100),", "&amp;'Match Entry'!J100&amp;"-"&amp;'Match Entry'!K100,"")&amp;IF(ISNUMBER('Match Entry'!L100),", "&amp;'Match Entry'!L100&amp;"-"&amp;'Match Entry'!M100,"")&amp;IF(ISNUMBER('Match Entry'!N100),", "&amp;'Match Entry'!N100&amp;"-"&amp;'Match Entry'!O100,""),"")</f>
        <v>#DIV/0!</v>
      </c>
      <c r="H133" s="12" t="e">
        <f>IF('Match Entry'!$R100="Complete",'Match Entry'!S100,"")</f>
        <v>#DIV/0!</v>
      </c>
      <c r="I133" s="12"/>
      <c r="J133" s="12"/>
      <c r="K133" s="12"/>
      <c r="L133" s="12"/>
      <c r="M133" s="12"/>
      <c r="N133" s="12"/>
      <c r="O133" s="12"/>
    </row>
    <row r="134" spans="1:15" ht="28.5">
      <c r="A134" s="12" t="e">
        <f>IF('Match Entry'!$R101="Complete",'Match Entry'!A101,"")</f>
        <v>#DIV/0!</v>
      </c>
      <c r="B134" s="12" t="e">
        <f>IF('Match Entry'!$R101="Complete",'Match Entry'!B101,"")</f>
        <v>#DIV/0!</v>
      </c>
      <c r="C134" s="12" t="e">
        <f>IF('Match Entry'!$R101="Complete",'Match Entry'!C101,"")</f>
        <v>#DIV/0!</v>
      </c>
      <c r="D134" s="12" t="e">
        <f>IF('Match Entry'!$R101="Complete",'Match Entry'!D101,"")</f>
        <v>#DIV/0!</v>
      </c>
      <c r="E134" s="12" t="e">
        <f>IF('Match Entry'!$R101="Complete",'Match Entry'!P101&amp;"-"&amp;'Match Entry'!Q101,"")</f>
        <v>#DIV/0!</v>
      </c>
      <c r="F134" s="12" t="e">
        <f>IF('Match Entry'!$R101="Complete",'Match Entry'!E101,"")</f>
        <v>#DIV/0!</v>
      </c>
      <c r="G134" s="12" t="e">
        <f>IF('Match Entry'!$R101="Complete",IF(ISNUMBER('Match Entry'!F101),'Match Entry'!F101&amp;"-"&amp;'Match Entry'!G101,"")&amp;IF(ISNUMBER('Match Entry'!H101),", "&amp;'Match Entry'!H101&amp;"-"&amp;'Match Entry'!I101,"")&amp;IF(ISNUMBER('Match Entry'!J101),", "&amp;'Match Entry'!J101&amp;"-"&amp;'Match Entry'!K101,"")&amp;IF(ISNUMBER('Match Entry'!L101),", "&amp;'Match Entry'!L101&amp;"-"&amp;'Match Entry'!M101,"")&amp;IF(ISNUMBER('Match Entry'!N101),", "&amp;'Match Entry'!N101&amp;"-"&amp;'Match Entry'!O101,""),"")</f>
        <v>#DIV/0!</v>
      </c>
      <c r="H134" s="12" t="e">
        <f>IF('Match Entry'!$R101="Complete",'Match Entry'!S101,"")</f>
        <v>#DIV/0!</v>
      </c>
      <c r="I134" s="12"/>
      <c r="J134" s="12"/>
      <c r="K134" s="12"/>
      <c r="L134" s="12"/>
      <c r="M134" s="12"/>
      <c r="N134" s="12"/>
      <c r="O134" s="12"/>
    </row>
    <row r="135" spans="1:15" ht="28.5">
      <c r="A135" s="12" t="e">
        <f>IF('Match Entry'!$R102="Complete",'Match Entry'!A102,"")</f>
        <v>#DIV/0!</v>
      </c>
      <c r="B135" s="12" t="e">
        <f>IF('Match Entry'!$R102="Complete",'Match Entry'!B102,"")</f>
        <v>#DIV/0!</v>
      </c>
      <c r="C135" s="12" t="e">
        <f>IF('Match Entry'!$R102="Complete",'Match Entry'!C102,"")</f>
        <v>#DIV/0!</v>
      </c>
      <c r="D135" s="12" t="e">
        <f>IF('Match Entry'!$R102="Complete",'Match Entry'!D102,"")</f>
        <v>#DIV/0!</v>
      </c>
      <c r="E135" s="12" t="e">
        <f>IF('Match Entry'!$R102="Complete",'Match Entry'!P102&amp;"-"&amp;'Match Entry'!Q102,"")</f>
        <v>#DIV/0!</v>
      </c>
      <c r="F135" s="12" t="e">
        <f>IF('Match Entry'!$R102="Complete",'Match Entry'!E102,"")</f>
        <v>#DIV/0!</v>
      </c>
      <c r="G135" s="12" t="e">
        <f>IF('Match Entry'!$R102="Complete",IF(ISNUMBER('Match Entry'!F102),'Match Entry'!F102&amp;"-"&amp;'Match Entry'!G102,"")&amp;IF(ISNUMBER('Match Entry'!H102),", "&amp;'Match Entry'!H102&amp;"-"&amp;'Match Entry'!I102,"")&amp;IF(ISNUMBER('Match Entry'!J102),", "&amp;'Match Entry'!J102&amp;"-"&amp;'Match Entry'!K102,"")&amp;IF(ISNUMBER('Match Entry'!L102),", "&amp;'Match Entry'!L102&amp;"-"&amp;'Match Entry'!M102,"")&amp;IF(ISNUMBER('Match Entry'!N102),", "&amp;'Match Entry'!N102&amp;"-"&amp;'Match Entry'!O102,""),"")</f>
        <v>#DIV/0!</v>
      </c>
      <c r="H135" s="12" t="e">
        <f>IF('Match Entry'!$R102="Complete",'Match Entry'!S102,"")</f>
        <v>#DIV/0!</v>
      </c>
      <c r="I135" s="12"/>
      <c r="J135" s="12"/>
      <c r="K135" s="12"/>
      <c r="L135" s="12"/>
      <c r="M135" s="12"/>
      <c r="N135" s="12"/>
      <c r="O135" s="12"/>
    </row>
    <row r="136" spans="1:15" ht="28.5">
      <c r="A136" s="12" t="e">
        <f>IF('Match Entry'!$R103="Complete",'Match Entry'!A103,"")</f>
        <v>#DIV/0!</v>
      </c>
      <c r="B136" s="12" t="e">
        <f>IF('Match Entry'!$R103="Complete",'Match Entry'!B103,"")</f>
        <v>#DIV/0!</v>
      </c>
      <c r="C136" s="12" t="e">
        <f>IF('Match Entry'!$R103="Complete",'Match Entry'!C103,"")</f>
        <v>#DIV/0!</v>
      </c>
      <c r="D136" s="12" t="e">
        <f>IF('Match Entry'!$R103="Complete",'Match Entry'!D103,"")</f>
        <v>#DIV/0!</v>
      </c>
      <c r="E136" s="12" t="e">
        <f>IF('Match Entry'!$R103="Complete",'Match Entry'!P103&amp;"-"&amp;'Match Entry'!Q103,"")</f>
        <v>#DIV/0!</v>
      </c>
      <c r="F136" s="12" t="e">
        <f>IF('Match Entry'!$R103="Complete",'Match Entry'!E103,"")</f>
        <v>#DIV/0!</v>
      </c>
      <c r="G136" s="12" t="e">
        <f>IF('Match Entry'!$R103="Complete",IF(ISNUMBER('Match Entry'!F103),'Match Entry'!F103&amp;"-"&amp;'Match Entry'!G103,"")&amp;IF(ISNUMBER('Match Entry'!H103),", "&amp;'Match Entry'!H103&amp;"-"&amp;'Match Entry'!I103,"")&amp;IF(ISNUMBER('Match Entry'!J103),", "&amp;'Match Entry'!J103&amp;"-"&amp;'Match Entry'!K103,"")&amp;IF(ISNUMBER('Match Entry'!L103),", "&amp;'Match Entry'!L103&amp;"-"&amp;'Match Entry'!M103,"")&amp;IF(ISNUMBER('Match Entry'!N103),", "&amp;'Match Entry'!N103&amp;"-"&amp;'Match Entry'!O103,""),"")</f>
        <v>#DIV/0!</v>
      </c>
      <c r="H136" s="12" t="e">
        <f>IF('Match Entry'!$R103="Complete",'Match Entry'!S103,"")</f>
        <v>#DIV/0!</v>
      </c>
      <c r="I136" s="12"/>
      <c r="J136" s="12"/>
      <c r="K136" s="12"/>
      <c r="L136" s="12"/>
      <c r="M136" s="12"/>
      <c r="N136" s="12"/>
      <c r="O136" s="12"/>
    </row>
    <row r="137" spans="1:15" ht="28.5">
      <c r="A137" s="12" t="e">
        <f>IF('Match Entry'!$R104="Complete",'Match Entry'!A104,"")</f>
        <v>#DIV/0!</v>
      </c>
      <c r="B137" s="12" t="e">
        <f>IF('Match Entry'!$R104="Complete",'Match Entry'!B104,"")</f>
        <v>#DIV/0!</v>
      </c>
      <c r="C137" s="12" t="e">
        <f>IF('Match Entry'!$R104="Complete",'Match Entry'!C104,"")</f>
        <v>#DIV/0!</v>
      </c>
      <c r="D137" s="12" t="e">
        <f>IF('Match Entry'!$R104="Complete",'Match Entry'!D104,"")</f>
        <v>#DIV/0!</v>
      </c>
      <c r="E137" s="12" t="e">
        <f>IF('Match Entry'!$R104="Complete",'Match Entry'!P104&amp;"-"&amp;'Match Entry'!Q104,"")</f>
        <v>#DIV/0!</v>
      </c>
      <c r="F137" s="12" t="e">
        <f>IF('Match Entry'!$R104="Complete",'Match Entry'!E104,"")</f>
        <v>#DIV/0!</v>
      </c>
      <c r="G137" s="12" t="e">
        <f>IF('Match Entry'!$R104="Complete",IF(ISNUMBER('Match Entry'!F104),'Match Entry'!F104&amp;"-"&amp;'Match Entry'!G104,"")&amp;IF(ISNUMBER('Match Entry'!H104),", "&amp;'Match Entry'!H104&amp;"-"&amp;'Match Entry'!I104,"")&amp;IF(ISNUMBER('Match Entry'!J104),", "&amp;'Match Entry'!J104&amp;"-"&amp;'Match Entry'!K104,"")&amp;IF(ISNUMBER('Match Entry'!L104),", "&amp;'Match Entry'!L104&amp;"-"&amp;'Match Entry'!M104,"")&amp;IF(ISNUMBER('Match Entry'!N104),", "&amp;'Match Entry'!N104&amp;"-"&amp;'Match Entry'!O104,""),"")</f>
        <v>#DIV/0!</v>
      </c>
      <c r="H137" s="12" t="e">
        <f>IF('Match Entry'!$R104="Complete",'Match Entry'!S104,"")</f>
        <v>#DIV/0!</v>
      </c>
      <c r="I137" s="12"/>
      <c r="J137" s="12"/>
      <c r="K137" s="12"/>
      <c r="L137" s="12"/>
      <c r="M137" s="12"/>
      <c r="N137" s="12"/>
      <c r="O137" s="12"/>
    </row>
    <row r="138" spans="1:15" ht="28.5">
      <c r="A138" s="12" t="e">
        <f>IF('Match Entry'!$R105="Complete",'Match Entry'!A105,"")</f>
        <v>#DIV/0!</v>
      </c>
      <c r="B138" s="12" t="e">
        <f>IF('Match Entry'!$R105="Complete",'Match Entry'!B105,"")</f>
        <v>#DIV/0!</v>
      </c>
      <c r="C138" s="12" t="e">
        <f>IF('Match Entry'!$R105="Complete",'Match Entry'!C105,"")</f>
        <v>#DIV/0!</v>
      </c>
      <c r="D138" s="12" t="e">
        <f>IF('Match Entry'!$R105="Complete",'Match Entry'!D105,"")</f>
        <v>#DIV/0!</v>
      </c>
      <c r="E138" s="12" t="e">
        <f>IF('Match Entry'!$R105="Complete",'Match Entry'!P105&amp;"-"&amp;'Match Entry'!Q105,"")</f>
        <v>#DIV/0!</v>
      </c>
      <c r="F138" s="12" t="e">
        <f>IF('Match Entry'!$R105="Complete",'Match Entry'!E105,"")</f>
        <v>#DIV/0!</v>
      </c>
      <c r="G138" s="12" t="e">
        <f>IF('Match Entry'!$R105="Complete",IF(ISNUMBER('Match Entry'!F105),'Match Entry'!F105&amp;"-"&amp;'Match Entry'!G105,"")&amp;IF(ISNUMBER('Match Entry'!H105),", "&amp;'Match Entry'!H105&amp;"-"&amp;'Match Entry'!I105,"")&amp;IF(ISNUMBER('Match Entry'!J105),", "&amp;'Match Entry'!J105&amp;"-"&amp;'Match Entry'!K105,"")&amp;IF(ISNUMBER('Match Entry'!L105),", "&amp;'Match Entry'!L105&amp;"-"&amp;'Match Entry'!M105,"")&amp;IF(ISNUMBER('Match Entry'!N105),", "&amp;'Match Entry'!N105&amp;"-"&amp;'Match Entry'!O105,""),"")</f>
        <v>#DIV/0!</v>
      </c>
      <c r="H138" s="12" t="e">
        <f>IF('Match Entry'!$R105="Complete",'Match Entry'!S105,"")</f>
        <v>#DIV/0!</v>
      </c>
      <c r="I138" s="12"/>
      <c r="J138" s="12"/>
      <c r="K138" s="12"/>
      <c r="L138" s="12"/>
      <c r="M138" s="12"/>
      <c r="N138" s="12"/>
      <c r="O138" s="12"/>
    </row>
    <row r="139" spans="1:15" ht="28.5">
      <c r="A139" s="12" t="e">
        <f>IF('Match Entry'!$R106="Complete",'Match Entry'!A106,"")</f>
        <v>#DIV/0!</v>
      </c>
      <c r="B139" s="12" t="e">
        <f>IF('Match Entry'!$R106="Complete",'Match Entry'!B106,"")</f>
        <v>#DIV/0!</v>
      </c>
      <c r="C139" s="12" t="e">
        <f>IF('Match Entry'!$R106="Complete",'Match Entry'!C106,"")</f>
        <v>#DIV/0!</v>
      </c>
      <c r="D139" s="12" t="e">
        <f>IF('Match Entry'!$R106="Complete",'Match Entry'!D106,"")</f>
        <v>#DIV/0!</v>
      </c>
      <c r="E139" s="12" t="e">
        <f>IF('Match Entry'!$R106="Complete",'Match Entry'!P106&amp;"-"&amp;'Match Entry'!Q106,"")</f>
        <v>#DIV/0!</v>
      </c>
      <c r="F139" s="12" t="e">
        <f>IF('Match Entry'!$R106="Complete",'Match Entry'!E106,"")</f>
        <v>#DIV/0!</v>
      </c>
      <c r="G139" s="12" t="e">
        <f>IF('Match Entry'!$R106="Complete",IF(ISNUMBER('Match Entry'!F106),'Match Entry'!F106&amp;"-"&amp;'Match Entry'!G106,"")&amp;IF(ISNUMBER('Match Entry'!H106),", "&amp;'Match Entry'!H106&amp;"-"&amp;'Match Entry'!I106,"")&amp;IF(ISNUMBER('Match Entry'!J106),", "&amp;'Match Entry'!J106&amp;"-"&amp;'Match Entry'!K106,"")&amp;IF(ISNUMBER('Match Entry'!L106),", "&amp;'Match Entry'!L106&amp;"-"&amp;'Match Entry'!M106,"")&amp;IF(ISNUMBER('Match Entry'!N106),", "&amp;'Match Entry'!N106&amp;"-"&amp;'Match Entry'!O106,""),"")</f>
        <v>#DIV/0!</v>
      </c>
      <c r="H139" s="12" t="e">
        <f>IF('Match Entry'!$R106="Complete",'Match Entry'!S106,"")</f>
        <v>#DIV/0!</v>
      </c>
      <c r="I139" s="12"/>
      <c r="J139" s="12"/>
      <c r="K139" s="12"/>
      <c r="L139" s="12"/>
      <c r="M139" s="12"/>
      <c r="N139" s="12"/>
      <c r="O139" s="12"/>
    </row>
    <row r="140" spans="1:15" ht="28.5">
      <c r="A140" s="12" t="e">
        <f>IF('Match Entry'!$R107="Complete",'Match Entry'!A107,"")</f>
        <v>#DIV/0!</v>
      </c>
      <c r="B140" s="12" t="e">
        <f>IF('Match Entry'!$R107="Complete",'Match Entry'!B107,"")</f>
        <v>#DIV/0!</v>
      </c>
      <c r="C140" s="12" t="e">
        <f>IF('Match Entry'!$R107="Complete",'Match Entry'!C107,"")</f>
        <v>#DIV/0!</v>
      </c>
      <c r="D140" s="12" t="e">
        <f>IF('Match Entry'!$R107="Complete",'Match Entry'!D107,"")</f>
        <v>#DIV/0!</v>
      </c>
      <c r="E140" s="12" t="e">
        <f>IF('Match Entry'!$R107="Complete",'Match Entry'!P107&amp;"-"&amp;'Match Entry'!Q107,"")</f>
        <v>#DIV/0!</v>
      </c>
      <c r="F140" s="12" t="e">
        <f>IF('Match Entry'!$R107="Complete",'Match Entry'!E107,"")</f>
        <v>#DIV/0!</v>
      </c>
      <c r="G140" s="12" t="e">
        <f>IF('Match Entry'!$R107="Complete",IF(ISNUMBER('Match Entry'!F107),'Match Entry'!F107&amp;"-"&amp;'Match Entry'!G107,"")&amp;IF(ISNUMBER('Match Entry'!H107),", "&amp;'Match Entry'!H107&amp;"-"&amp;'Match Entry'!I107,"")&amp;IF(ISNUMBER('Match Entry'!J107),", "&amp;'Match Entry'!J107&amp;"-"&amp;'Match Entry'!K107,"")&amp;IF(ISNUMBER('Match Entry'!L107),", "&amp;'Match Entry'!L107&amp;"-"&amp;'Match Entry'!M107,"")&amp;IF(ISNUMBER('Match Entry'!N107),", "&amp;'Match Entry'!N107&amp;"-"&amp;'Match Entry'!O107,""),"")</f>
        <v>#DIV/0!</v>
      </c>
      <c r="H140" s="12" t="e">
        <f>IF('Match Entry'!$R107="Complete",'Match Entry'!S107,"")</f>
        <v>#DIV/0!</v>
      </c>
      <c r="I140" s="12"/>
      <c r="J140" s="12"/>
      <c r="K140" s="12"/>
      <c r="L140" s="12"/>
      <c r="M140" s="12"/>
      <c r="N140" s="12"/>
      <c r="O140" s="12"/>
    </row>
    <row r="141" spans="1:15" ht="28.5">
      <c r="A141" s="12" t="e">
        <f>IF('Match Entry'!$R108="Complete",'Match Entry'!A108,"")</f>
        <v>#DIV/0!</v>
      </c>
      <c r="B141" s="12" t="e">
        <f>IF('Match Entry'!$R108="Complete",'Match Entry'!B108,"")</f>
        <v>#DIV/0!</v>
      </c>
      <c r="C141" s="12" t="e">
        <f>IF('Match Entry'!$R108="Complete",'Match Entry'!C108,"")</f>
        <v>#DIV/0!</v>
      </c>
      <c r="D141" s="12" t="e">
        <f>IF('Match Entry'!$R108="Complete",'Match Entry'!D108,"")</f>
        <v>#DIV/0!</v>
      </c>
      <c r="E141" s="12" t="e">
        <f>IF('Match Entry'!$R108="Complete",'Match Entry'!P108&amp;"-"&amp;'Match Entry'!Q108,"")</f>
        <v>#DIV/0!</v>
      </c>
      <c r="F141" s="12" t="e">
        <f>IF('Match Entry'!$R108="Complete",'Match Entry'!E108,"")</f>
        <v>#DIV/0!</v>
      </c>
      <c r="G141" s="12" t="e">
        <f>IF('Match Entry'!$R108="Complete",IF(ISNUMBER('Match Entry'!F108),'Match Entry'!F108&amp;"-"&amp;'Match Entry'!G108,"")&amp;IF(ISNUMBER('Match Entry'!H108),", "&amp;'Match Entry'!H108&amp;"-"&amp;'Match Entry'!I108,"")&amp;IF(ISNUMBER('Match Entry'!J108),", "&amp;'Match Entry'!J108&amp;"-"&amp;'Match Entry'!K108,"")&amp;IF(ISNUMBER('Match Entry'!L108),", "&amp;'Match Entry'!L108&amp;"-"&amp;'Match Entry'!M108,"")&amp;IF(ISNUMBER('Match Entry'!N108),", "&amp;'Match Entry'!N108&amp;"-"&amp;'Match Entry'!O108,""),"")</f>
        <v>#DIV/0!</v>
      </c>
      <c r="H141" s="12" t="e">
        <f>IF('Match Entry'!$R108="Complete",'Match Entry'!S108,"")</f>
        <v>#DIV/0!</v>
      </c>
      <c r="I141" s="12"/>
      <c r="J141" s="12"/>
      <c r="K141" s="12"/>
      <c r="L141" s="12"/>
      <c r="M141" s="12"/>
      <c r="N141" s="12"/>
      <c r="O141" s="12"/>
    </row>
    <row r="142" spans="1:15" ht="28.5">
      <c r="A142" s="12" t="e">
        <f>IF('Match Entry'!$R109="Complete",'Match Entry'!A109,"")</f>
        <v>#DIV/0!</v>
      </c>
      <c r="B142" s="12" t="e">
        <f>IF('Match Entry'!$R109="Complete",'Match Entry'!B109,"")</f>
        <v>#DIV/0!</v>
      </c>
      <c r="C142" s="12" t="e">
        <f>IF('Match Entry'!$R109="Complete",'Match Entry'!C109,"")</f>
        <v>#DIV/0!</v>
      </c>
      <c r="D142" s="12" t="e">
        <f>IF('Match Entry'!$R109="Complete",'Match Entry'!D109,"")</f>
        <v>#DIV/0!</v>
      </c>
      <c r="E142" s="12" t="e">
        <f>IF('Match Entry'!$R109="Complete",'Match Entry'!P109&amp;"-"&amp;'Match Entry'!Q109,"")</f>
        <v>#DIV/0!</v>
      </c>
      <c r="F142" s="12" t="e">
        <f>IF('Match Entry'!$R109="Complete",'Match Entry'!E109,"")</f>
        <v>#DIV/0!</v>
      </c>
      <c r="G142" s="12" t="e">
        <f>IF('Match Entry'!$R109="Complete",IF(ISNUMBER('Match Entry'!F109),'Match Entry'!F109&amp;"-"&amp;'Match Entry'!G109,"")&amp;IF(ISNUMBER('Match Entry'!H109),", "&amp;'Match Entry'!H109&amp;"-"&amp;'Match Entry'!I109,"")&amp;IF(ISNUMBER('Match Entry'!J109),", "&amp;'Match Entry'!J109&amp;"-"&amp;'Match Entry'!K109,"")&amp;IF(ISNUMBER('Match Entry'!L109),", "&amp;'Match Entry'!L109&amp;"-"&amp;'Match Entry'!M109,"")&amp;IF(ISNUMBER('Match Entry'!N109),", "&amp;'Match Entry'!N109&amp;"-"&amp;'Match Entry'!O109,""),"")</f>
        <v>#DIV/0!</v>
      </c>
      <c r="H142" s="12" t="e">
        <f>IF('Match Entry'!$R109="Complete",'Match Entry'!S109,"")</f>
        <v>#DIV/0!</v>
      </c>
      <c r="I142" s="12"/>
      <c r="J142" s="12"/>
      <c r="K142" s="12"/>
      <c r="L142" s="12"/>
      <c r="M142" s="12"/>
      <c r="N142" s="12"/>
      <c r="O142" s="12"/>
    </row>
    <row r="143" spans="1:15" ht="28.5">
      <c r="A143" s="12" t="e">
        <f>IF('Match Entry'!$R110="Complete",'Match Entry'!A110,"")</f>
        <v>#DIV/0!</v>
      </c>
      <c r="B143" s="12" t="e">
        <f>IF('Match Entry'!$R110="Complete",'Match Entry'!B110,"")</f>
        <v>#DIV/0!</v>
      </c>
      <c r="C143" s="12" t="e">
        <f>IF('Match Entry'!$R110="Complete",'Match Entry'!C110,"")</f>
        <v>#DIV/0!</v>
      </c>
      <c r="D143" s="12" t="e">
        <f>IF('Match Entry'!$R110="Complete",'Match Entry'!D110,"")</f>
        <v>#DIV/0!</v>
      </c>
      <c r="E143" s="12" t="e">
        <f>IF('Match Entry'!$R110="Complete",'Match Entry'!P110&amp;"-"&amp;'Match Entry'!Q110,"")</f>
        <v>#DIV/0!</v>
      </c>
      <c r="F143" s="12" t="e">
        <f>IF('Match Entry'!$R110="Complete",'Match Entry'!E110,"")</f>
        <v>#DIV/0!</v>
      </c>
      <c r="G143" s="12" t="e">
        <f>IF('Match Entry'!$R110="Complete",IF(ISNUMBER('Match Entry'!F110),'Match Entry'!F110&amp;"-"&amp;'Match Entry'!G110,"")&amp;IF(ISNUMBER('Match Entry'!H110),", "&amp;'Match Entry'!H110&amp;"-"&amp;'Match Entry'!I110,"")&amp;IF(ISNUMBER('Match Entry'!J110),", "&amp;'Match Entry'!J110&amp;"-"&amp;'Match Entry'!K110,"")&amp;IF(ISNUMBER('Match Entry'!L110),", "&amp;'Match Entry'!L110&amp;"-"&amp;'Match Entry'!M110,"")&amp;IF(ISNUMBER('Match Entry'!N110),", "&amp;'Match Entry'!N110&amp;"-"&amp;'Match Entry'!O110,""),"")</f>
        <v>#DIV/0!</v>
      </c>
      <c r="H143" s="12" t="e">
        <f>IF('Match Entry'!$R110="Complete",'Match Entry'!S110,"")</f>
        <v>#DIV/0!</v>
      </c>
      <c r="I143" s="12"/>
      <c r="J143" s="12"/>
      <c r="K143" s="12"/>
      <c r="L143" s="12"/>
      <c r="M143" s="12"/>
      <c r="N143" s="12"/>
      <c r="O143" s="12"/>
    </row>
    <row r="144" spans="1:15" ht="28.5">
      <c r="A144" s="12" t="e">
        <f>IF('Match Entry'!$R111="Complete",'Match Entry'!A111,"")</f>
        <v>#DIV/0!</v>
      </c>
      <c r="B144" s="12" t="e">
        <f>IF('Match Entry'!$R111="Complete",'Match Entry'!B111,"")</f>
        <v>#DIV/0!</v>
      </c>
      <c r="C144" s="12" t="e">
        <f>IF('Match Entry'!$R111="Complete",'Match Entry'!C111,"")</f>
        <v>#DIV/0!</v>
      </c>
      <c r="D144" s="12" t="e">
        <f>IF('Match Entry'!$R111="Complete",'Match Entry'!D111,"")</f>
        <v>#DIV/0!</v>
      </c>
      <c r="E144" s="12" t="e">
        <f>IF('Match Entry'!$R111="Complete",'Match Entry'!P111&amp;"-"&amp;'Match Entry'!Q111,"")</f>
        <v>#DIV/0!</v>
      </c>
      <c r="F144" s="12" t="e">
        <f>IF('Match Entry'!$R111="Complete",'Match Entry'!E111,"")</f>
        <v>#DIV/0!</v>
      </c>
      <c r="G144" s="12" t="e">
        <f>IF('Match Entry'!$R111="Complete",IF(ISNUMBER('Match Entry'!F111),'Match Entry'!F111&amp;"-"&amp;'Match Entry'!G111,"")&amp;IF(ISNUMBER('Match Entry'!H111),", "&amp;'Match Entry'!H111&amp;"-"&amp;'Match Entry'!I111,"")&amp;IF(ISNUMBER('Match Entry'!J111),", "&amp;'Match Entry'!J111&amp;"-"&amp;'Match Entry'!K111,"")&amp;IF(ISNUMBER('Match Entry'!L111),", "&amp;'Match Entry'!L111&amp;"-"&amp;'Match Entry'!M111,"")&amp;IF(ISNUMBER('Match Entry'!N111),", "&amp;'Match Entry'!N111&amp;"-"&amp;'Match Entry'!O111,""),"")</f>
        <v>#DIV/0!</v>
      </c>
      <c r="H144" s="12" t="e">
        <f>IF('Match Entry'!$R111="Complete",'Match Entry'!S111,"")</f>
        <v>#DIV/0!</v>
      </c>
      <c r="I144" s="12"/>
      <c r="J144" s="12"/>
      <c r="K144" s="12"/>
      <c r="L144" s="12"/>
      <c r="M144" s="12"/>
      <c r="N144" s="12"/>
      <c r="O144" s="12"/>
    </row>
    <row r="145" spans="1:15" ht="28.5">
      <c r="A145" s="12" t="e">
        <f>IF('Match Entry'!$R112="Complete",'Match Entry'!A112,"")</f>
        <v>#DIV/0!</v>
      </c>
      <c r="B145" s="12" t="e">
        <f>IF('Match Entry'!$R112="Complete",'Match Entry'!B112,"")</f>
        <v>#DIV/0!</v>
      </c>
      <c r="C145" s="12" t="e">
        <f>IF('Match Entry'!$R112="Complete",'Match Entry'!C112,"")</f>
        <v>#DIV/0!</v>
      </c>
      <c r="D145" s="12" t="e">
        <f>IF('Match Entry'!$R112="Complete",'Match Entry'!D112,"")</f>
        <v>#DIV/0!</v>
      </c>
      <c r="E145" s="12" t="e">
        <f>IF('Match Entry'!$R112="Complete",'Match Entry'!P112&amp;"-"&amp;'Match Entry'!Q112,"")</f>
        <v>#DIV/0!</v>
      </c>
      <c r="F145" s="12" t="e">
        <f>IF('Match Entry'!$R112="Complete",'Match Entry'!E112,"")</f>
        <v>#DIV/0!</v>
      </c>
      <c r="G145" s="12" t="e">
        <f>IF('Match Entry'!$R112="Complete",IF(ISNUMBER('Match Entry'!F112),'Match Entry'!F112&amp;"-"&amp;'Match Entry'!G112,"")&amp;IF(ISNUMBER('Match Entry'!H112),", "&amp;'Match Entry'!H112&amp;"-"&amp;'Match Entry'!I112,"")&amp;IF(ISNUMBER('Match Entry'!J112),", "&amp;'Match Entry'!J112&amp;"-"&amp;'Match Entry'!K112,"")&amp;IF(ISNUMBER('Match Entry'!L112),", "&amp;'Match Entry'!L112&amp;"-"&amp;'Match Entry'!M112,"")&amp;IF(ISNUMBER('Match Entry'!N112),", "&amp;'Match Entry'!N112&amp;"-"&amp;'Match Entry'!O112,""),"")</f>
        <v>#DIV/0!</v>
      </c>
      <c r="H145" s="12" t="e">
        <f>IF('Match Entry'!$R112="Complete",'Match Entry'!S112,"")</f>
        <v>#DIV/0!</v>
      </c>
      <c r="I145" s="12"/>
      <c r="J145" s="12"/>
      <c r="K145" s="12"/>
      <c r="L145" s="12"/>
      <c r="M145" s="12"/>
      <c r="N145" s="12"/>
      <c r="O145" s="12"/>
    </row>
    <row r="146" spans="1:15" ht="28.5">
      <c r="A146" s="12" t="e">
        <f>IF('Match Entry'!$R113="Complete",'Match Entry'!A113,"")</f>
        <v>#DIV/0!</v>
      </c>
      <c r="B146" s="12" t="e">
        <f>IF('Match Entry'!$R113="Complete",'Match Entry'!B113,"")</f>
        <v>#DIV/0!</v>
      </c>
      <c r="C146" s="12" t="e">
        <f>IF('Match Entry'!$R113="Complete",'Match Entry'!C113,"")</f>
        <v>#DIV/0!</v>
      </c>
      <c r="D146" s="12" t="e">
        <f>IF('Match Entry'!$R113="Complete",'Match Entry'!D113,"")</f>
        <v>#DIV/0!</v>
      </c>
      <c r="E146" s="12" t="e">
        <f>IF('Match Entry'!$R113="Complete",'Match Entry'!P113&amp;"-"&amp;'Match Entry'!Q113,"")</f>
        <v>#DIV/0!</v>
      </c>
      <c r="F146" s="12" t="e">
        <f>IF('Match Entry'!$R113="Complete",'Match Entry'!E113,"")</f>
        <v>#DIV/0!</v>
      </c>
      <c r="G146" s="12" t="e">
        <f>IF('Match Entry'!$R113="Complete",IF(ISNUMBER('Match Entry'!F113),'Match Entry'!F113&amp;"-"&amp;'Match Entry'!G113,"")&amp;IF(ISNUMBER('Match Entry'!H113),", "&amp;'Match Entry'!H113&amp;"-"&amp;'Match Entry'!I113,"")&amp;IF(ISNUMBER('Match Entry'!J113),", "&amp;'Match Entry'!J113&amp;"-"&amp;'Match Entry'!K113,"")&amp;IF(ISNUMBER('Match Entry'!L113),", "&amp;'Match Entry'!L113&amp;"-"&amp;'Match Entry'!M113,"")&amp;IF(ISNUMBER('Match Entry'!N113),", "&amp;'Match Entry'!N113&amp;"-"&amp;'Match Entry'!O113,""),"")</f>
        <v>#DIV/0!</v>
      </c>
      <c r="H146" s="12" t="e">
        <f>IF('Match Entry'!$R113="Complete",'Match Entry'!S113,"")</f>
        <v>#DIV/0!</v>
      </c>
      <c r="I146" s="12"/>
      <c r="J146" s="12"/>
      <c r="K146" s="12"/>
      <c r="L146" s="12"/>
      <c r="M146" s="12"/>
      <c r="N146" s="12"/>
      <c r="O146" s="12"/>
    </row>
    <row r="147" spans="1:15" ht="28.5">
      <c r="A147" s="12" t="e">
        <f>IF('Match Entry'!$R114="Complete",'Match Entry'!A114,"")</f>
        <v>#DIV/0!</v>
      </c>
      <c r="B147" s="12" t="e">
        <f>IF('Match Entry'!$R114="Complete",'Match Entry'!B114,"")</f>
        <v>#DIV/0!</v>
      </c>
      <c r="C147" s="12" t="e">
        <f>IF('Match Entry'!$R114="Complete",'Match Entry'!C114,"")</f>
        <v>#DIV/0!</v>
      </c>
      <c r="D147" s="12" t="e">
        <f>IF('Match Entry'!$R114="Complete",'Match Entry'!D114,"")</f>
        <v>#DIV/0!</v>
      </c>
      <c r="E147" s="12" t="e">
        <f>IF('Match Entry'!$R114="Complete",'Match Entry'!P114&amp;"-"&amp;'Match Entry'!Q114,"")</f>
        <v>#DIV/0!</v>
      </c>
      <c r="F147" s="12" t="e">
        <f>IF('Match Entry'!$R114="Complete",'Match Entry'!E114,"")</f>
        <v>#DIV/0!</v>
      </c>
      <c r="G147" s="12" t="e">
        <f>IF('Match Entry'!$R114="Complete",IF(ISNUMBER('Match Entry'!F114),'Match Entry'!F114&amp;"-"&amp;'Match Entry'!G114,"")&amp;IF(ISNUMBER('Match Entry'!H114),", "&amp;'Match Entry'!H114&amp;"-"&amp;'Match Entry'!I114,"")&amp;IF(ISNUMBER('Match Entry'!J114),", "&amp;'Match Entry'!J114&amp;"-"&amp;'Match Entry'!K114,"")&amp;IF(ISNUMBER('Match Entry'!L114),", "&amp;'Match Entry'!L114&amp;"-"&amp;'Match Entry'!M114,"")&amp;IF(ISNUMBER('Match Entry'!N114),", "&amp;'Match Entry'!N114&amp;"-"&amp;'Match Entry'!O114,""),"")</f>
        <v>#DIV/0!</v>
      </c>
      <c r="H147" s="12" t="e">
        <f>IF('Match Entry'!$R114="Complete",'Match Entry'!S114,"")</f>
        <v>#DIV/0!</v>
      </c>
      <c r="I147" s="12"/>
      <c r="J147" s="12"/>
      <c r="K147" s="12"/>
      <c r="L147" s="12"/>
      <c r="M147" s="12"/>
      <c r="N147" s="12"/>
      <c r="O147" s="12"/>
    </row>
    <row r="148" spans="1:15" ht="28.5">
      <c r="A148" s="12" t="e">
        <f>IF('Match Entry'!$R115="Complete",'Match Entry'!A115,"")</f>
        <v>#DIV/0!</v>
      </c>
      <c r="B148" s="12" t="e">
        <f>IF('Match Entry'!$R115="Complete",'Match Entry'!B115,"")</f>
        <v>#DIV/0!</v>
      </c>
      <c r="C148" s="12" t="e">
        <f>IF('Match Entry'!$R115="Complete",'Match Entry'!C115,"")</f>
        <v>#DIV/0!</v>
      </c>
      <c r="D148" s="12" t="e">
        <f>IF('Match Entry'!$R115="Complete",'Match Entry'!D115,"")</f>
        <v>#DIV/0!</v>
      </c>
      <c r="E148" s="12" t="e">
        <f>IF('Match Entry'!$R115="Complete",'Match Entry'!P115&amp;"-"&amp;'Match Entry'!Q115,"")</f>
        <v>#DIV/0!</v>
      </c>
      <c r="F148" s="12" t="e">
        <f>IF('Match Entry'!$R115="Complete",'Match Entry'!E115,"")</f>
        <v>#DIV/0!</v>
      </c>
      <c r="G148" s="12" t="e">
        <f>IF('Match Entry'!$R115="Complete",IF(ISNUMBER('Match Entry'!F115),'Match Entry'!F115&amp;"-"&amp;'Match Entry'!G115,"")&amp;IF(ISNUMBER('Match Entry'!H115),", "&amp;'Match Entry'!H115&amp;"-"&amp;'Match Entry'!I115,"")&amp;IF(ISNUMBER('Match Entry'!J115),", "&amp;'Match Entry'!J115&amp;"-"&amp;'Match Entry'!K115,"")&amp;IF(ISNUMBER('Match Entry'!L115),", "&amp;'Match Entry'!L115&amp;"-"&amp;'Match Entry'!M115,"")&amp;IF(ISNUMBER('Match Entry'!N115),", "&amp;'Match Entry'!N115&amp;"-"&amp;'Match Entry'!O115,""),"")</f>
        <v>#DIV/0!</v>
      </c>
      <c r="H148" s="12" t="e">
        <f>IF('Match Entry'!$R115="Complete",'Match Entry'!S115,"")</f>
        <v>#DIV/0!</v>
      </c>
      <c r="I148" s="12"/>
      <c r="J148" s="12"/>
      <c r="K148" s="12"/>
      <c r="L148" s="12"/>
      <c r="M148" s="12"/>
      <c r="N148" s="12"/>
      <c r="O148" s="12"/>
    </row>
    <row r="149" spans="1:15" ht="28.5">
      <c r="A149" s="12" t="e">
        <f>IF('Match Entry'!$R116="Complete",'Match Entry'!A116,"")</f>
        <v>#DIV/0!</v>
      </c>
      <c r="B149" s="12" t="e">
        <f>IF('Match Entry'!$R116="Complete",'Match Entry'!B116,"")</f>
        <v>#DIV/0!</v>
      </c>
      <c r="C149" s="12" t="e">
        <f>IF('Match Entry'!$R116="Complete",'Match Entry'!C116,"")</f>
        <v>#DIV/0!</v>
      </c>
      <c r="D149" s="12" t="e">
        <f>IF('Match Entry'!$R116="Complete",'Match Entry'!D116,"")</f>
        <v>#DIV/0!</v>
      </c>
      <c r="E149" s="12" t="e">
        <f>IF('Match Entry'!$R116="Complete",'Match Entry'!P116&amp;"-"&amp;'Match Entry'!Q116,"")</f>
        <v>#DIV/0!</v>
      </c>
      <c r="F149" s="12" t="e">
        <f>IF('Match Entry'!$R116="Complete",'Match Entry'!E116,"")</f>
        <v>#DIV/0!</v>
      </c>
      <c r="G149" s="12" t="e">
        <f>IF('Match Entry'!$R116="Complete",IF(ISNUMBER('Match Entry'!F116),'Match Entry'!F116&amp;"-"&amp;'Match Entry'!G116,"")&amp;IF(ISNUMBER('Match Entry'!H116),", "&amp;'Match Entry'!H116&amp;"-"&amp;'Match Entry'!I116,"")&amp;IF(ISNUMBER('Match Entry'!J116),", "&amp;'Match Entry'!J116&amp;"-"&amp;'Match Entry'!K116,"")&amp;IF(ISNUMBER('Match Entry'!L116),", "&amp;'Match Entry'!L116&amp;"-"&amp;'Match Entry'!M116,"")&amp;IF(ISNUMBER('Match Entry'!N116),", "&amp;'Match Entry'!N116&amp;"-"&amp;'Match Entry'!O116,""),"")</f>
        <v>#DIV/0!</v>
      </c>
      <c r="H149" s="12" t="e">
        <f>IF('Match Entry'!$R116="Complete",'Match Entry'!S116,"")</f>
        <v>#DIV/0!</v>
      </c>
      <c r="I149" s="12"/>
      <c r="J149" s="12"/>
      <c r="K149" s="12"/>
      <c r="L149" s="12"/>
      <c r="M149" s="12"/>
      <c r="N149" s="12"/>
      <c r="O149" s="12"/>
    </row>
    <row r="150" spans="1:15" ht="28.5">
      <c r="A150" s="12" t="e">
        <f>IF('Match Entry'!$R117="Complete",'Match Entry'!A117,"")</f>
        <v>#DIV/0!</v>
      </c>
      <c r="B150" s="12" t="e">
        <f>IF('Match Entry'!$R117="Complete",'Match Entry'!B117,"")</f>
        <v>#DIV/0!</v>
      </c>
      <c r="C150" s="12" t="e">
        <f>IF('Match Entry'!$R117="Complete",'Match Entry'!C117,"")</f>
        <v>#DIV/0!</v>
      </c>
      <c r="D150" s="12" t="e">
        <f>IF('Match Entry'!$R117="Complete",'Match Entry'!D117,"")</f>
        <v>#DIV/0!</v>
      </c>
      <c r="E150" s="12" t="e">
        <f>IF('Match Entry'!$R117="Complete",'Match Entry'!P117&amp;"-"&amp;'Match Entry'!Q117,"")</f>
        <v>#DIV/0!</v>
      </c>
      <c r="F150" s="12" t="e">
        <f>IF('Match Entry'!$R117="Complete",'Match Entry'!E117,"")</f>
        <v>#DIV/0!</v>
      </c>
      <c r="G150" s="12" t="e">
        <f>IF('Match Entry'!$R117="Complete",IF(ISNUMBER('Match Entry'!F117),'Match Entry'!F117&amp;"-"&amp;'Match Entry'!G117,"")&amp;IF(ISNUMBER('Match Entry'!H117),", "&amp;'Match Entry'!H117&amp;"-"&amp;'Match Entry'!I117,"")&amp;IF(ISNUMBER('Match Entry'!J117),", "&amp;'Match Entry'!J117&amp;"-"&amp;'Match Entry'!K117,"")&amp;IF(ISNUMBER('Match Entry'!L117),", "&amp;'Match Entry'!L117&amp;"-"&amp;'Match Entry'!M117,"")&amp;IF(ISNUMBER('Match Entry'!N117),", "&amp;'Match Entry'!N117&amp;"-"&amp;'Match Entry'!O117,""),"")</f>
        <v>#DIV/0!</v>
      </c>
      <c r="H150" s="12" t="e">
        <f>IF('Match Entry'!$R117="Complete",'Match Entry'!S117,"")</f>
        <v>#DIV/0!</v>
      </c>
      <c r="I150" s="12"/>
      <c r="J150" s="12"/>
      <c r="K150" s="12"/>
      <c r="L150" s="12"/>
      <c r="M150" s="12"/>
      <c r="N150" s="12"/>
      <c r="O150" s="12"/>
    </row>
    <row r="151" spans="1:15" ht="28.5">
      <c r="A151" s="12" t="e">
        <f>IF('Match Entry'!$R118="Complete",'Match Entry'!A118,"")</f>
        <v>#DIV/0!</v>
      </c>
      <c r="B151" s="12" t="e">
        <f>IF('Match Entry'!$R118="Complete",'Match Entry'!B118,"")</f>
        <v>#DIV/0!</v>
      </c>
      <c r="C151" s="12" t="e">
        <f>IF('Match Entry'!$R118="Complete",'Match Entry'!C118,"")</f>
        <v>#DIV/0!</v>
      </c>
      <c r="D151" s="12" t="e">
        <f>IF('Match Entry'!$R118="Complete",'Match Entry'!D118,"")</f>
        <v>#DIV/0!</v>
      </c>
      <c r="E151" s="12" t="e">
        <f>IF('Match Entry'!$R118="Complete",'Match Entry'!P118&amp;"-"&amp;'Match Entry'!Q118,"")</f>
        <v>#DIV/0!</v>
      </c>
      <c r="F151" s="12" t="e">
        <f>IF('Match Entry'!$R118="Complete",'Match Entry'!E118,"")</f>
        <v>#DIV/0!</v>
      </c>
      <c r="G151" s="12" t="e">
        <f>IF('Match Entry'!$R118="Complete",IF(ISNUMBER('Match Entry'!F118),'Match Entry'!F118&amp;"-"&amp;'Match Entry'!G118,"")&amp;IF(ISNUMBER('Match Entry'!H118),", "&amp;'Match Entry'!H118&amp;"-"&amp;'Match Entry'!I118,"")&amp;IF(ISNUMBER('Match Entry'!J118),", "&amp;'Match Entry'!J118&amp;"-"&amp;'Match Entry'!K118,"")&amp;IF(ISNUMBER('Match Entry'!L118),", "&amp;'Match Entry'!L118&amp;"-"&amp;'Match Entry'!M118,"")&amp;IF(ISNUMBER('Match Entry'!N118),", "&amp;'Match Entry'!N118&amp;"-"&amp;'Match Entry'!O118,""),"")</f>
        <v>#DIV/0!</v>
      </c>
      <c r="H151" s="12" t="e">
        <f>IF('Match Entry'!$R118="Complete",'Match Entry'!S118,"")</f>
        <v>#DIV/0!</v>
      </c>
      <c r="I151" s="12"/>
      <c r="J151" s="12"/>
      <c r="K151" s="12"/>
      <c r="L151" s="12"/>
      <c r="M151" s="12"/>
      <c r="N151" s="12"/>
      <c r="O151" s="12"/>
    </row>
    <row r="152" spans="1:15" ht="28.5">
      <c r="A152" s="12" t="e">
        <f>IF('Match Entry'!$R119="Complete",'Match Entry'!A119,"")</f>
        <v>#DIV/0!</v>
      </c>
      <c r="B152" s="12" t="e">
        <f>IF('Match Entry'!$R119="Complete",'Match Entry'!B119,"")</f>
        <v>#DIV/0!</v>
      </c>
      <c r="C152" s="12" t="e">
        <f>IF('Match Entry'!$R119="Complete",'Match Entry'!C119,"")</f>
        <v>#DIV/0!</v>
      </c>
      <c r="D152" s="12" t="e">
        <f>IF('Match Entry'!$R119="Complete",'Match Entry'!D119,"")</f>
        <v>#DIV/0!</v>
      </c>
      <c r="E152" s="12" t="e">
        <f>IF('Match Entry'!$R119="Complete",'Match Entry'!P119&amp;"-"&amp;'Match Entry'!Q119,"")</f>
        <v>#DIV/0!</v>
      </c>
      <c r="F152" s="12" t="e">
        <f>IF('Match Entry'!$R119="Complete",'Match Entry'!E119,"")</f>
        <v>#DIV/0!</v>
      </c>
      <c r="G152" s="12" t="e">
        <f>IF('Match Entry'!$R119="Complete",IF(ISNUMBER('Match Entry'!F119),'Match Entry'!F119&amp;"-"&amp;'Match Entry'!G119,"")&amp;IF(ISNUMBER('Match Entry'!H119),", "&amp;'Match Entry'!H119&amp;"-"&amp;'Match Entry'!I119,"")&amp;IF(ISNUMBER('Match Entry'!J119),", "&amp;'Match Entry'!J119&amp;"-"&amp;'Match Entry'!K119,"")&amp;IF(ISNUMBER('Match Entry'!L119),", "&amp;'Match Entry'!L119&amp;"-"&amp;'Match Entry'!M119,"")&amp;IF(ISNUMBER('Match Entry'!N119),", "&amp;'Match Entry'!N119&amp;"-"&amp;'Match Entry'!O119,""),"")</f>
        <v>#DIV/0!</v>
      </c>
      <c r="H152" s="12" t="e">
        <f>IF('Match Entry'!$R119="Complete",'Match Entry'!S119,"")</f>
        <v>#DIV/0!</v>
      </c>
      <c r="I152" s="12"/>
      <c r="J152" s="12"/>
      <c r="K152" s="12"/>
      <c r="L152" s="12"/>
      <c r="M152" s="12"/>
      <c r="N152" s="12"/>
      <c r="O152" s="12"/>
    </row>
    <row r="153" spans="1:15" ht="28.5">
      <c r="A153" s="12" t="e">
        <f>IF('Match Entry'!$R120="Complete",'Match Entry'!A120,"")</f>
        <v>#DIV/0!</v>
      </c>
      <c r="B153" s="12" t="e">
        <f>IF('Match Entry'!$R120="Complete",'Match Entry'!B120,"")</f>
        <v>#DIV/0!</v>
      </c>
      <c r="C153" s="12" t="e">
        <f>IF('Match Entry'!$R120="Complete",'Match Entry'!C120,"")</f>
        <v>#DIV/0!</v>
      </c>
      <c r="D153" s="12" t="e">
        <f>IF('Match Entry'!$R120="Complete",'Match Entry'!D120,"")</f>
        <v>#DIV/0!</v>
      </c>
      <c r="E153" s="12" t="e">
        <f>IF('Match Entry'!$R120="Complete",'Match Entry'!P120&amp;"-"&amp;'Match Entry'!Q120,"")</f>
        <v>#DIV/0!</v>
      </c>
      <c r="F153" s="12" t="e">
        <f>IF('Match Entry'!$R120="Complete",'Match Entry'!E120,"")</f>
        <v>#DIV/0!</v>
      </c>
      <c r="G153" s="12" t="e">
        <f>IF('Match Entry'!$R120="Complete",IF(ISNUMBER('Match Entry'!F120),'Match Entry'!F120&amp;"-"&amp;'Match Entry'!G120,"")&amp;IF(ISNUMBER('Match Entry'!H120),", "&amp;'Match Entry'!H120&amp;"-"&amp;'Match Entry'!I120,"")&amp;IF(ISNUMBER('Match Entry'!J120),", "&amp;'Match Entry'!J120&amp;"-"&amp;'Match Entry'!K120,"")&amp;IF(ISNUMBER('Match Entry'!L120),", "&amp;'Match Entry'!L120&amp;"-"&amp;'Match Entry'!M120,"")&amp;IF(ISNUMBER('Match Entry'!N120),", "&amp;'Match Entry'!N120&amp;"-"&amp;'Match Entry'!O120,""),"")</f>
        <v>#DIV/0!</v>
      </c>
      <c r="H153" s="12" t="e">
        <f>IF('Match Entry'!$R120="Complete",'Match Entry'!S120,"")</f>
        <v>#DIV/0!</v>
      </c>
      <c r="I153" s="12"/>
      <c r="J153" s="12"/>
      <c r="K153" s="12"/>
      <c r="L153" s="12"/>
      <c r="M153" s="12"/>
      <c r="N153" s="12"/>
      <c r="O153" s="12"/>
    </row>
    <row r="154" spans="1:15" ht="28.5">
      <c r="A154" s="12" t="e">
        <f>IF('Match Entry'!$R121="Complete",'Match Entry'!A121,"")</f>
        <v>#DIV/0!</v>
      </c>
      <c r="B154" s="12" t="e">
        <f>IF('Match Entry'!$R121="Complete",'Match Entry'!B121,"")</f>
        <v>#DIV/0!</v>
      </c>
      <c r="C154" s="12" t="e">
        <f>IF('Match Entry'!$R121="Complete",'Match Entry'!C121,"")</f>
        <v>#DIV/0!</v>
      </c>
      <c r="D154" s="12" t="e">
        <f>IF('Match Entry'!$R121="Complete",'Match Entry'!D121,"")</f>
        <v>#DIV/0!</v>
      </c>
      <c r="E154" s="12" t="e">
        <f>IF('Match Entry'!$R121="Complete",'Match Entry'!P121&amp;"-"&amp;'Match Entry'!Q121,"")</f>
        <v>#DIV/0!</v>
      </c>
      <c r="F154" s="12" t="e">
        <f>IF('Match Entry'!$R121="Complete",'Match Entry'!E121,"")</f>
        <v>#DIV/0!</v>
      </c>
      <c r="G154" s="12" t="e">
        <f>IF('Match Entry'!$R121="Complete",IF(ISNUMBER('Match Entry'!F121),'Match Entry'!F121&amp;"-"&amp;'Match Entry'!G121,"")&amp;IF(ISNUMBER('Match Entry'!H121),", "&amp;'Match Entry'!H121&amp;"-"&amp;'Match Entry'!I121,"")&amp;IF(ISNUMBER('Match Entry'!J121),", "&amp;'Match Entry'!J121&amp;"-"&amp;'Match Entry'!K121,"")&amp;IF(ISNUMBER('Match Entry'!L121),", "&amp;'Match Entry'!L121&amp;"-"&amp;'Match Entry'!M121,"")&amp;IF(ISNUMBER('Match Entry'!N121),", "&amp;'Match Entry'!N121&amp;"-"&amp;'Match Entry'!O121,""),"")</f>
        <v>#DIV/0!</v>
      </c>
      <c r="H154" s="12" t="e">
        <f>IF('Match Entry'!$R121="Complete",'Match Entry'!S121,"")</f>
        <v>#DIV/0!</v>
      </c>
      <c r="I154" s="12"/>
      <c r="J154" s="12"/>
      <c r="K154" s="12"/>
      <c r="L154" s="12"/>
      <c r="M154" s="12"/>
      <c r="N154" s="12"/>
      <c r="O154" s="12"/>
    </row>
    <row r="155" spans="1:15" ht="28.5">
      <c r="A155" s="12" t="e">
        <f>IF('Match Entry'!$R122="Complete",'Match Entry'!A122,"")</f>
        <v>#DIV/0!</v>
      </c>
      <c r="B155" s="12" t="e">
        <f>IF('Match Entry'!$R122="Complete",'Match Entry'!B122,"")</f>
        <v>#DIV/0!</v>
      </c>
      <c r="C155" s="12" t="e">
        <f>IF('Match Entry'!$R122="Complete",'Match Entry'!C122,"")</f>
        <v>#DIV/0!</v>
      </c>
      <c r="D155" s="12" t="e">
        <f>IF('Match Entry'!$R122="Complete",'Match Entry'!D122,"")</f>
        <v>#DIV/0!</v>
      </c>
      <c r="E155" s="12" t="e">
        <f>IF('Match Entry'!$R122="Complete",'Match Entry'!P122&amp;"-"&amp;'Match Entry'!Q122,"")</f>
        <v>#DIV/0!</v>
      </c>
      <c r="F155" s="12" t="e">
        <f>IF('Match Entry'!$R122="Complete",'Match Entry'!E122,"")</f>
        <v>#DIV/0!</v>
      </c>
      <c r="G155" s="12" t="e">
        <f>IF('Match Entry'!$R122="Complete",IF(ISNUMBER('Match Entry'!F122),'Match Entry'!F122&amp;"-"&amp;'Match Entry'!G122,"")&amp;IF(ISNUMBER('Match Entry'!H122),", "&amp;'Match Entry'!H122&amp;"-"&amp;'Match Entry'!I122,"")&amp;IF(ISNUMBER('Match Entry'!J122),", "&amp;'Match Entry'!J122&amp;"-"&amp;'Match Entry'!K122,"")&amp;IF(ISNUMBER('Match Entry'!L122),", "&amp;'Match Entry'!L122&amp;"-"&amp;'Match Entry'!M122,"")&amp;IF(ISNUMBER('Match Entry'!N122),", "&amp;'Match Entry'!N122&amp;"-"&amp;'Match Entry'!O122,""),"")</f>
        <v>#DIV/0!</v>
      </c>
      <c r="H155" s="12" t="e">
        <f>IF('Match Entry'!$R122="Complete",'Match Entry'!S122,"")</f>
        <v>#DIV/0!</v>
      </c>
      <c r="I155" s="12"/>
      <c r="J155" s="12"/>
      <c r="K155" s="12"/>
      <c r="L155" s="12"/>
      <c r="M155" s="12"/>
      <c r="N155" s="12"/>
      <c r="O155" s="12"/>
    </row>
    <row r="156" spans="1:15" ht="28.5">
      <c r="A156" s="12" t="e">
        <f>IF('Match Entry'!$R123="Complete",'Match Entry'!A123,"")</f>
        <v>#DIV/0!</v>
      </c>
      <c r="B156" s="12" t="e">
        <f>IF('Match Entry'!$R123="Complete",'Match Entry'!B123,"")</f>
        <v>#DIV/0!</v>
      </c>
      <c r="C156" s="12" t="e">
        <f>IF('Match Entry'!$R123="Complete",'Match Entry'!C123,"")</f>
        <v>#DIV/0!</v>
      </c>
      <c r="D156" s="12" t="e">
        <f>IF('Match Entry'!$R123="Complete",'Match Entry'!D123,"")</f>
        <v>#DIV/0!</v>
      </c>
      <c r="E156" s="12" t="e">
        <f>IF('Match Entry'!$R123="Complete",'Match Entry'!P123&amp;"-"&amp;'Match Entry'!Q123,"")</f>
        <v>#DIV/0!</v>
      </c>
      <c r="F156" s="12" t="e">
        <f>IF('Match Entry'!$R123="Complete",'Match Entry'!E123,"")</f>
        <v>#DIV/0!</v>
      </c>
      <c r="G156" s="12" t="e">
        <f>IF('Match Entry'!$R123="Complete",IF(ISNUMBER('Match Entry'!F123),'Match Entry'!F123&amp;"-"&amp;'Match Entry'!G123,"")&amp;IF(ISNUMBER('Match Entry'!H123),", "&amp;'Match Entry'!H123&amp;"-"&amp;'Match Entry'!I123,"")&amp;IF(ISNUMBER('Match Entry'!J123),", "&amp;'Match Entry'!J123&amp;"-"&amp;'Match Entry'!K123,"")&amp;IF(ISNUMBER('Match Entry'!L123),", "&amp;'Match Entry'!L123&amp;"-"&amp;'Match Entry'!M123,"")&amp;IF(ISNUMBER('Match Entry'!N123),", "&amp;'Match Entry'!N123&amp;"-"&amp;'Match Entry'!O123,""),"")</f>
        <v>#DIV/0!</v>
      </c>
      <c r="H156" s="12" t="e">
        <f>IF('Match Entry'!$R123="Complete",'Match Entry'!S123,"")</f>
        <v>#DIV/0!</v>
      </c>
      <c r="I156" s="12"/>
      <c r="J156" s="12"/>
      <c r="K156" s="12"/>
      <c r="L156" s="12"/>
      <c r="M156" s="12"/>
      <c r="N156" s="12"/>
      <c r="O156" s="12"/>
    </row>
    <row r="157" spans="1:15" ht="28.5">
      <c r="A157" s="12" t="e">
        <f>IF('Match Entry'!$R124="Complete",'Match Entry'!A124,"")</f>
        <v>#DIV/0!</v>
      </c>
      <c r="B157" s="12" t="e">
        <f>IF('Match Entry'!$R124="Complete",'Match Entry'!B124,"")</f>
        <v>#DIV/0!</v>
      </c>
      <c r="C157" s="12" t="e">
        <f>IF('Match Entry'!$R124="Complete",'Match Entry'!C124,"")</f>
        <v>#DIV/0!</v>
      </c>
      <c r="D157" s="12" t="e">
        <f>IF('Match Entry'!$R124="Complete",'Match Entry'!D124,"")</f>
        <v>#DIV/0!</v>
      </c>
      <c r="E157" s="12" t="e">
        <f>IF('Match Entry'!$R124="Complete",'Match Entry'!P124&amp;"-"&amp;'Match Entry'!Q124,"")</f>
        <v>#DIV/0!</v>
      </c>
      <c r="F157" s="12" t="e">
        <f>IF('Match Entry'!$R124="Complete",'Match Entry'!E124,"")</f>
        <v>#DIV/0!</v>
      </c>
      <c r="G157" s="12" t="e">
        <f>IF('Match Entry'!$R124="Complete",IF(ISNUMBER('Match Entry'!F124),'Match Entry'!F124&amp;"-"&amp;'Match Entry'!G124,"")&amp;IF(ISNUMBER('Match Entry'!H124),", "&amp;'Match Entry'!H124&amp;"-"&amp;'Match Entry'!I124,"")&amp;IF(ISNUMBER('Match Entry'!J124),", "&amp;'Match Entry'!J124&amp;"-"&amp;'Match Entry'!K124,"")&amp;IF(ISNUMBER('Match Entry'!L124),", "&amp;'Match Entry'!L124&amp;"-"&amp;'Match Entry'!M124,"")&amp;IF(ISNUMBER('Match Entry'!N124),", "&amp;'Match Entry'!N124&amp;"-"&amp;'Match Entry'!O124,""),"")</f>
        <v>#DIV/0!</v>
      </c>
      <c r="H157" s="12" t="e">
        <f>IF('Match Entry'!$R124="Complete",'Match Entry'!S124,"")</f>
        <v>#DIV/0!</v>
      </c>
      <c r="I157" s="12"/>
      <c r="J157" s="12"/>
      <c r="K157" s="12"/>
      <c r="L157" s="12"/>
      <c r="M157" s="12"/>
      <c r="N157" s="12"/>
      <c r="O157" s="12"/>
    </row>
    <row r="158" spans="1:15" ht="28.5">
      <c r="A158" s="12" t="e">
        <f>IF('Match Entry'!$R125="Complete",'Match Entry'!A125,"")</f>
        <v>#DIV/0!</v>
      </c>
      <c r="B158" s="12" t="e">
        <f>IF('Match Entry'!$R125="Complete",'Match Entry'!B125,"")</f>
        <v>#DIV/0!</v>
      </c>
      <c r="C158" s="12" t="e">
        <f>IF('Match Entry'!$R125="Complete",'Match Entry'!C125,"")</f>
        <v>#DIV/0!</v>
      </c>
      <c r="D158" s="12" t="e">
        <f>IF('Match Entry'!$R125="Complete",'Match Entry'!D125,"")</f>
        <v>#DIV/0!</v>
      </c>
      <c r="E158" s="12" t="e">
        <f>IF('Match Entry'!$R125="Complete",'Match Entry'!P125&amp;"-"&amp;'Match Entry'!Q125,"")</f>
        <v>#DIV/0!</v>
      </c>
      <c r="F158" s="12" t="e">
        <f>IF('Match Entry'!$R125="Complete",'Match Entry'!E125,"")</f>
        <v>#DIV/0!</v>
      </c>
      <c r="G158" s="12" t="e">
        <f>IF('Match Entry'!$R125="Complete",IF(ISNUMBER('Match Entry'!F125),'Match Entry'!F125&amp;"-"&amp;'Match Entry'!G125,"")&amp;IF(ISNUMBER('Match Entry'!H125),", "&amp;'Match Entry'!H125&amp;"-"&amp;'Match Entry'!I125,"")&amp;IF(ISNUMBER('Match Entry'!J125),", "&amp;'Match Entry'!J125&amp;"-"&amp;'Match Entry'!K125,"")&amp;IF(ISNUMBER('Match Entry'!L125),", "&amp;'Match Entry'!L125&amp;"-"&amp;'Match Entry'!M125,"")&amp;IF(ISNUMBER('Match Entry'!N125),", "&amp;'Match Entry'!N125&amp;"-"&amp;'Match Entry'!O125,""),"")</f>
        <v>#DIV/0!</v>
      </c>
      <c r="H158" s="12" t="e">
        <f>IF('Match Entry'!$R125="Complete",'Match Entry'!S125,"")</f>
        <v>#DIV/0!</v>
      </c>
      <c r="I158" s="12"/>
      <c r="J158" s="12"/>
      <c r="K158" s="12"/>
      <c r="L158" s="12"/>
      <c r="M158" s="12"/>
      <c r="N158" s="12"/>
      <c r="O158" s="12"/>
    </row>
    <row r="159" spans="1:15" ht="28.5">
      <c r="A159" s="12" t="e">
        <f>IF('Match Entry'!$R126="Complete",'Match Entry'!A126,"")</f>
        <v>#DIV/0!</v>
      </c>
      <c r="B159" s="12" t="e">
        <f>IF('Match Entry'!$R126="Complete",'Match Entry'!B126,"")</f>
        <v>#DIV/0!</v>
      </c>
      <c r="C159" s="12" t="e">
        <f>IF('Match Entry'!$R126="Complete",'Match Entry'!C126,"")</f>
        <v>#DIV/0!</v>
      </c>
      <c r="D159" s="12" t="e">
        <f>IF('Match Entry'!$R126="Complete",'Match Entry'!D126,"")</f>
        <v>#DIV/0!</v>
      </c>
      <c r="E159" s="12" t="e">
        <f>IF('Match Entry'!$R126="Complete",'Match Entry'!P126&amp;"-"&amp;'Match Entry'!Q126,"")</f>
        <v>#DIV/0!</v>
      </c>
      <c r="F159" s="12" t="e">
        <f>IF('Match Entry'!$R126="Complete",'Match Entry'!E126,"")</f>
        <v>#DIV/0!</v>
      </c>
      <c r="G159" s="12" t="e">
        <f>IF('Match Entry'!$R126="Complete",IF(ISNUMBER('Match Entry'!F126),'Match Entry'!F126&amp;"-"&amp;'Match Entry'!G126,"")&amp;IF(ISNUMBER('Match Entry'!H126),", "&amp;'Match Entry'!H126&amp;"-"&amp;'Match Entry'!I126,"")&amp;IF(ISNUMBER('Match Entry'!J126),", "&amp;'Match Entry'!J126&amp;"-"&amp;'Match Entry'!K126,"")&amp;IF(ISNUMBER('Match Entry'!L126),", "&amp;'Match Entry'!L126&amp;"-"&amp;'Match Entry'!M126,"")&amp;IF(ISNUMBER('Match Entry'!N126),", "&amp;'Match Entry'!N126&amp;"-"&amp;'Match Entry'!O126,""),"")</f>
        <v>#DIV/0!</v>
      </c>
      <c r="H159" s="12" t="e">
        <f>IF('Match Entry'!$R126="Complete",'Match Entry'!S126,"")</f>
        <v>#DIV/0!</v>
      </c>
      <c r="I159" s="12"/>
      <c r="J159" s="12"/>
      <c r="K159" s="12"/>
      <c r="L159" s="12"/>
      <c r="M159" s="12"/>
      <c r="N159" s="12"/>
      <c r="O159" s="12"/>
    </row>
    <row r="160" spans="1:15" ht="28.5">
      <c r="A160" s="12" t="e">
        <f>IF('Match Entry'!$R127="Complete",'Match Entry'!A127,"")</f>
        <v>#DIV/0!</v>
      </c>
      <c r="B160" s="12" t="e">
        <f>IF('Match Entry'!$R127="Complete",'Match Entry'!B127,"")</f>
        <v>#DIV/0!</v>
      </c>
      <c r="C160" s="12" t="e">
        <f>IF('Match Entry'!$R127="Complete",'Match Entry'!C127,"")</f>
        <v>#DIV/0!</v>
      </c>
      <c r="D160" s="12" t="e">
        <f>IF('Match Entry'!$R127="Complete",'Match Entry'!D127,"")</f>
        <v>#DIV/0!</v>
      </c>
      <c r="E160" s="12" t="e">
        <f>IF('Match Entry'!$R127="Complete",'Match Entry'!P127&amp;"-"&amp;'Match Entry'!Q127,"")</f>
        <v>#DIV/0!</v>
      </c>
      <c r="F160" s="12" t="e">
        <f>IF('Match Entry'!$R127="Complete",'Match Entry'!E127,"")</f>
        <v>#DIV/0!</v>
      </c>
      <c r="G160" s="12" t="e">
        <f>IF('Match Entry'!$R127="Complete",IF(ISNUMBER('Match Entry'!F127),'Match Entry'!F127&amp;"-"&amp;'Match Entry'!G127,"")&amp;IF(ISNUMBER('Match Entry'!H127),", "&amp;'Match Entry'!H127&amp;"-"&amp;'Match Entry'!I127,"")&amp;IF(ISNUMBER('Match Entry'!J127),", "&amp;'Match Entry'!J127&amp;"-"&amp;'Match Entry'!K127,"")&amp;IF(ISNUMBER('Match Entry'!L127),", "&amp;'Match Entry'!L127&amp;"-"&amp;'Match Entry'!M127,"")&amp;IF(ISNUMBER('Match Entry'!N127),", "&amp;'Match Entry'!N127&amp;"-"&amp;'Match Entry'!O127,""),"")</f>
        <v>#DIV/0!</v>
      </c>
      <c r="H160" s="12" t="e">
        <f>IF('Match Entry'!$R127="Complete",'Match Entry'!S127,"")</f>
        <v>#DIV/0!</v>
      </c>
      <c r="I160" s="12"/>
      <c r="J160" s="12"/>
      <c r="K160" s="12"/>
      <c r="L160" s="12"/>
      <c r="M160" s="12"/>
      <c r="N160" s="12"/>
      <c r="O160" s="12"/>
    </row>
    <row r="161" spans="1:15" ht="28.5">
      <c r="A161" s="12" t="e">
        <f>IF('Match Entry'!$R128="Complete",'Match Entry'!A128,"")</f>
        <v>#DIV/0!</v>
      </c>
      <c r="B161" s="12" t="e">
        <f>IF('Match Entry'!$R128="Complete",'Match Entry'!B128,"")</f>
        <v>#DIV/0!</v>
      </c>
      <c r="C161" s="12" t="e">
        <f>IF('Match Entry'!$R128="Complete",'Match Entry'!C128,"")</f>
        <v>#DIV/0!</v>
      </c>
      <c r="D161" s="12" t="e">
        <f>IF('Match Entry'!$R128="Complete",'Match Entry'!D128,"")</f>
        <v>#DIV/0!</v>
      </c>
      <c r="E161" s="12" t="e">
        <f>IF('Match Entry'!$R128="Complete",'Match Entry'!P128&amp;"-"&amp;'Match Entry'!Q128,"")</f>
        <v>#DIV/0!</v>
      </c>
      <c r="F161" s="12" t="e">
        <f>IF('Match Entry'!$R128="Complete",'Match Entry'!E128,"")</f>
        <v>#DIV/0!</v>
      </c>
      <c r="G161" s="12" t="e">
        <f>IF('Match Entry'!$R128="Complete",IF(ISNUMBER('Match Entry'!F128),'Match Entry'!F128&amp;"-"&amp;'Match Entry'!G128,"")&amp;IF(ISNUMBER('Match Entry'!H128),", "&amp;'Match Entry'!H128&amp;"-"&amp;'Match Entry'!I128,"")&amp;IF(ISNUMBER('Match Entry'!J128),", "&amp;'Match Entry'!J128&amp;"-"&amp;'Match Entry'!K128,"")&amp;IF(ISNUMBER('Match Entry'!L128),", "&amp;'Match Entry'!L128&amp;"-"&amp;'Match Entry'!M128,"")&amp;IF(ISNUMBER('Match Entry'!N128),", "&amp;'Match Entry'!N128&amp;"-"&amp;'Match Entry'!O128,""),"")</f>
        <v>#DIV/0!</v>
      </c>
      <c r="H161" s="12" t="e">
        <f>IF('Match Entry'!$R128="Complete",'Match Entry'!S128,"")</f>
        <v>#DIV/0!</v>
      </c>
      <c r="I161" s="12"/>
      <c r="J161" s="12"/>
      <c r="K161" s="12"/>
      <c r="L161" s="12"/>
      <c r="M161" s="12"/>
      <c r="N161" s="12"/>
      <c r="O161" s="12"/>
    </row>
    <row r="162" spans="1:15" ht="28.5">
      <c r="A162" s="12" t="e">
        <f>IF('Match Entry'!$R129="Complete",'Match Entry'!A129,"")</f>
        <v>#DIV/0!</v>
      </c>
      <c r="B162" s="12" t="e">
        <f>IF('Match Entry'!$R129="Complete",'Match Entry'!B129,"")</f>
        <v>#DIV/0!</v>
      </c>
      <c r="C162" s="12" t="e">
        <f>IF('Match Entry'!$R129="Complete",'Match Entry'!C129,"")</f>
        <v>#DIV/0!</v>
      </c>
      <c r="D162" s="12" t="e">
        <f>IF('Match Entry'!$R129="Complete",'Match Entry'!D129,"")</f>
        <v>#DIV/0!</v>
      </c>
      <c r="E162" s="12" t="e">
        <f>IF('Match Entry'!$R129="Complete",'Match Entry'!P129&amp;"-"&amp;'Match Entry'!Q129,"")</f>
        <v>#DIV/0!</v>
      </c>
      <c r="F162" s="12" t="e">
        <f>IF('Match Entry'!$R129="Complete",'Match Entry'!E129,"")</f>
        <v>#DIV/0!</v>
      </c>
      <c r="G162" s="12" t="e">
        <f>IF('Match Entry'!$R129="Complete",IF(ISNUMBER('Match Entry'!F129),'Match Entry'!F129&amp;"-"&amp;'Match Entry'!G129,"")&amp;IF(ISNUMBER('Match Entry'!H129),", "&amp;'Match Entry'!H129&amp;"-"&amp;'Match Entry'!I129,"")&amp;IF(ISNUMBER('Match Entry'!J129),", "&amp;'Match Entry'!J129&amp;"-"&amp;'Match Entry'!K129,"")&amp;IF(ISNUMBER('Match Entry'!L129),", "&amp;'Match Entry'!L129&amp;"-"&amp;'Match Entry'!M129,"")&amp;IF(ISNUMBER('Match Entry'!N129),", "&amp;'Match Entry'!N129&amp;"-"&amp;'Match Entry'!O129,""),"")</f>
        <v>#DIV/0!</v>
      </c>
      <c r="H162" s="12" t="e">
        <f>IF('Match Entry'!$R129="Complete",'Match Entry'!S129,"")</f>
        <v>#DIV/0!</v>
      </c>
      <c r="I162" s="12"/>
      <c r="J162" s="12"/>
      <c r="K162" s="12"/>
      <c r="L162" s="12"/>
      <c r="M162" s="12"/>
      <c r="N162" s="12"/>
      <c r="O162" s="12"/>
    </row>
    <row r="163" spans="1:15" ht="28.5">
      <c r="A163" s="12" t="e">
        <f>IF('Match Entry'!$R130="Complete",'Match Entry'!A130,"")</f>
        <v>#DIV/0!</v>
      </c>
      <c r="B163" s="12" t="e">
        <f>IF('Match Entry'!$R130="Complete",'Match Entry'!B130,"")</f>
        <v>#DIV/0!</v>
      </c>
      <c r="C163" s="12" t="e">
        <f>IF('Match Entry'!$R130="Complete",'Match Entry'!C130,"")</f>
        <v>#DIV/0!</v>
      </c>
      <c r="D163" s="12" t="e">
        <f>IF('Match Entry'!$R130="Complete",'Match Entry'!D130,"")</f>
        <v>#DIV/0!</v>
      </c>
      <c r="E163" s="12" t="e">
        <f>IF('Match Entry'!$R130="Complete",'Match Entry'!P130&amp;"-"&amp;'Match Entry'!Q130,"")</f>
        <v>#DIV/0!</v>
      </c>
      <c r="F163" s="12" t="e">
        <f>IF('Match Entry'!$R130="Complete",'Match Entry'!E130,"")</f>
        <v>#DIV/0!</v>
      </c>
      <c r="G163" s="12" t="e">
        <f>IF('Match Entry'!$R130="Complete",IF(ISNUMBER('Match Entry'!F130),'Match Entry'!F130&amp;"-"&amp;'Match Entry'!G130,"")&amp;IF(ISNUMBER('Match Entry'!H130),", "&amp;'Match Entry'!H130&amp;"-"&amp;'Match Entry'!I130,"")&amp;IF(ISNUMBER('Match Entry'!J130),", "&amp;'Match Entry'!J130&amp;"-"&amp;'Match Entry'!K130,"")&amp;IF(ISNUMBER('Match Entry'!L130),", "&amp;'Match Entry'!L130&amp;"-"&amp;'Match Entry'!M130,"")&amp;IF(ISNUMBER('Match Entry'!N130),", "&amp;'Match Entry'!N130&amp;"-"&amp;'Match Entry'!O130,""),"")</f>
        <v>#DIV/0!</v>
      </c>
      <c r="H163" s="12" t="e">
        <f>IF('Match Entry'!$R130="Complete",'Match Entry'!S130,"")</f>
        <v>#DIV/0!</v>
      </c>
      <c r="I163" s="12"/>
      <c r="J163" s="12"/>
      <c r="K163" s="12"/>
      <c r="L163" s="12"/>
      <c r="M163" s="12"/>
      <c r="N163" s="12"/>
      <c r="O163" s="12"/>
    </row>
    <row r="164" spans="1:15" ht="28.5">
      <c r="A164" s="12" t="e">
        <f>IF('Match Entry'!$R131="Complete",'Match Entry'!A131,"")</f>
        <v>#DIV/0!</v>
      </c>
      <c r="B164" s="12" t="e">
        <f>IF('Match Entry'!$R131="Complete",'Match Entry'!B131,"")</f>
        <v>#DIV/0!</v>
      </c>
      <c r="C164" s="12" t="e">
        <f>IF('Match Entry'!$R131="Complete",'Match Entry'!C131,"")</f>
        <v>#DIV/0!</v>
      </c>
      <c r="D164" s="12" t="e">
        <f>IF('Match Entry'!$R131="Complete",'Match Entry'!D131,"")</f>
        <v>#DIV/0!</v>
      </c>
      <c r="E164" s="12" t="e">
        <f>IF('Match Entry'!$R131="Complete",'Match Entry'!P131&amp;"-"&amp;'Match Entry'!Q131,"")</f>
        <v>#DIV/0!</v>
      </c>
      <c r="F164" s="12" t="e">
        <f>IF('Match Entry'!$R131="Complete",'Match Entry'!E131,"")</f>
        <v>#DIV/0!</v>
      </c>
      <c r="G164" s="12" t="e">
        <f>IF('Match Entry'!$R131="Complete",IF(ISNUMBER('Match Entry'!F131),'Match Entry'!F131&amp;"-"&amp;'Match Entry'!G131,"")&amp;IF(ISNUMBER('Match Entry'!H131),", "&amp;'Match Entry'!H131&amp;"-"&amp;'Match Entry'!I131,"")&amp;IF(ISNUMBER('Match Entry'!J131),", "&amp;'Match Entry'!J131&amp;"-"&amp;'Match Entry'!K131,"")&amp;IF(ISNUMBER('Match Entry'!L131),", "&amp;'Match Entry'!L131&amp;"-"&amp;'Match Entry'!M131,"")&amp;IF(ISNUMBER('Match Entry'!N131),", "&amp;'Match Entry'!N131&amp;"-"&amp;'Match Entry'!O131,""),"")</f>
        <v>#DIV/0!</v>
      </c>
      <c r="H164" s="12" t="e">
        <f>IF('Match Entry'!$R131="Complete",'Match Entry'!S131,"")</f>
        <v>#DIV/0!</v>
      </c>
      <c r="I164" s="12"/>
      <c r="J164" s="12"/>
      <c r="K164" s="12"/>
      <c r="L164" s="12"/>
      <c r="M164" s="12"/>
      <c r="N164" s="12"/>
      <c r="O164" s="12"/>
    </row>
    <row r="165" spans="1:15" ht="28.5">
      <c r="A165" s="12" t="e">
        <f>IF('Match Entry'!$R132="Complete",'Match Entry'!A132,"")</f>
        <v>#DIV/0!</v>
      </c>
      <c r="B165" s="12" t="e">
        <f>IF('Match Entry'!$R132="Complete",'Match Entry'!B132,"")</f>
        <v>#DIV/0!</v>
      </c>
      <c r="C165" s="12" t="e">
        <f>IF('Match Entry'!$R132="Complete",'Match Entry'!C132,"")</f>
        <v>#DIV/0!</v>
      </c>
      <c r="D165" s="12" t="e">
        <f>IF('Match Entry'!$R132="Complete",'Match Entry'!D132,"")</f>
        <v>#DIV/0!</v>
      </c>
      <c r="E165" s="12" t="e">
        <f>IF('Match Entry'!$R132="Complete",'Match Entry'!P132&amp;"-"&amp;'Match Entry'!Q132,"")</f>
        <v>#DIV/0!</v>
      </c>
      <c r="F165" s="12" t="e">
        <f>IF('Match Entry'!$R132="Complete",'Match Entry'!E132,"")</f>
        <v>#DIV/0!</v>
      </c>
      <c r="G165" s="12" t="e">
        <f>IF('Match Entry'!$R132="Complete",IF(ISNUMBER('Match Entry'!F132),'Match Entry'!F132&amp;"-"&amp;'Match Entry'!G132,"")&amp;IF(ISNUMBER('Match Entry'!H132),", "&amp;'Match Entry'!H132&amp;"-"&amp;'Match Entry'!I132,"")&amp;IF(ISNUMBER('Match Entry'!J132),", "&amp;'Match Entry'!J132&amp;"-"&amp;'Match Entry'!K132,"")&amp;IF(ISNUMBER('Match Entry'!L132),", "&amp;'Match Entry'!L132&amp;"-"&amp;'Match Entry'!M132,"")&amp;IF(ISNUMBER('Match Entry'!N132),", "&amp;'Match Entry'!N132&amp;"-"&amp;'Match Entry'!O132,""),"")</f>
        <v>#DIV/0!</v>
      </c>
      <c r="H165" s="12" t="e">
        <f>IF('Match Entry'!$R132="Complete",'Match Entry'!S132,"")</f>
        <v>#DIV/0!</v>
      </c>
      <c r="I165" s="12"/>
      <c r="J165" s="12"/>
      <c r="K165" s="12"/>
      <c r="L165" s="12"/>
      <c r="M165" s="12"/>
      <c r="N165" s="12"/>
      <c r="O165" s="12"/>
    </row>
    <row r="166" spans="1:15" ht="28.5">
      <c r="A166" s="12" t="e">
        <f>IF('Match Entry'!$R133="Complete",'Match Entry'!A133,"")</f>
        <v>#DIV/0!</v>
      </c>
      <c r="B166" s="12" t="e">
        <f>IF('Match Entry'!$R133="Complete",'Match Entry'!B133,"")</f>
        <v>#DIV/0!</v>
      </c>
      <c r="C166" s="12" t="e">
        <f>IF('Match Entry'!$R133="Complete",'Match Entry'!C133,"")</f>
        <v>#DIV/0!</v>
      </c>
      <c r="D166" s="12" t="e">
        <f>IF('Match Entry'!$R133="Complete",'Match Entry'!D133,"")</f>
        <v>#DIV/0!</v>
      </c>
      <c r="E166" s="12" t="e">
        <f>IF('Match Entry'!$R133="Complete",'Match Entry'!P133&amp;"-"&amp;'Match Entry'!Q133,"")</f>
        <v>#DIV/0!</v>
      </c>
      <c r="F166" s="12" t="e">
        <f>IF('Match Entry'!$R133="Complete",'Match Entry'!E133,"")</f>
        <v>#DIV/0!</v>
      </c>
      <c r="G166" s="12" t="e">
        <f>IF('Match Entry'!$R133="Complete",IF(ISNUMBER('Match Entry'!F133),'Match Entry'!F133&amp;"-"&amp;'Match Entry'!G133,"")&amp;IF(ISNUMBER('Match Entry'!H133),", "&amp;'Match Entry'!H133&amp;"-"&amp;'Match Entry'!I133,"")&amp;IF(ISNUMBER('Match Entry'!J133),", "&amp;'Match Entry'!J133&amp;"-"&amp;'Match Entry'!K133,"")&amp;IF(ISNUMBER('Match Entry'!L133),", "&amp;'Match Entry'!L133&amp;"-"&amp;'Match Entry'!M133,"")&amp;IF(ISNUMBER('Match Entry'!N133),", "&amp;'Match Entry'!N133&amp;"-"&amp;'Match Entry'!O133,""),"")</f>
        <v>#DIV/0!</v>
      </c>
      <c r="H166" s="12" t="e">
        <f>IF('Match Entry'!$R133="Complete",'Match Entry'!S133,"")</f>
        <v>#DIV/0!</v>
      </c>
      <c r="I166" s="12"/>
      <c r="J166" s="12"/>
      <c r="K166" s="12"/>
      <c r="L166" s="12"/>
      <c r="M166" s="12"/>
      <c r="N166" s="12"/>
      <c r="O166" s="12"/>
    </row>
    <row r="167" spans="1:15" ht="28.5">
      <c r="A167" s="12" t="e">
        <f>IF('Match Entry'!$R134="Complete",'Match Entry'!A134,"")</f>
        <v>#DIV/0!</v>
      </c>
      <c r="B167" s="12" t="e">
        <f>IF('Match Entry'!$R134="Complete",'Match Entry'!B134,"")</f>
        <v>#DIV/0!</v>
      </c>
      <c r="C167" s="12" t="e">
        <f>IF('Match Entry'!$R134="Complete",'Match Entry'!C134,"")</f>
        <v>#DIV/0!</v>
      </c>
      <c r="D167" s="12" t="e">
        <f>IF('Match Entry'!$R134="Complete",'Match Entry'!D134,"")</f>
        <v>#DIV/0!</v>
      </c>
      <c r="E167" s="12" t="e">
        <f>IF('Match Entry'!$R134="Complete",'Match Entry'!P134&amp;"-"&amp;'Match Entry'!Q134,"")</f>
        <v>#DIV/0!</v>
      </c>
      <c r="F167" s="12" t="e">
        <f>IF('Match Entry'!$R134="Complete",'Match Entry'!E134,"")</f>
        <v>#DIV/0!</v>
      </c>
      <c r="G167" s="12" t="e">
        <f>IF('Match Entry'!$R134="Complete",IF(ISNUMBER('Match Entry'!F134),'Match Entry'!F134&amp;"-"&amp;'Match Entry'!G134,"")&amp;IF(ISNUMBER('Match Entry'!H134),", "&amp;'Match Entry'!H134&amp;"-"&amp;'Match Entry'!I134,"")&amp;IF(ISNUMBER('Match Entry'!J134),", "&amp;'Match Entry'!J134&amp;"-"&amp;'Match Entry'!K134,"")&amp;IF(ISNUMBER('Match Entry'!L134),", "&amp;'Match Entry'!L134&amp;"-"&amp;'Match Entry'!M134,"")&amp;IF(ISNUMBER('Match Entry'!N134),", "&amp;'Match Entry'!N134&amp;"-"&amp;'Match Entry'!O134,""),"")</f>
        <v>#DIV/0!</v>
      </c>
      <c r="H167" s="12" t="e">
        <f>IF('Match Entry'!$R134="Complete",'Match Entry'!S134,"")</f>
        <v>#DIV/0!</v>
      </c>
      <c r="I167" s="12"/>
      <c r="J167" s="12"/>
      <c r="K167" s="12"/>
      <c r="L167" s="12"/>
      <c r="M167" s="12"/>
      <c r="N167" s="12"/>
      <c r="O167" s="12"/>
    </row>
    <row r="168" spans="1:15" ht="28.5">
      <c r="A168" s="12" t="e">
        <f>IF('Match Entry'!$R135="Complete",'Match Entry'!A135,"")</f>
        <v>#DIV/0!</v>
      </c>
      <c r="B168" s="12" t="e">
        <f>IF('Match Entry'!$R135="Complete",'Match Entry'!B135,"")</f>
        <v>#DIV/0!</v>
      </c>
      <c r="C168" s="12" t="e">
        <f>IF('Match Entry'!$R135="Complete",'Match Entry'!C135,"")</f>
        <v>#DIV/0!</v>
      </c>
      <c r="D168" s="12" t="e">
        <f>IF('Match Entry'!$R135="Complete",'Match Entry'!D135,"")</f>
        <v>#DIV/0!</v>
      </c>
      <c r="E168" s="12" t="e">
        <f>IF('Match Entry'!$R135="Complete",'Match Entry'!P135&amp;"-"&amp;'Match Entry'!Q135,"")</f>
        <v>#DIV/0!</v>
      </c>
      <c r="F168" s="12" t="e">
        <f>IF('Match Entry'!$R135="Complete",'Match Entry'!E135,"")</f>
        <v>#DIV/0!</v>
      </c>
      <c r="G168" s="12" t="e">
        <f>IF('Match Entry'!$R135="Complete",IF(ISNUMBER('Match Entry'!F135),'Match Entry'!F135&amp;"-"&amp;'Match Entry'!G135,"")&amp;IF(ISNUMBER('Match Entry'!H135),", "&amp;'Match Entry'!H135&amp;"-"&amp;'Match Entry'!I135,"")&amp;IF(ISNUMBER('Match Entry'!J135),", "&amp;'Match Entry'!J135&amp;"-"&amp;'Match Entry'!K135,"")&amp;IF(ISNUMBER('Match Entry'!L135),", "&amp;'Match Entry'!L135&amp;"-"&amp;'Match Entry'!M135,"")&amp;IF(ISNUMBER('Match Entry'!N135),", "&amp;'Match Entry'!N135&amp;"-"&amp;'Match Entry'!O135,""),"")</f>
        <v>#DIV/0!</v>
      </c>
      <c r="H168" s="12" t="e">
        <f>IF('Match Entry'!$R135="Complete",'Match Entry'!S135,"")</f>
        <v>#DIV/0!</v>
      </c>
      <c r="I168" s="12"/>
      <c r="J168" s="12"/>
      <c r="K168" s="12"/>
      <c r="L168" s="12"/>
      <c r="M168" s="12"/>
      <c r="N168" s="12"/>
      <c r="O168" s="12"/>
    </row>
    <row r="169" spans="1:15" ht="28.5">
      <c r="A169" s="12" t="e">
        <f>IF('Match Entry'!$R136="Complete",'Match Entry'!A136,"")</f>
        <v>#DIV/0!</v>
      </c>
      <c r="B169" s="12" t="e">
        <f>IF('Match Entry'!$R136="Complete",'Match Entry'!B136,"")</f>
        <v>#DIV/0!</v>
      </c>
      <c r="C169" s="12" t="e">
        <f>IF('Match Entry'!$R136="Complete",'Match Entry'!C136,"")</f>
        <v>#DIV/0!</v>
      </c>
      <c r="D169" s="12" t="e">
        <f>IF('Match Entry'!$R136="Complete",'Match Entry'!D136,"")</f>
        <v>#DIV/0!</v>
      </c>
      <c r="E169" s="12" t="e">
        <f>IF('Match Entry'!$R136="Complete",'Match Entry'!P136&amp;"-"&amp;'Match Entry'!Q136,"")</f>
        <v>#DIV/0!</v>
      </c>
      <c r="F169" s="12" t="e">
        <f>IF('Match Entry'!$R136="Complete",'Match Entry'!E136,"")</f>
        <v>#DIV/0!</v>
      </c>
      <c r="G169" s="12" t="e">
        <f>IF('Match Entry'!$R136="Complete",IF(ISNUMBER('Match Entry'!F136),'Match Entry'!F136&amp;"-"&amp;'Match Entry'!G136,"")&amp;IF(ISNUMBER('Match Entry'!H136),", "&amp;'Match Entry'!H136&amp;"-"&amp;'Match Entry'!I136,"")&amp;IF(ISNUMBER('Match Entry'!J136),", "&amp;'Match Entry'!J136&amp;"-"&amp;'Match Entry'!K136,"")&amp;IF(ISNUMBER('Match Entry'!L136),", "&amp;'Match Entry'!L136&amp;"-"&amp;'Match Entry'!M136,"")&amp;IF(ISNUMBER('Match Entry'!N136),", "&amp;'Match Entry'!N136&amp;"-"&amp;'Match Entry'!O136,""),"")</f>
        <v>#DIV/0!</v>
      </c>
      <c r="H169" s="12" t="e">
        <f>IF('Match Entry'!$R136="Complete",'Match Entry'!S136,"")</f>
        <v>#DIV/0!</v>
      </c>
      <c r="I169" s="12"/>
      <c r="J169" s="12"/>
      <c r="K169" s="12"/>
      <c r="L169" s="12"/>
      <c r="M169" s="12"/>
      <c r="N169" s="12"/>
      <c r="O169" s="12"/>
    </row>
    <row r="170" spans="1:15" ht="28.5">
      <c r="A170" s="12" t="e">
        <f>IF('Match Entry'!$R137="Complete",'Match Entry'!A137,"")</f>
        <v>#DIV/0!</v>
      </c>
      <c r="B170" s="12" t="e">
        <f>IF('Match Entry'!$R137="Complete",'Match Entry'!B137,"")</f>
        <v>#DIV/0!</v>
      </c>
      <c r="C170" s="12" t="e">
        <f>IF('Match Entry'!$R137="Complete",'Match Entry'!C137,"")</f>
        <v>#DIV/0!</v>
      </c>
      <c r="D170" s="12" t="e">
        <f>IF('Match Entry'!$R137="Complete",'Match Entry'!D137,"")</f>
        <v>#DIV/0!</v>
      </c>
      <c r="E170" s="12" t="e">
        <f>IF('Match Entry'!$R137="Complete",'Match Entry'!P137&amp;"-"&amp;'Match Entry'!Q137,"")</f>
        <v>#DIV/0!</v>
      </c>
      <c r="F170" s="12" t="e">
        <f>IF('Match Entry'!$R137="Complete",'Match Entry'!E137,"")</f>
        <v>#DIV/0!</v>
      </c>
      <c r="G170" s="12" t="e">
        <f>IF('Match Entry'!$R137="Complete",IF(ISNUMBER('Match Entry'!F137),'Match Entry'!F137&amp;"-"&amp;'Match Entry'!G137,"")&amp;IF(ISNUMBER('Match Entry'!H137),", "&amp;'Match Entry'!H137&amp;"-"&amp;'Match Entry'!I137,"")&amp;IF(ISNUMBER('Match Entry'!J137),", "&amp;'Match Entry'!J137&amp;"-"&amp;'Match Entry'!K137,"")&amp;IF(ISNUMBER('Match Entry'!L137),", "&amp;'Match Entry'!L137&amp;"-"&amp;'Match Entry'!M137,"")&amp;IF(ISNUMBER('Match Entry'!N137),", "&amp;'Match Entry'!N137&amp;"-"&amp;'Match Entry'!O137,""),"")</f>
        <v>#DIV/0!</v>
      </c>
      <c r="H170" s="12" t="e">
        <f>IF('Match Entry'!$R137="Complete",'Match Entry'!S137,"")</f>
        <v>#DIV/0!</v>
      </c>
      <c r="I170" s="12"/>
      <c r="J170" s="12"/>
      <c r="K170" s="12"/>
      <c r="L170" s="12"/>
      <c r="M170" s="12"/>
      <c r="N170" s="12"/>
      <c r="O170" s="12"/>
    </row>
    <row r="171" spans="1:15" ht="28.5">
      <c r="A171" s="12" t="e">
        <f>IF('Match Entry'!$R138="Complete",'Match Entry'!A138,"")</f>
        <v>#DIV/0!</v>
      </c>
      <c r="B171" s="12" t="e">
        <f>IF('Match Entry'!$R138="Complete",'Match Entry'!B138,"")</f>
        <v>#DIV/0!</v>
      </c>
      <c r="C171" s="12" t="e">
        <f>IF('Match Entry'!$R138="Complete",'Match Entry'!C138,"")</f>
        <v>#DIV/0!</v>
      </c>
      <c r="D171" s="12" t="e">
        <f>IF('Match Entry'!$R138="Complete",'Match Entry'!D138,"")</f>
        <v>#DIV/0!</v>
      </c>
      <c r="E171" s="12" t="e">
        <f>IF('Match Entry'!$R138="Complete",'Match Entry'!P138&amp;"-"&amp;'Match Entry'!Q138,"")</f>
        <v>#DIV/0!</v>
      </c>
      <c r="F171" s="12" t="e">
        <f>IF('Match Entry'!$R138="Complete",'Match Entry'!E138,"")</f>
        <v>#DIV/0!</v>
      </c>
      <c r="G171" s="12" t="e">
        <f>IF('Match Entry'!$R138="Complete",IF(ISNUMBER('Match Entry'!F138),'Match Entry'!F138&amp;"-"&amp;'Match Entry'!G138,"")&amp;IF(ISNUMBER('Match Entry'!H138),", "&amp;'Match Entry'!H138&amp;"-"&amp;'Match Entry'!I138,"")&amp;IF(ISNUMBER('Match Entry'!J138),", "&amp;'Match Entry'!J138&amp;"-"&amp;'Match Entry'!K138,"")&amp;IF(ISNUMBER('Match Entry'!L138),", "&amp;'Match Entry'!L138&amp;"-"&amp;'Match Entry'!M138,"")&amp;IF(ISNUMBER('Match Entry'!N138),", "&amp;'Match Entry'!N138&amp;"-"&amp;'Match Entry'!O138,""),"")</f>
        <v>#DIV/0!</v>
      </c>
      <c r="H171" s="12" t="e">
        <f>IF('Match Entry'!$R138="Complete",'Match Entry'!S138,"")</f>
        <v>#DIV/0!</v>
      </c>
      <c r="I171" s="12"/>
      <c r="J171" s="12"/>
      <c r="K171" s="12"/>
      <c r="L171" s="12"/>
      <c r="M171" s="12"/>
      <c r="N171" s="12"/>
      <c r="O171" s="12"/>
    </row>
    <row r="172" spans="1:15" ht="28.5">
      <c r="A172" s="12" t="e">
        <f>IF('Match Entry'!$R139="Complete",'Match Entry'!A139,"")</f>
        <v>#DIV/0!</v>
      </c>
      <c r="B172" s="12" t="e">
        <f>IF('Match Entry'!$R139="Complete",'Match Entry'!B139,"")</f>
        <v>#DIV/0!</v>
      </c>
      <c r="C172" s="12" t="e">
        <f>IF('Match Entry'!$R139="Complete",'Match Entry'!C139,"")</f>
        <v>#DIV/0!</v>
      </c>
      <c r="D172" s="12" t="e">
        <f>IF('Match Entry'!$R139="Complete",'Match Entry'!D139,"")</f>
        <v>#DIV/0!</v>
      </c>
      <c r="E172" s="12" t="e">
        <f>IF('Match Entry'!$R139="Complete",'Match Entry'!P139&amp;"-"&amp;'Match Entry'!Q139,"")</f>
        <v>#DIV/0!</v>
      </c>
      <c r="F172" s="12" t="e">
        <f>IF('Match Entry'!$R139="Complete",'Match Entry'!E139,"")</f>
        <v>#DIV/0!</v>
      </c>
      <c r="G172" s="12" t="e">
        <f>IF('Match Entry'!$R139="Complete",IF(ISNUMBER('Match Entry'!F139),'Match Entry'!F139&amp;"-"&amp;'Match Entry'!G139,"")&amp;IF(ISNUMBER('Match Entry'!H139),", "&amp;'Match Entry'!H139&amp;"-"&amp;'Match Entry'!I139,"")&amp;IF(ISNUMBER('Match Entry'!J139),", "&amp;'Match Entry'!J139&amp;"-"&amp;'Match Entry'!K139,"")&amp;IF(ISNUMBER('Match Entry'!L139),", "&amp;'Match Entry'!L139&amp;"-"&amp;'Match Entry'!M139,"")&amp;IF(ISNUMBER('Match Entry'!N139),", "&amp;'Match Entry'!N139&amp;"-"&amp;'Match Entry'!O139,""),"")</f>
        <v>#DIV/0!</v>
      </c>
      <c r="H172" s="12" t="e">
        <f>IF('Match Entry'!$R139="Complete",'Match Entry'!S139,"")</f>
        <v>#DIV/0!</v>
      </c>
      <c r="I172" s="12"/>
      <c r="J172" s="12"/>
      <c r="K172" s="12"/>
      <c r="L172" s="12"/>
      <c r="M172" s="12"/>
      <c r="N172" s="12"/>
      <c r="O172" s="12"/>
    </row>
    <row r="173" spans="1:15" ht="28.5">
      <c r="A173" s="12" t="e">
        <f>IF('Match Entry'!$R140="Complete",'Match Entry'!A140,"")</f>
        <v>#DIV/0!</v>
      </c>
      <c r="B173" s="12" t="e">
        <f>IF('Match Entry'!$R140="Complete",'Match Entry'!B140,"")</f>
        <v>#DIV/0!</v>
      </c>
      <c r="C173" s="12" t="e">
        <f>IF('Match Entry'!$R140="Complete",'Match Entry'!C140,"")</f>
        <v>#DIV/0!</v>
      </c>
      <c r="D173" s="12" t="e">
        <f>IF('Match Entry'!$R140="Complete",'Match Entry'!D140,"")</f>
        <v>#DIV/0!</v>
      </c>
      <c r="E173" s="12" t="e">
        <f>IF('Match Entry'!$R140="Complete",'Match Entry'!P140&amp;"-"&amp;'Match Entry'!Q140,"")</f>
        <v>#DIV/0!</v>
      </c>
      <c r="F173" s="12" t="e">
        <f>IF('Match Entry'!$R140="Complete",'Match Entry'!E140,"")</f>
        <v>#DIV/0!</v>
      </c>
      <c r="G173" s="12" t="e">
        <f>IF('Match Entry'!$R140="Complete",IF(ISNUMBER('Match Entry'!F140),'Match Entry'!F140&amp;"-"&amp;'Match Entry'!G140,"")&amp;IF(ISNUMBER('Match Entry'!H140),", "&amp;'Match Entry'!H140&amp;"-"&amp;'Match Entry'!I140,"")&amp;IF(ISNUMBER('Match Entry'!J140),", "&amp;'Match Entry'!J140&amp;"-"&amp;'Match Entry'!K140,"")&amp;IF(ISNUMBER('Match Entry'!L140),", "&amp;'Match Entry'!L140&amp;"-"&amp;'Match Entry'!M140,"")&amp;IF(ISNUMBER('Match Entry'!N140),", "&amp;'Match Entry'!N140&amp;"-"&amp;'Match Entry'!O140,""),"")</f>
        <v>#DIV/0!</v>
      </c>
      <c r="H173" s="12" t="e">
        <f>IF('Match Entry'!$R140="Complete",'Match Entry'!S140,"")</f>
        <v>#DIV/0!</v>
      </c>
      <c r="I173" s="12"/>
      <c r="J173" s="12"/>
      <c r="K173" s="12"/>
      <c r="L173" s="12"/>
      <c r="M173" s="12"/>
      <c r="N173" s="12"/>
      <c r="O173" s="12"/>
    </row>
    <row r="174" spans="1:15" ht="28.5">
      <c r="A174" s="12" t="e">
        <f>IF('Match Entry'!$R141="Complete",'Match Entry'!A141,"")</f>
        <v>#DIV/0!</v>
      </c>
      <c r="B174" s="12" t="e">
        <f>IF('Match Entry'!$R141="Complete",'Match Entry'!B141,"")</f>
        <v>#DIV/0!</v>
      </c>
      <c r="C174" s="12" t="e">
        <f>IF('Match Entry'!$R141="Complete",'Match Entry'!C141,"")</f>
        <v>#DIV/0!</v>
      </c>
      <c r="D174" s="12" t="e">
        <f>IF('Match Entry'!$R141="Complete",'Match Entry'!D141,"")</f>
        <v>#DIV/0!</v>
      </c>
      <c r="E174" s="12" t="e">
        <f>IF('Match Entry'!$R141="Complete",'Match Entry'!P141&amp;"-"&amp;'Match Entry'!Q141,"")</f>
        <v>#DIV/0!</v>
      </c>
      <c r="F174" s="12" t="e">
        <f>IF('Match Entry'!$R141="Complete",'Match Entry'!E141,"")</f>
        <v>#DIV/0!</v>
      </c>
      <c r="G174" s="12" t="e">
        <f>IF('Match Entry'!$R141="Complete",IF(ISNUMBER('Match Entry'!F141),'Match Entry'!F141&amp;"-"&amp;'Match Entry'!G141,"")&amp;IF(ISNUMBER('Match Entry'!H141),", "&amp;'Match Entry'!H141&amp;"-"&amp;'Match Entry'!I141,"")&amp;IF(ISNUMBER('Match Entry'!J141),", "&amp;'Match Entry'!J141&amp;"-"&amp;'Match Entry'!K141,"")&amp;IF(ISNUMBER('Match Entry'!L141),", "&amp;'Match Entry'!L141&amp;"-"&amp;'Match Entry'!M141,"")&amp;IF(ISNUMBER('Match Entry'!N141),", "&amp;'Match Entry'!N141&amp;"-"&amp;'Match Entry'!O141,""),"")</f>
        <v>#DIV/0!</v>
      </c>
      <c r="H174" s="12" t="e">
        <f>IF('Match Entry'!$R141="Complete",'Match Entry'!S141,"")</f>
        <v>#DIV/0!</v>
      </c>
      <c r="I174" s="12"/>
      <c r="J174" s="12"/>
      <c r="K174" s="12"/>
      <c r="L174" s="12"/>
      <c r="M174" s="12"/>
      <c r="N174" s="12"/>
      <c r="O174" s="12"/>
    </row>
    <row r="175" spans="1:15" ht="28.5">
      <c r="A175" s="12" t="e">
        <f>IF('Match Entry'!$R142="Complete",'Match Entry'!A142,"")</f>
        <v>#DIV/0!</v>
      </c>
      <c r="B175" s="12" t="e">
        <f>IF('Match Entry'!$R142="Complete",'Match Entry'!B142,"")</f>
        <v>#DIV/0!</v>
      </c>
      <c r="C175" s="12" t="e">
        <f>IF('Match Entry'!$R142="Complete",'Match Entry'!C142,"")</f>
        <v>#DIV/0!</v>
      </c>
      <c r="D175" s="12" t="e">
        <f>IF('Match Entry'!$R142="Complete",'Match Entry'!D142,"")</f>
        <v>#DIV/0!</v>
      </c>
      <c r="E175" s="12" t="e">
        <f>IF('Match Entry'!$R142="Complete",'Match Entry'!P142&amp;"-"&amp;'Match Entry'!Q142,"")</f>
        <v>#DIV/0!</v>
      </c>
      <c r="F175" s="12" t="e">
        <f>IF('Match Entry'!$R142="Complete",'Match Entry'!E142,"")</f>
        <v>#DIV/0!</v>
      </c>
      <c r="G175" s="12" t="e">
        <f>IF('Match Entry'!$R142="Complete",IF(ISNUMBER('Match Entry'!F142),'Match Entry'!F142&amp;"-"&amp;'Match Entry'!G142,"")&amp;IF(ISNUMBER('Match Entry'!H142),", "&amp;'Match Entry'!H142&amp;"-"&amp;'Match Entry'!I142,"")&amp;IF(ISNUMBER('Match Entry'!J142),", "&amp;'Match Entry'!J142&amp;"-"&amp;'Match Entry'!K142,"")&amp;IF(ISNUMBER('Match Entry'!L142),", "&amp;'Match Entry'!L142&amp;"-"&amp;'Match Entry'!M142,"")&amp;IF(ISNUMBER('Match Entry'!N142),", "&amp;'Match Entry'!N142&amp;"-"&amp;'Match Entry'!O142,""),"")</f>
        <v>#DIV/0!</v>
      </c>
      <c r="H175" s="12" t="e">
        <f>IF('Match Entry'!$R142="Complete",'Match Entry'!S142,"")</f>
        <v>#DIV/0!</v>
      </c>
      <c r="I175" s="12"/>
      <c r="J175" s="12"/>
      <c r="K175" s="12"/>
      <c r="L175" s="12"/>
      <c r="M175" s="12"/>
      <c r="N175" s="12"/>
      <c r="O175" s="12"/>
    </row>
    <row r="176" spans="1:15" ht="28.5">
      <c r="A176" s="12" t="e">
        <f>IF('Match Entry'!$R143="Complete",'Match Entry'!A143,"")</f>
        <v>#DIV/0!</v>
      </c>
      <c r="B176" s="12" t="e">
        <f>IF('Match Entry'!$R143="Complete",'Match Entry'!B143,"")</f>
        <v>#DIV/0!</v>
      </c>
      <c r="C176" s="12" t="e">
        <f>IF('Match Entry'!$R143="Complete",'Match Entry'!C143,"")</f>
        <v>#DIV/0!</v>
      </c>
      <c r="D176" s="12" t="e">
        <f>IF('Match Entry'!$R143="Complete",'Match Entry'!D143,"")</f>
        <v>#DIV/0!</v>
      </c>
      <c r="E176" s="12" t="e">
        <f>IF('Match Entry'!$R143="Complete",'Match Entry'!P143&amp;"-"&amp;'Match Entry'!Q143,"")</f>
        <v>#DIV/0!</v>
      </c>
      <c r="F176" s="12" t="e">
        <f>IF('Match Entry'!$R143="Complete",'Match Entry'!E143,"")</f>
        <v>#DIV/0!</v>
      </c>
      <c r="G176" s="12" t="e">
        <f>IF('Match Entry'!$R143="Complete",IF(ISNUMBER('Match Entry'!F143),'Match Entry'!F143&amp;"-"&amp;'Match Entry'!G143,"")&amp;IF(ISNUMBER('Match Entry'!H143),", "&amp;'Match Entry'!H143&amp;"-"&amp;'Match Entry'!I143,"")&amp;IF(ISNUMBER('Match Entry'!J143),", "&amp;'Match Entry'!J143&amp;"-"&amp;'Match Entry'!K143,"")&amp;IF(ISNUMBER('Match Entry'!L143),", "&amp;'Match Entry'!L143&amp;"-"&amp;'Match Entry'!M143,"")&amp;IF(ISNUMBER('Match Entry'!N143),", "&amp;'Match Entry'!N143&amp;"-"&amp;'Match Entry'!O143,""),"")</f>
        <v>#DIV/0!</v>
      </c>
      <c r="H176" s="12" t="e">
        <f>IF('Match Entry'!$R143="Complete",'Match Entry'!S143,"")</f>
        <v>#DIV/0!</v>
      </c>
      <c r="I176" s="12"/>
      <c r="J176" s="12"/>
      <c r="K176" s="12"/>
      <c r="L176" s="12"/>
      <c r="M176" s="12"/>
      <c r="N176" s="12"/>
      <c r="O176" s="12"/>
    </row>
    <row r="177" spans="1:15" ht="28.5">
      <c r="A177" s="12" t="e">
        <f>IF('Match Entry'!$R144="Complete",'Match Entry'!A144,"")</f>
        <v>#DIV/0!</v>
      </c>
      <c r="B177" s="12" t="e">
        <f>IF('Match Entry'!$R144="Complete",'Match Entry'!B144,"")</f>
        <v>#DIV/0!</v>
      </c>
      <c r="C177" s="12" t="e">
        <f>IF('Match Entry'!$R144="Complete",'Match Entry'!C144,"")</f>
        <v>#DIV/0!</v>
      </c>
      <c r="D177" s="12" t="e">
        <f>IF('Match Entry'!$R144="Complete",'Match Entry'!D144,"")</f>
        <v>#DIV/0!</v>
      </c>
      <c r="E177" s="12" t="e">
        <f>IF('Match Entry'!$R144="Complete",'Match Entry'!P144&amp;"-"&amp;'Match Entry'!Q144,"")</f>
        <v>#DIV/0!</v>
      </c>
      <c r="F177" s="12" t="e">
        <f>IF('Match Entry'!$R144="Complete",'Match Entry'!E144,"")</f>
        <v>#DIV/0!</v>
      </c>
      <c r="G177" s="12" t="e">
        <f>IF('Match Entry'!$R144="Complete",IF(ISNUMBER('Match Entry'!F144),'Match Entry'!F144&amp;"-"&amp;'Match Entry'!G144,"")&amp;IF(ISNUMBER('Match Entry'!H144),", "&amp;'Match Entry'!H144&amp;"-"&amp;'Match Entry'!I144,"")&amp;IF(ISNUMBER('Match Entry'!J144),", "&amp;'Match Entry'!J144&amp;"-"&amp;'Match Entry'!K144,"")&amp;IF(ISNUMBER('Match Entry'!L144),", "&amp;'Match Entry'!L144&amp;"-"&amp;'Match Entry'!M144,"")&amp;IF(ISNUMBER('Match Entry'!N144),", "&amp;'Match Entry'!N144&amp;"-"&amp;'Match Entry'!O144,""),"")</f>
        <v>#DIV/0!</v>
      </c>
      <c r="H177" s="12" t="e">
        <f>IF('Match Entry'!$R144="Complete",'Match Entry'!S144,"")</f>
        <v>#DIV/0!</v>
      </c>
      <c r="I177" s="12"/>
      <c r="J177" s="12"/>
      <c r="K177" s="12"/>
      <c r="L177" s="12"/>
      <c r="M177" s="12"/>
      <c r="N177" s="12"/>
      <c r="O177" s="12"/>
    </row>
    <row r="178" spans="1:15" ht="28.5">
      <c r="A178" s="12" t="e">
        <f>IF('Match Entry'!$R145="Complete",'Match Entry'!A145,"")</f>
        <v>#DIV/0!</v>
      </c>
      <c r="B178" s="12" t="e">
        <f>IF('Match Entry'!$R145="Complete",'Match Entry'!B145,"")</f>
        <v>#DIV/0!</v>
      </c>
      <c r="C178" s="12" t="e">
        <f>IF('Match Entry'!$R145="Complete",'Match Entry'!C145,"")</f>
        <v>#DIV/0!</v>
      </c>
      <c r="D178" s="12" t="e">
        <f>IF('Match Entry'!$R145="Complete",'Match Entry'!D145,"")</f>
        <v>#DIV/0!</v>
      </c>
      <c r="E178" s="12" t="e">
        <f>IF('Match Entry'!$R145="Complete",'Match Entry'!P145&amp;"-"&amp;'Match Entry'!Q145,"")</f>
        <v>#DIV/0!</v>
      </c>
      <c r="F178" s="12" t="e">
        <f>IF('Match Entry'!$R145="Complete",'Match Entry'!E145,"")</f>
        <v>#DIV/0!</v>
      </c>
      <c r="G178" s="12" t="e">
        <f>IF('Match Entry'!$R145="Complete",IF(ISNUMBER('Match Entry'!F145),'Match Entry'!F145&amp;"-"&amp;'Match Entry'!G145,"")&amp;IF(ISNUMBER('Match Entry'!H145),", "&amp;'Match Entry'!H145&amp;"-"&amp;'Match Entry'!I145,"")&amp;IF(ISNUMBER('Match Entry'!J145),", "&amp;'Match Entry'!J145&amp;"-"&amp;'Match Entry'!K145,"")&amp;IF(ISNUMBER('Match Entry'!L145),", "&amp;'Match Entry'!L145&amp;"-"&amp;'Match Entry'!M145,"")&amp;IF(ISNUMBER('Match Entry'!N145),", "&amp;'Match Entry'!N145&amp;"-"&amp;'Match Entry'!O145,""),"")</f>
        <v>#DIV/0!</v>
      </c>
      <c r="H178" s="12" t="e">
        <f>IF('Match Entry'!$R145="Complete",'Match Entry'!S145,"")</f>
        <v>#DIV/0!</v>
      </c>
      <c r="I178" s="12"/>
      <c r="J178" s="12"/>
      <c r="K178" s="12"/>
      <c r="L178" s="12"/>
      <c r="M178" s="12"/>
      <c r="N178" s="12"/>
      <c r="O178" s="12"/>
    </row>
    <row r="179" spans="1:15" ht="28.5">
      <c r="A179" s="12" t="e">
        <f>IF('Match Entry'!$R146="Complete",'Match Entry'!A146,"")</f>
        <v>#DIV/0!</v>
      </c>
      <c r="B179" s="12" t="e">
        <f>IF('Match Entry'!$R146="Complete",'Match Entry'!B146,"")</f>
        <v>#DIV/0!</v>
      </c>
      <c r="C179" s="12" t="e">
        <f>IF('Match Entry'!$R146="Complete",'Match Entry'!C146,"")</f>
        <v>#DIV/0!</v>
      </c>
      <c r="D179" s="12" t="e">
        <f>IF('Match Entry'!$R146="Complete",'Match Entry'!D146,"")</f>
        <v>#DIV/0!</v>
      </c>
      <c r="E179" s="12" t="e">
        <f>IF('Match Entry'!$R146="Complete",'Match Entry'!P146&amp;"-"&amp;'Match Entry'!Q146,"")</f>
        <v>#DIV/0!</v>
      </c>
      <c r="F179" s="12" t="e">
        <f>IF('Match Entry'!$R146="Complete",'Match Entry'!E146,"")</f>
        <v>#DIV/0!</v>
      </c>
      <c r="G179" s="12" t="e">
        <f>IF('Match Entry'!$R146="Complete",IF(ISNUMBER('Match Entry'!F146),'Match Entry'!F146&amp;"-"&amp;'Match Entry'!G146,"")&amp;IF(ISNUMBER('Match Entry'!H146),", "&amp;'Match Entry'!H146&amp;"-"&amp;'Match Entry'!I146,"")&amp;IF(ISNUMBER('Match Entry'!J146),", "&amp;'Match Entry'!J146&amp;"-"&amp;'Match Entry'!K146,"")&amp;IF(ISNUMBER('Match Entry'!L146),", "&amp;'Match Entry'!L146&amp;"-"&amp;'Match Entry'!M146,"")&amp;IF(ISNUMBER('Match Entry'!N146),", "&amp;'Match Entry'!N146&amp;"-"&amp;'Match Entry'!O146,""),"")</f>
        <v>#DIV/0!</v>
      </c>
      <c r="H179" s="12" t="e">
        <f>IF('Match Entry'!$R146="Complete",'Match Entry'!S146,"")</f>
        <v>#DIV/0!</v>
      </c>
      <c r="I179" s="12"/>
      <c r="J179" s="12"/>
      <c r="K179" s="12"/>
      <c r="L179" s="12"/>
      <c r="M179" s="12"/>
      <c r="N179" s="12"/>
      <c r="O179" s="12"/>
    </row>
    <row r="180" spans="1:15" ht="28.5">
      <c r="A180" s="12" t="e">
        <f>IF('Match Entry'!$R147="Complete",'Match Entry'!A147,"")</f>
        <v>#DIV/0!</v>
      </c>
      <c r="B180" s="12" t="e">
        <f>IF('Match Entry'!$R147="Complete",'Match Entry'!B147,"")</f>
        <v>#DIV/0!</v>
      </c>
      <c r="C180" s="12" t="e">
        <f>IF('Match Entry'!$R147="Complete",'Match Entry'!C147,"")</f>
        <v>#DIV/0!</v>
      </c>
      <c r="D180" s="12" t="e">
        <f>IF('Match Entry'!$R147="Complete",'Match Entry'!D147,"")</f>
        <v>#DIV/0!</v>
      </c>
      <c r="E180" s="12" t="e">
        <f>IF('Match Entry'!$R147="Complete",'Match Entry'!P147&amp;"-"&amp;'Match Entry'!Q147,"")</f>
        <v>#DIV/0!</v>
      </c>
      <c r="F180" s="12" t="e">
        <f>IF('Match Entry'!$R147="Complete",'Match Entry'!E147,"")</f>
        <v>#DIV/0!</v>
      </c>
      <c r="G180" s="12" t="e">
        <f>IF('Match Entry'!$R147="Complete",IF(ISNUMBER('Match Entry'!F147),'Match Entry'!F147&amp;"-"&amp;'Match Entry'!G147,"")&amp;IF(ISNUMBER('Match Entry'!H147),", "&amp;'Match Entry'!H147&amp;"-"&amp;'Match Entry'!I147,"")&amp;IF(ISNUMBER('Match Entry'!J147),", "&amp;'Match Entry'!J147&amp;"-"&amp;'Match Entry'!K147,"")&amp;IF(ISNUMBER('Match Entry'!L147),", "&amp;'Match Entry'!L147&amp;"-"&amp;'Match Entry'!M147,"")&amp;IF(ISNUMBER('Match Entry'!N147),", "&amp;'Match Entry'!N147&amp;"-"&amp;'Match Entry'!O147,""),"")</f>
        <v>#DIV/0!</v>
      </c>
      <c r="H180" s="12" t="e">
        <f>IF('Match Entry'!$R147="Complete",'Match Entry'!S147,"")</f>
        <v>#DIV/0!</v>
      </c>
      <c r="I180" s="12"/>
      <c r="J180" s="12"/>
      <c r="K180" s="12"/>
      <c r="L180" s="12"/>
      <c r="M180" s="12"/>
      <c r="N180" s="12"/>
      <c r="O180" s="12"/>
    </row>
    <row r="181" spans="1:15" ht="28.5">
      <c r="A181" s="12" t="e">
        <f>IF('Match Entry'!$R148="Complete",'Match Entry'!A148,"")</f>
        <v>#DIV/0!</v>
      </c>
      <c r="B181" s="12" t="e">
        <f>IF('Match Entry'!$R148="Complete",'Match Entry'!B148,"")</f>
        <v>#DIV/0!</v>
      </c>
      <c r="C181" s="12" t="e">
        <f>IF('Match Entry'!$R148="Complete",'Match Entry'!C148,"")</f>
        <v>#DIV/0!</v>
      </c>
      <c r="D181" s="12" t="e">
        <f>IF('Match Entry'!$R148="Complete",'Match Entry'!D148,"")</f>
        <v>#DIV/0!</v>
      </c>
      <c r="E181" s="12" t="e">
        <f>IF('Match Entry'!$R148="Complete",'Match Entry'!P148&amp;"-"&amp;'Match Entry'!Q148,"")</f>
        <v>#DIV/0!</v>
      </c>
      <c r="F181" s="12" t="e">
        <f>IF('Match Entry'!$R148="Complete",'Match Entry'!E148,"")</f>
        <v>#DIV/0!</v>
      </c>
      <c r="G181" s="12" t="e">
        <f>IF('Match Entry'!$R148="Complete",IF(ISNUMBER('Match Entry'!F148),'Match Entry'!F148&amp;"-"&amp;'Match Entry'!G148,"")&amp;IF(ISNUMBER('Match Entry'!H148),", "&amp;'Match Entry'!H148&amp;"-"&amp;'Match Entry'!I148,"")&amp;IF(ISNUMBER('Match Entry'!J148),", "&amp;'Match Entry'!J148&amp;"-"&amp;'Match Entry'!K148,"")&amp;IF(ISNUMBER('Match Entry'!L148),", "&amp;'Match Entry'!L148&amp;"-"&amp;'Match Entry'!M148,"")&amp;IF(ISNUMBER('Match Entry'!N148),", "&amp;'Match Entry'!N148&amp;"-"&amp;'Match Entry'!O148,""),"")</f>
        <v>#DIV/0!</v>
      </c>
      <c r="H181" s="12" t="e">
        <f>IF('Match Entry'!$R148="Complete",'Match Entry'!S148,"")</f>
        <v>#DIV/0!</v>
      </c>
      <c r="I181" s="12"/>
      <c r="J181" s="12"/>
      <c r="K181" s="12"/>
      <c r="L181" s="12"/>
      <c r="M181" s="12"/>
      <c r="N181" s="12"/>
      <c r="O181" s="12"/>
    </row>
    <row r="182" spans="1:15" ht="28.5">
      <c r="A182" s="12" t="e">
        <f>IF('Match Entry'!$R149="Complete",'Match Entry'!A149,"")</f>
        <v>#DIV/0!</v>
      </c>
      <c r="B182" s="12" t="e">
        <f>IF('Match Entry'!$R149="Complete",'Match Entry'!B149,"")</f>
        <v>#DIV/0!</v>
      </c>
      <c r="C182" s="12" t="e">
        <f>IF('Match Entry'!$R149="Complete",'Match Entry'!C149,"")</f>
        <v>#DIV/0!</v>
      </c>
      <c r="D182" s="12" t="e">
        <f>IF('Match Entry'!$R149="Complete",'Match Entry'!D149,"")</f>
        <v>#DIV/0!</v>
      </c>
      <c r="E182" s="12" t="e">
        <f>IF('Match Entry'!$R149="Complete",'Match Entry'!P149&amp;"-"&amp;'Match Entry'!Q149,"")</f>
        <v>#DIV/0!</v>
      </c>
      <c r="F182" s="12" t="e">
        <f>IF('Match Entry'!$R149="Complete",'Match Entry'!E149,"")</f>
        <v>#DIV/0!</v>
      </c>
      <c r="G182" s="12" t="e">
        <f>IF('Match Entry'!$R149="Complete",IF(ISNUMBER('Match Entry'!F149),'Match Entry'!F149&amp;"-"&amp;'Match Entry'!G149,"")&amp;IF(ISNUMBER('Match Entry'!H149),", "&amp;'Match Entry'!H149&amp;"-"&amp;'Match Entry'!I149,"")&amp;IF(ISNUMBER('Match Entry'!J149),", "&amp;'Match Entry'!J149&amp;"-"&amp;'Match Entry'!K149,"")&amp;IF(ISNUMBER('Match Entry'!L149),", "&amp;'Match Entry'!L149&amp;"-"&amp;'Match Entry'!M149,"")&amp;IF(ISNUMBER('Match Entry'!N149),", "&amp;'Match Entry'!N149&amp;"-"&amp;'Match Entry'!O149,""),"")</f>
        <v>#DIV/0!</v>
      </c>
      <c r="H182" s="12" t="e">
        <f>IF('Match Entry'!$R149="Complete",'Match Entry'!S149,"")</f>
        <v>#DIV/0!</v>
      </c>
      <c r="I182" s="12"/>
      <c r="J182" s="12"/>
      <c r="K182" s="12"/>
      <c r="L182" s="12"/>
      <c r="M182" s="12"/>
      <c r="N182" s="12"/>
      <c r="O182" s="12"/>
    </row>
    <row r="183" spans="1:15" ht="28.5">
      <c r="A183" s="12" t="e">
        <f>IF('Match Entry'!$R150="Complete",'Match Entry'!A150,"")</f>
        <v>#DIV/0!</v>
      </c>
      <c r="B183" s="12" t="e">
        <f>IF('Match Entry'!$R150="Complete",'Match Entry'!B150,"")</f>
        <v>#DIV/0!</v>
      </c>
      <c r="C183" s="12" t="e">
        <f>IF('Match Entry'!$R150="Complete",'Match Entry'!C150,"")</f>
        <v>#DIV/0!</v>
      </c>
      <c r="D183" s="12" t="e">
        <f>IF('Match Entry'!$R150="Complete",'Match Entry'!D150,"")</f>
        <v>#DIV/0!</v>
      </c>
      <c r="E183" s="12" t="e">
        <f>IF('Match Entry'!$R150="Complete",'Match Entry'!P150&amp;"-"&amp;'Match Entry'!Q150,"")</f>
        <v>#DIV/0!</v>
      </c>
      <c r="F183" s="12" t="e">
        <f>IF('Match Entry'!$R150="Complete",'Match Entry'!E150,"")</f>
        <v>#DIV/0!</v>
      </c>
      <c r="G183" s="12" t="e">
        <f>IF('Match Entry'!$R150="Complete",IF(ISNUMBER('Match Entry'!F150),'Match Entry'!F150&amp;"-"&amp;'Match Entry'!G150,"")&amp;IF(ISNUMBER('Match Entry'!H150),", "&amp;'Match Entry'!H150&amp;"-"&amp;'Match Entry'!I150,"")&amp;IF(ISNUMBER('Match Entry'!J150),", "&amp;'Match Entry'!J150&amp;"-"&amp;'Match Entry'!K150,"")&amp;IF(ISNUMBER('Match Entry'!L150),", "&amp;'Match Entry'!L150&amp;"-"&amp;'Match Entry'!M150,"")&amp;IF(ISNUMBER('Match Entry'!N150),", "&amp;'Match Entry'!N150&amp;"-"&amp;'Match Entry'!O150,""),"")</f>
        <v>#DIV/0!</v>
      </c>
      <c r="H183" s="12" t="e">
        <f>IF('Match Entry'!$R150="Complete",'Match Entry'!S150,"")</f>
        <v>#DIV/0!</v>
      </c>
      <c r="I183" s="12"/>
      <c r="J183" s="12"/>
      <c r="K183" s="12"/>
      <c r="L183" s="12"/>
      <c r="M183" s="12"/>
      <c r="N183" s="12"/>
      <c r="O183" s="12"/>
    </row>
    <row r="184" spans="1:15" ht="28.5">
      <c r="A184" s="12" t="e">
        <f>IF('Match Entry'!$R151="Complete",'Match Entry'!A151,"")</f>
        <v>#DIV/0!</v>
      </c>
      <c r="B184" s="12" t="e">
        <f>IF('Match Entry'!$R151="Complete",'Match Entry'!B151,"")</f>
        <v>#DIV/0!</v>
      </c>
      <c r="C184" s="12" t="e">
        <f>IF('Match Entry'!$R151="Complete",'Match Entry'!C151,"")</f>
        <v>#DIV/0!</v>
      </c>
      <c r="D184" s="12" t="e">
        <f>IF('Match Entry'!$R151="Complete",'Match Entry'!D151,"")</f>
        <v>#DIV/0!</v>
      </c>
      <c r="E184" s="12" t="e">
        <f>IF('Match Entry'!$R151="Complete",'Match Entry'!P151&amp;"-"&amp;'Match Entry'!Q151,"")</f>
        <v>#DIV/0!</v>
      </c>
      <c r="F184" s="12" t="e">
        <f>IF('Match Entry'!$R151="Complete",'Match Entry'!E151,"")</f>
        <v>#DIV/0!</v>
      </c>
      <c r="G184" s="12" t="e">
        <f>IF('Match Entry'!$R151="Complete",IF(ISNUMBER('Match Entry'!F151),'Match Entry'!F151&amp;"-"&amp;'Match Entry'!G151,"")&amp;IF(ISNUMBER('Match Entry'!H151),", "&amp;'Match Entry'!H151&amp;"-"&amp;'Match Entry'!I151,"")&amp;IF(ISNUMBER('Match Entry'!J151),", "&amp;'Match Entry'!J151&amp;"-"&amp;'Match Entry'!K151,"")&amp;IF(ISNUMBER('Match Entry'!L151),", "&amp;'Match Entry'!L151&amp;"-"&amp;'Match Entry'!M151,"")&amp;IF(ISNUMBER('Match Entry'!N151),", "&amp;'Match Entry'!N151&amp;"-"&amp;'Match Entry'!O151,""),"")</f>
        <v>#DIV/0!</v>
      </c>
      <c r="H184" s="12" t="e">
        <f>IF('Match Entry'!$R151="Complete",'Match Entry'!S151,"")</f>
        <v>#DIV/0!</v>
      </c>
      <c r="I184" s="12"/>
      <c r="J184" s="12"/>
      <c r="K184" s="12"/>
      <c r="L184" s="12"/>
      <c r="M184" s="12"/>
      <c r="N184" s="12"/>
      <c r="O184" s="12"/>
    </row>
    <row r="185" spans="1:15" ht="28.5">
      <c r="A185" s="12" t="e">
        <f>IF('Match Entry'!$R152="Complete",'Match Entry'!A152,"")</f>
        <v>#DIV/0!</v>
      </c>
      <c r="B185" s="12" t="e">
        <f>IF('Match Entry'!$R152="Complete",'Match Entry'!B152,"")</f>
        <v>#DIV/0!</v>
      </c>
      <c r="C185" s="12" t="e">
        <f>IF('Match Entry'!$R152="Complete",'Match Entry'!C152,"")</f>
        <v>#DIV/0!</v>
      </c>
      <c r="D185" s="12" t="e">
        <f>IF('Match Entry'!$R152="Complete",'Match Entry'!D152,"")</f>
        <v>#DIV/0!</v>
      </c>
      <c r="E185" s="12" t="e">
        <f>IF('Match Entry'!$R152="Complete",'Match Entry'!P152&amp;"-"&amp;'Match Entry'!Q152,"")</f>
        <v>#DIV/0!</v>
      </c>
      <c r="F185" s="12" t="e">
        <f>IF('Match Entry'!$R152="Complete",'Match Entry'!E152,"")</f>
        <v>#DIV/0!</v>
      </c>
      <c r="G185" s="12" t="e">
        <f>IF('Match Entry'!$R152="Complete",IF(ISNUMBER('Match Entry'!F152),'Match Entry'!F152&amp;"-"&amp;'Match Entry'!G152,"")&amp;IF(ISNUMBER('Match Entry'!H152),", "&amp;'Match Entry'!H152&amp;"-"&amp;'Match Entry'!I152,"")&amp;IF(ISNUMBER('Match Entry'!J152),", "&amp;'Match Entry'!J152&amp;"-"&amp;'Match Entry'!K152,"")&amp;IF(ISNUMBER('Match Entry'!L152),", "&amp;'Match Entry'!L152&amp;"-"&amp;'Match Entry'!M152,"")&amp;IF(ISNUMBER('Match Entry'!N152),", "&amp;'Match Entry'!N152&amp;"-"&amp;'Match Entry'!O152,""),"")</f>
        <v>#DIV/0!</v>
      </c>
      <c r="H185" s="12" t="e">
        <f>IF('Match Entry'!$R152="Complete",'Match Entry'!S152,"")</f>
        <v>#DIV/0!</v>
      </c>
      <c r="I185" s="12"/>
      <c r="J185" s="12"/>
      <c r="K185" s="12"/>
      <c r="L185" s="12"/>
      <c r="M185" s="12"/>
      <c r="N185" s="12"/>
      <c r="O185" s="12"/>
    </row>
    <row r="186" spans="1:15" ht="28.5">
      <c r="A186" s="12" t="e">
        <f>IF('Match Entry'!$R153="Complete",'Match Entry'!A153,"")</f>
        <v>#DIV/0!</v>
      </c>
      <c r="B186" s="12" t="e">
        <f>IF('Match Entry'!$R153="Complete",'Match Entry'!B153,"")</f>
        <v>#DIV/0!</v>
      </c>
      <c r="C186" s="12" t="e">
        <f>IF('Match Entry'!$R153="Complete",'Match Entry'!C153,"")</f>
        <v>#DIV/0!</v>
      </c>
      <c r="D186" s="12" t="e">
        <f>IF('Match Entry'!$R153="Complete",'Match Entry'!D153,"")</f>
        <v>#DIV/0!</v>
      </c>
      <c r="E186" s="12" t="e">
        <f>IF('Match Entry'!$R153="Complete",'Match Entry'!P153&amp;"-"&amp;'Match Entry'!Q153,"")</f>
        <v>#DIV/0!</v>
      </c>
      <c r="F186" s="12" t="e">
        <f>IF('Match Entry'!$R153="Complete",'Match Entry'!E153,"")</f>
        <v>#DIV/0!</v>
      </c>
      <c r="G186" s="12" t="e">
        <f>IF('Match Entry'!$R153="Complete",IF(ISNUMBER('Match Entry'!F153),'Match Entry'!F153&amp;"-"&amp;'Match Entry'!G153,"")&amp;IF(ISNUMBER('Match Entry'!H153),", "&amp;'Match Entry'!H153&amp;"-"&amp;'Match Entry'!I153,"")&amp;IF(ISNUMBER('Match Entry'!J153),", "&amp;'Match Entry'!J153&amp;"-"&amp;'Match Entry'!K153,"")&amp;IF(ISNUMBER('Match Entry'!L153),", "&amp;'Match Entry'!L153&amp;"-"&amp;'Match Entry'!M153,"")&amp;IF(ISNUMBER('Match Entry'!N153),", "&amp;'Match Entry'!N153&amp;"-"&amp;'Match Entry'!O153,""),"")</f>
        <v>#DIV/0!</v>
      </c>
      <c r="H186" s="12" t="e">
        <f>IF('Match Entry'!$R153="Complete",'Match Entry'!S153,"")</f>
        <v>#DIV/0!</v>
      </c>
      <c r="I186" s="12"/>
      <c r="J186" s="12"/>
      <c r="K186" s="12"/>
      <c r="L186" s="12"/>
      <c r="M186" s="12"/>
      <c r="N186" s="12"/>
      <c r="O186" s="12"/>
    </row>
    <row r="187" spans="1:15" ht="28.5">
      <c r="A187" s="12" t="e">
        <f>IF('Match Entry'!$R154="Complete",'Match Entry'!A154,"")</f>
        <v>#DIV/0!</v>
      </c>
      <c r="B187" s="12" t="e">
        <f>IF('Match Entry'!$R154="Complete",'Match Entry'!B154,"")</f>
        <v>#DIV/0!</v>
      </c>
      <c r="C187" s="12" t="e">
        <f>IF('Match Entry'!$R154="Complete",'Match Entry'!C154,"")</f>
        <v>#DIV/0!</v>
      </c>
      <c r="D187" s="12" t="e">
        <f>IF('Match Entry'!$R154="Complete",'Match Entry'!D154,"")</f>
        <v>#DIV/0!</v>
      </c>
      <c r="E187" s="12" t="e">
        <f>IF('Match Entry'!$R154="Complete",'Match Entry'!P154&amp;"-"&amp;'Match Entry'!Q154,"")</f>
        <v>#DIV/0!</v>
      </c>
      <c r="F187" s="12" t="e">
        <f>IF('Match Entry'!$R154="Complete",'Match Entry'!E154,"")</f>
        <v>#DIV/0!</v>
      </c>
      <c r="G187" s="12" t="e">
        <f>IF('Match Entry'!$R154="Complete",IF(ISNUMBER('Match Entry'!F154),'Match Entry'!F154&amp;"-"&amp;'Match Entry'!G154,"")&amp;IF(ISNUMBER('Match Entry'!H154),", "&amp;'Match Entry'!H154&amp;"-"&amp;'Match Entry'!I154,"")&amp;IF(ISNUMBER('Match Entry'!J154),", "&amp;'Match Entry'!J154&amp;"-"&amp;'Match Entry'!K154,"")&amp;IF(ISNUMBER('Match Entry'!L154),", "&amp;'Match Entry'!L154&amp;"-"&amp;'Match Entry'!M154,"")&amp;IF(ISNUMBER('Match Entry'!N154),", "&amp;'Match Entry'!N154&amp;"-"&amp;'Match Entry'!O154,""),"")</f>
        <v>#DIV/0!</v>
      </c>
      <c r="H187" s="12" t="e">
        <f>IF('Match Entry'!$R154="Complete",'Match Entry'!S154,"")</f>
        <v>#DIV/0!</v>
      </c>
      <c r="I187" s="12"/>
      <c r="J187" s="12"/>
      <c r="K187" s="12"/>
      <c r="L187" s="12"/>
      <c r="M187" s="12"/>
      <c r="N187" s="12"/>
      <c r="O187" s="12"/>
    </row>
    <row r="188" spans="1:15" ht="28.5">
      <c r="A188" s="12" t="e">
        <f>IF('Match Entry'!$R155="Complete",'Match Entry'!A155,"")</f>
        <v>#DIV/0!</v>
      </c>
      <c r="B188" s="12" t="e">
        <f>IF('Match Entry'!$R155="Complete",'Match Entry'!B155,"")</f>
        <v>#DIV/0!</v>
      </c>
      <c r="C188" s="12" t="e">
        <f>IF('Match Entry'!$R155="Complete",'Match Entry'!C155,"")</f>
        <v>#DIV/0!</v>
      </c>
      <c r="D188" s="12" t="e">
        <f>IF('Match Entry'!$R155="Complete",'Match Entry'!D155,"")</f>
        <v>#DIV/0!</v>
      </c>
      <c r="E188" s="12" t="e">
        <f>IF('Match Entry'!$R155="Complete",'Match Entry'!P155&amp;"-"&amp;'Match Entry'!Q155,"")</f>
        <v>#DIV/0!</v>
      </c>
      <c r="F188" s="12" t="e">
        <f>IF('Match Entry'!$R155="Complete",'Match Entry'!E155,"")</f>
        <v>#DIV/0!</v>
      </c>
      <c r="G188" s="12" t="e">
        <f>IF('Match Entry'!$R155="Complete",IF(ISNUMBER('Match Entry'!F155),'Match Entry'!F155&amp;"-"&amp;'Match Entry'!G155,"")&amp;IF(ISNUMBER('Match Entry'!H155),", "&amp;'Match Entry'!H155&amp;"-"&amp;'Match Entry'!I155,"")&amp;IF(ISNUMBER('Match Entry'!J155),", "&amp;'Match Entry'!J155&amp;"-"&amp;'Match Entry'!K155,"")&amp;IF(ISNUMBER('Match Entry'!L155),", "&amp;'Match Entry'!L155&amp;"-"&amp;'Match Entry'!M155,"")&amp;IF(ISNUMBER('Match Entry'!N155),", "&amp;'Match Entry'!N155&amp;"-"&amp;'Match Entry'!O155,""),"")</f>
        <v>#DIV/0!</v>
      </c>
      <c r="H188" s="12" t="e">
        <f>IF('Match Entry'!$R155="Complete",'Match Entry'!S155,"")</f>
        <v>#DIV/0!</v>
      </c>
      <c r="I188" s="12"/>
      <c r="J188" s="12"/>
      <c r="K188" s="12"/>
      <c r="L188" s="12"/>
      <c r="M188" s="12"/>
      <c r="N188" s="12"/>
      <c r="O188" s="12"/>
    </row>
    <row r="189" spans="1:15" ht="28.5">
      <c r="A189" s="12" t="e">
        <f>IF('Match Entry'!$R156="Complete",'Match Entry'!A156,"")</f>
        <v>#DIV/0!</v>
      </c>
      <c r="B189" s="12" t="e">
        <f>IF('Match Entry'!$R156="Complete",'Match Entry'!B156,"")</f>
        <v>#DIV/0!</v>
      </c>
      <c r="C189" s="12" t="e">
        <f>IF('Match Entry'!$R156="Complete",'Match Entry'!C156,"")</f>
        <v>#DIV/0!</v>
      </c>
      <c r="D189" s="12" t="e">
        <f>IF('Match Entry'!$R156="Complete",'Match Entry'!D156,"")</f>
        <v>#DIV/0!</v>
      </c>
      <c r="E189" s="12" t="e">
        <f>IF('Match Entry'!$R156="Complete",'Match Entry'!P156&amp;"-"&amp;'Match Entry'!Q156,"")</f>
        <v>#DIV/0!</v>
      </c>
      <c r="F189" s="12" t="e">
        <f>IF('Match Entry'!$R156="Complete",'Match Entry'!E156,"")</f>
        <v>#DIV/0!</v>
      </c>
      <c r="G189" s="12" t="e">
        <f>IF('Match Entry'!$R156="Complete",IF(ISNUMBER('Match Entry'!F156),'Match Entry'!F156&amp;"-"&amp;'Match Entry'!G156,"")&amp;IF(ISNUMBER('Match Entry'!H156),", "&amp;'Match Entry'!H156&amp;"-"&amp;'Match Entry'!I156,"")&amp;IF(ISNUMBER('Match Entry'!J156),", "&amp;'Match Entry'!J156&amp;"-"&amp;'Match Entry'!K156,"")&amp;IF(ISNUMBER('Match Entry'!L156),", "&amp;'Match Entry'!L156&amp;"-"&amp;'Match Entry'!M156,"")&amp;IF(ISNUMBER('Match Entry'!N156),", "&amp;'Match Entry'!N156&amp;"-"&amp;'Match Entry'!O156,""),"")</f>
        <v>#DIV/0!</v>
      </c>
      <c r="H189" s="12" t="e">
        <f>IF('Match Entry'!$R156="Complete",'Match Entry'!S156,"")</f>
        <v>#DIV/0!</v>
      </c>
      <c r="I189" s="12"/>
      <c r="J189" s="12"/>
      <c r="K189" s="12"/>
      <c r="L189" s="12"/>
      <c r="M189" s="12"/>
      <c r="N189" s="12"/>
      <c r="O189" s="12"/>
    </row>
    <row r="190" spans="1:15" ht="28.5">
      <c r="A190" s="12" t="e">
        <f>IF('Match Entry'!$R157="Complete",'Match Entry'!A157,"")</f>
        <v>#DIV/0!</v>
      </c>
      <c r="B190" s="12" t="e">
        <f>IF('Match Entry'!$R157="Complete",'Match Entry'!B157,"")</f>
        <v>#DIV/0!</v>
      </c>
      <c r="C190" s="12" t="e">
        <f>IF('Match Entry'!$R157="Complete",'Match Entry'!C157,"")</f>
        <v>#DIV/0!</v>
      </c>
      <c r="D190" s="12" t="e">
        <f>IF('Match Entry'!$R157="Complete",'Match Entry'!D157,"")</f>
        <v>#DIV/0!</v>
      </c>
      <c r="E190" s="12" t="e">
        <f>IF('Match Entry'!$R157="Complete",'Match Entry'!P157&amp;"-"&amp;'Match Entry'!Q157,"")</f>
        <v>#DIV/0!</v>
      </c>
      <c r="F190" s="12" t="e">
        <f>IF('Match Entry'!$R157="Complete",'Match Entry'!E157,"")</f>
        <v>#DIV/0!</v>
      </c>
      <c r="G190" s="12" t="e">
        <f>IF('Match Entry'!$R157="Complete",IF(ISNUMBER('Match Entry'!F157),'Match Entry'!F157&amp;"-"&amp;'Match Entry'!G157,"")&amp;IF(ISNUMBER('Match Entry'!H157),", "&amp;'Match Entry'!H157&amp;"-"&amp;'Match Entry'!I157,"")&amp;IF(ISNUMBER('Match Entry'!J157),", "&amp;'Match Entry'!J157&amp;"-"&amp;'Match Entry'!K157,"")&amp;IF(ISNUMBER('Match Entry'!L157),", "&amp;'Match Entry'!L157&amp;"-"&amp;'Match Entry'!M157,"")&amp;IF(ISNUMBER('Match Entry'!N157),", "&amp;'Match Entry'!N157&amp;"-"&amp;'Match Entry'!O157,""),"")</f>
        <v>#DIV/0!</v>
      </c>
      <c r="H190" s="12" t="e">
        <f>IF('Match Entry'!$R157="Complete",'Match Entry'!S157,"")</f>
        <v>#DIV/0!</v>
      </c>
      <c r="I190" s="12"/>
      <c r="J190" s="12"/>
      <c r="K190" s="12"/>
      <c r="L190" s="12"/>
      <c r="M190" s="12"/>
      <c r="N190" s="12"/>
      <c r="O190" s="12"/>
    </row>
    <row r="191" spans="1:15" ht="28.5">
      <c r="A191" s="12" t="e">
        <f>IF('Match Entry'!$R158="Complete",'Match Entry'!A158,"")</f>
        <v>#DIV/0!</v>
      </c>
      <c r="B191" s="12" t="e">
        <f>IF('Match Entry'!$R158="Complete",'Match Entry'!B158,"")</f>
        <v>#DIV/0!</v>
      </c>
      <c r="C191" s="12" t="e">
        <f>IF('Match Entry'!$R158="Complete",'Match Entry'!C158,"")</f>
        <v>#DIV/0!</v>
      </c>
      <c r="D191" s="12" t="e">
        <f>IF('Match Entry'!$R158="Complete",'Match Entry'!D158,"")</f>
        <v>#DIV/0!</v>
      </c>
      <c r="E191" s="12" t="e">
        <f>IF('Match Entry'!$R158="Complete",'Match Entry'!P158&amp;"-"&amp;'Match Entry'!Q158,"")</f>
        <v>#DIV/0!</v>
      </c>
      <c r="F191" s="12" t="e">
        <f>IF('Match Entry'!$R158="Complete",'Match Entry'!E158,"")</f>
        <v>#DIV/0!</v>
      </c>
      <c r="G191" s="12" t="e">
        <f>IF('Match Entry'!$R158="Complete",IF(ISNUMBER('Match Entry'!F158),'Match Entry'!F158&amp;"-"&amp;'Match Entry'!G158,"")&amp;IF(ISNUMBER('Match Entry'!H158),", "&amp;'Match Entry'!H158&amp;"-"&amp;'Match Entry'!I158,"")&amp;IF(ISNUMBER('Match Entry'!J158),", "&amp;'Match Entry'!J158&amp;"-"&amp;'Match Entry'!K158,"")&amp;IF(ISNUMBER('Match Entry'!L158),", "&amp;'Match Entry'!L158&amp;"-"&amp;'Match Entry'!M158,"")&amp;IF(ISNUMBER('Match Entry'!N158),", "&amp;'Match Entry'!N158&amp;"-"&amp;'Match Entry'!O158,""),"")</f>
        <v>#DIV/0!</v>
      </c>
      <c r="H191" s="12" t="e">
        <f>IF('Match Entry'!$R158="Complete",'Match Entry'!S158,"")</f>
        <v>#DIV/0!</v>
      </c>
      <c r="I191" s="12"/>
      <c r="J191" s="12"/>
      <c r="K191" s="12"/>
      <c r="L191" s="12"/>
      <c r="M191" s="12"/>
      <c r="N191" s="12"/>
      <c r="O191" s="12"/>
    </row>
    <row r="192" spans="1:15" ht="28.5">
      <c r="A192" s="12" t="e">
        <f>IF('Match Entry'!$R159="Complete",'Match Entry'!A159,"")</f>
        <v>#DIV/0!</v>
      </c>
      <c r="B192" s="12" t="e">
        <f>IF('Match Entry'!$R159="Complete",'Match Entry'!B159,"")</f>
        <v>#DIV/0!</v>
      </c>
      <c r="C192" s="12" t="e">
        <f>IF('Match Entry'!$R159="Complete",'Match Entry'!C159,"")</f>
        <v>#DIV/0!</v>
      </c>
      <c r="D192" s="12" t="e">
        <f>IF('Match Entry'!$R159="Complete",'Match Entry'!D159,"")</f>
        <v>#DIV/0!</v>
      </c>
      <c r="E192" s="12" t="e">
        <f>IF('Match Entry'!$R159="Complete",'Match Entry'!P159&amp;"-"&amp;'Match Entry'!Q159,"")</f>
        <v>#DIV/0!</v>
      </c>
      <c r="F192" s="12" t="e">
        <f>IF('Match Entry'!$R159="Complete",'Match Entry'!E159,"")</f>
        <v>#DIV/0!</v>
      </c>
      <c r="G192" s="12" t="e">
        <f>IF('Match Entry'!$R159="Complete",IF(ISNUMBER('Match Entry'!F159),'Match Entry'!F159&amp;"-"&amp;'Match Entry'!G159,"")&amp;IF(ISNUMBER('Match Entry'!H159),", "&amp;'Match Entry'!H159&amp;"-"&amp;'Match Entry'!I159,"")&amp;IF(ISNUMBER('Match Entry'!J159),", "&amp;'Match Entry'!J159&amp;"-"&amp;'Match Entry'!K159,"")&amp;IF(ISNUMBER('Match Entry'!L159),", "&amp;'Match Entry'!L159&amp;"-"&amp;'Match Entry'!M159,"")&amp;IF(ISNUMBER('Match Entry'!N159),", "&amp;'Match Entry'!N159&amp;"-"&amp;'Match Entry'!O159,""),"")</f>
        <v>#DIV/0!</v>
      </c>
      <c r="H192" s="12" t="e">
        <f>IF('Match Entry'!$R159="Complete",'Match Entry'!S159,"")</f>
        <v>#DIV/0!</v>
      </c>
      <c r="I192" s="12"/>
      <c r="J192" s="12"/>
      <c r="K192" s="12"/>
      <c r="L192" s="12"/>
      <c r="M192" s="12"/>
      <c r="N192" s="12"/>
      <c r="O192" s="12"/>
    </row>
    <row r="193" spans="1:15" ht="28.5">
      <c r="A193" s="12" t="e">
        <f>IF('Match Entry'!$R160="Complete",'Match Entry'!A160,"")</f>
        <v>#DIV/0!</v>
      </c>
      <c r="B193" s="12" t="e">
        <f>IF('Match Entry'!$R160="Complete",'Match Entry'!B160,"")</f>
        <v>#DIV/0!</v>
      </c>
      <c r="C193" s="12" t="e">
        <f>IF('Match Entry'!$R160="Complete",'Match Entry'!C160,"")</f>
        <v>#DIV/0!</v>
      </c>
      <c r="D193" s="12" t="e">
        <f>IF('Match Entry'!$R160="Complete",'Match Entry'!D160,"")</f>
        <v>#DIV/0!</v>
      </c>
      <c r="E193" s="12" t="e">
        <f>IF('Match Entry'!$R160="Complete",'Match Entry'!P160&amp;"-"&amp;'Match Entry'!Q160,"")</f>
        <v>#DIV/0!</v>
      </c>
      <c r="F193" s="12" t="e">
        <f>IF('Match Entry'!$R160="Complete",'Match Entry'!E160,"")</f>
        <v>#DIV/0!</v>
      </c>
      <c r="G193" s="12" t="e">
        <f>IF('Match Entry'!$R160="Complete",IF(ISNUMBER('Match Entry'!F160),'Match Entry'!F160&amp;"-"&amp;'Match Entry'!G160,"")&amp;IF(ISNUMBER('Match Entry'!H160),", "&amp;'Match Entry'!H160&amp;"-"&amp;'Match Entry'!I160,"")&amp;IF(ISNUMBER('Match Entry'!J160),", "&amp;'Match Entry'!J160&amp;"-"&amp;'Match Entry'!K160,"")&amp;IF(ISNUMBER('Match Entry'!L160),", "&amp;'Match Entry'!L160&amp;"-"&amp;'Match Entry'!M160,"")&amp;IF(ISNUMBER('Match Entry'!N160),", "&amp;'Match Entry'!N160&amp;"-"&amp;'Match Entry'!O160,""),"")</f>
        <v>#DIV/0!</v>
      </c>
      <c r="H193" s="12" t="e">
        <f>IF('Match Entry'!$R160="Complete",'Match Entry'!S160,"")</f>
        <v>#DIV/0!</v>
      </c>
      <c r="I193" s="12"/>
      <c r="J193" s="12"/>
      <c r="K193" s="12"/>
      <c r="L193" s="12"/>
      <c r="M193" s="12"/>
      <c r="N193" s="12"/>
      <c r="O193" s="12"/>
    </row>
    <row r="194" spans="1:15" ht="28.5">
      <c r="A194" s="12" t="e">
        <f>IF('Match Entry'!$R161="Complete",'Match Entry'!A161,"")</f>
        <v>#DIV/0!</v>
      </c>
      <c r="B194" s="12" t="e">
        <f>IF('Match Entry'!$R161="Complete",'Match Entry'!B161,"")</f>
        <v>#DIV/0!</v>
      </c>
      <c r="C194" s="12" t="e">
        <f>IF('Match Entry'!$R161="Complete",'Match Entry'!C161,"")</f>
        <v>#DIV/0!</v>
      </c>
      <c r="D194" s="12" t="e">
        <f>IF('Match Entry'!$R161="Complete",'Match Entry'!D161,"")</f>
        <v>#DIV/0!</v>
      </c>
      <c r="E194" s="12" t="e">
        <f>IF('Match Entry'!$R161="Complete",'Match Entry'!P161&amp;"-"&amp;'Match Entry'!Q161,"")</f>
        <v>#DIV/0!</v>
      </c>
      <c r="F194" s="12" t="e">
        <f>IF('Match Entry'!$R161="Complete",'Match Entry'!E161,"")</f>
        <v>#DIV/0!</v>
      </c>
      <c r="G194" s="12" t="e">
        <f>IF('Match Entry'!$R161="Complete",IF(ISNUMBER('Match Entry'!F161),'Match Entry'!F161&amp;"-"&amp;'Match Entry'!G161,"")&amp;IF(ISNUMBER('Match Entry'!H161),", "&amp;'Match Entry'!H161&amp;"-"&amp;'Match Entry'!I161,"")&amp;IF(ISNUMBER('Match Entry'!J161),", "&amp;'Match Entry'!J161&amp;"-"&amp;'Match Entry'!K161,"")&amp;IF(ISNUMBER('Match Entry'!L161),", "&amp;'Match Entry'!L161&amp;"-"&amp;'Match Entry'!M161,"")&amp;IF(ISNUMBER('Match Entry'!N161),", "&amp;'Match Entry'!N161&amp;"-"&amp;'Match Entry'!O161,""),"")</f>
        <v>#DIV/0!</v>
      </c>
      <c r="H194" s="12" t="e">
        <f>IF('Match Entry'!$R161="Complete",'Match Entry'!S161,"")</f>
        <v>#DIV/0!</v>
      </c>
      <c r="I194" s="12"/>
      <c r="J194" s="12"/>
      <c r="K194" s="12"/>
      <c r="L194" s="12"/>
      <c r="M194" s="12"/>
      <c r="N194" s="12"/>
      <c r="O194" s="12"/>
    </row>
    <row r="195" spans="1:15" ht="28.5">
      <c r="A195" s="12" t="e">
        <f>IF('Match Entry'!$R162="Complete",'Match Entry'!A162,"")</f>
        <v>#DIV/0!</v>
      </c>
      <c r="B195" s="12" t="e">
        <f>IF('Match Entry'!$R162="Complete",'Match Entry'!B162,"")</f>
        <v>#DIV/0!</v>
      </c>
      <c r="C195" s="12" t="e">
        <f>IF('Match Entry'!$R162="Complete",'Match Entry'!C162,"")</f>
        <v>#DIV/0!</v>
      </c>
      <c r="D195" s="12" t="e">
        <f>IF('Match Entry'!$R162="Complete",'Match Entry'!D162,"")</f>
        <v>#DIV/0!</v>
      </c>
      <c r="E195" s="12" t="e">
        <f>IF('Match Entry'!$R162="Complete",'Match Entry'!P162&amp;"-"&amp;'Match Entry'!Q162,"")</f>
        <v>#DIV/0!</v>
      </c>
      <c r="F195" s="12" t="e">
        <f>IF('Match Entry'!$R162="Complete",'Match Entry'!E162,"")</f>
        <v>#DIV/0!</v>
      </c>
      <c r="G195" s="12" t="e">
        <f>IF('Match Entry'!$R162="Complete",IF(ISNUMBER('Match Entry'!F162),'Match Entry'!F162&amp;"-"&amp;'Match Entry'!G162,"")&amp;IF(ISNUMBER('Match Entry'!H162),", "&amp;'Match Entry'!H162&amp;"-"&amp;'Match Entry'!I162,"")&amp;IF(ISNUMBER('Match Entry'!J162),", "&amp;'Match Entry'!J162&amp;"-"&amp;'Match Entry'!K162,"")&amp;IF(ISNUMBER('Match Entry'!L162),", "&amp;'Match Entry'!L162&amp;"-"&amp;'Match Entry'!M162,"")&amp;IF(ISNUMBER('Match Entry'!N162),", "&amp;'Match Entry'!N162&amp;"-"&amp;'Match Entry'!O162,""),"")</f>
        <v>#DIV/0!</v>
      </c>
      <c r="H195" s="12" t="e">
        <f>IF('Match Entry'!$R162="Complete",'Match Entry'!S162,"")</f>
        <v>#DIV/0!</v>
      </c>
      <c r="I195" s="12"/>
      <c r="J195" s="12"/>
      <c r="K195" s="12"/>
      <c r="L195" s="12"/>
      <c r="M195" s="12"/>
      <c r="N195" s="12"/>
      <c r="O195" s="12"/>
    </row>
    <row r="196" spans="1:15" ht="28.5">
      <c r="A196" s="12" t="e">
        <f>IF('Match Entry'!$R163="Complete",'Match Entry'!A163,"")</f>
        <v>#DIV/0!</v>
      </c>
      <c r="B196" s="12" t="e">
        <f>IF('Match Entry'!$R163="Complete",'Match Entry'!B163,"")</f>
        <v>#DIV/0!</v>
      </c>
      <c r="C196" s="12" t="e">
        <f>IF('Match Entry'!$R163="Complete",'Match Entry'!C163,"")</f>
        <v>#DIV/0!</v>
      </c>
      <c r="D196" s="12" t="e">
        <f>IF('Match Entry'!$R163="Complete",'Match Entry'!D163,"")</f>
        <v>#DIV/0!</v>
      </c>
      <c r="E196" s="12" t="e">
        <f>IF('Match Entry'!$R163="Complete",'Match Entry'!P163&amp;"-"&amp;'Match Entry'!Q163,"")</f>
        <v>#DIV/0!</v>
      </c>
      <c r="F196" s="12" t="e">
        <f>IF('Match Entry'!$R163="Complete",'Match Entry'!E163,"")</f>
        <v>#DIV/0!</v>
      </c>
      <c r="G196" s="12" t="e">
        <f>IF('Match Entry'!$R163="Complete",IF(ISNUMBER('Match Entry'!F163),'Match Entry'!F163&amp;"-"&amp;'Match Entry'!G163,"")&amp;IF(ISNUMBER('Match Entry'!H163),", "&amp;'Match Entry'!H163&amp;"-"&amp;'Match Entry'!I163,"")&amp;IF(ISNUMBER('Match Entry'!J163),", "&amp;'Match Entry'!J163&amp;"-"&amp;'Match Entry'!K163,"")&amp;IF(ISNUMBER('Match Entry'!L163),", "&amp;'Match Entry'!L163&amp;"-"&amp;'Match Entry'!M163,"")&amp;IF(ISNUMBER('Match Entry'!N163),", "&amp;'Match Entry'!N163&amp;"-"&amp;'Match Entry'!O163,""),"")</f>
        <v>#DIV/0!</v>
      </c>
      <c r="H196" s="12" t="e">
        <f>IF('Match Entry'!$R163="Complete",'Match Entry'!S163,"")</f>
        <v>#DIV/0!</v>
      </c>
      <c r="I196" s="12"/>
      <c r="J196" s="12"/>
      <c r="K196" s="12"/>
      <c r="L196" s="12"/>
      <c r="M196" s="12"/>
      <c r="N196" s="12"/>
      <c r="O196" s="12"/>
    </row>
    <row r="197" spans="1:15" ht="28.5">
      <c r="A197" s="12" t="e">
        <f>IF('Match Entry'!$R164="Complete",'Match Entry'!A164,"")</f>
        <v>#DIV/0!</v>
      </c>
      <c r="B197" s="12" t="e">
        <f>IF('Match Entry'!$R164="Complete",'Match Entry'!B164,"")</f>
        <v>#DIV/0!</v>
      </c>
      <c r="C197" s="12" t="e">
        <f>IF('Match Entry'!$R164="Complete",'Match Entry'!C164,"")</f>
        <v>#DIV/0!</v>
      </c>
      <c r="D197" s="12" t="e">
        <f>IF('Match Entry'!$R164="Complete",'Match Entry'!D164,"")</f>
        <v>#DIV/0!</v>
      </c>
      <c r="E197" s="12" t="e">
        <f>IF('Match Entry'!$R164="Complete",'Match Entry'!P164&amp;"-"&amp;'Match Entry'!Q164,"")</f>
        <v>#DIV/0!</v>
      </c>
      <c r="F197" s="12" t="e">
        <f>IF('Match Entry'!$R164="Complete",'Match Entry'!E164,"")</f>
        <v>#DIV/0!</v>
      </c>
      <c r="G197" s="12" t="e">
        <f>IF('Match Entry'!$R164="Complete",IF(ISNUMBER('Match Entry'!F164),'Match Entry'!F164&amp;"-"&amp;'Match Entry'!G164,"")&amp;IF(ISNUMBER('Match Entry'!H164),", "&amp;'Match Entry'!H164&amp;"-"&amp;'Match Entry'!I164,"")&amp;IF(ISNUMBER('Match Entry'!J164),", "&amp;'Match Entry'!J164&amp;"-"&amp;'Match Entry'!K164,"")&amp;IF(ISNUMBER('Match Entry'!L164),", "&amp;'Match Entry'!L164&amp;"-"&amp;'Match Entry'!M164,"")&amp;IF(ISNUMBER('Match Entry'!N164),", "&amp;'Match Entry'!N164&amp;"-"&amp;'Match Entry'!O164,""),"")</f>
        <v>#DIV/0!</v>
      </c>
      <c r="H197" s="12" t="e">
        <f>IF('Match Entry'!$R164="Complete",'Match Entry'!S164,"")</f>
        <v>#DIV/0!</v>
      </c>
      <c r="I197" s="12"/>
      <c r="J197" s="12"/>
      <c r="K197" s="12"/>
      <c r="L197" s="12"/>
      <c r="M197" s="12"/>
      <c r="N197" s="12"/>
      <c r="O197" s="12"/>
    </row>
    <row r="198" spans="1:15" ht="28.5">
      <c r="A198" s="12" t="e">
        <f>IF('Match Entry'!$R165="Complete",'Match Entry'!A165,"")</f>
        <v>#DIV/0!</v>
      </c>
      <c r="B198" s="12" t="e">
        <f>IF('Match Entry'!$R165="Complete",'Match Entry'!B165,"")</f>
        <v>#DIV/0!</v>
      </c>
      <c r="C198" s="12" t="e">
        <f>IF('Match Entry'!$R165="Complete",'Match Entry'!C165,"")</f>
        <v>#DIV/0!</v>
      </c>
      <c r="D198" s="12" t="e">
        <f>IF('Match Entry'!$R165="Complete",'Match Entry'!D165,"")</f>
        <v>#DIV/0!</v>
      </c>
      <c r="E198" s="12" t="e">
        <f>IF('Match Entry'!$R165="Complete",'Match Entry'!P165&amp;"-"&amp;'Match Entry'!Q165,"")</f>
        <v>#DIV/0!</v>
      </c>
      <c r="F198" s="12" t="e">
        <f>IF('Match Entry'!$R165="Complete",'Match Entry'!E165,"")</f>
        <v>#DIV/0!</v>
      </c>
      <c r="G198" s="12" t="e">
        <f>IF('Match Entry'!$R165="Complete",IF(ISNUMBER('Match Entry'!F165),'Match Entry'!F165&amp;"-"&amp;'Match Entry'!G165,"")&amp;IF(ISNUMBER('Match Entry'!H165),", "&amp;'Match Entry'!H165&amp;"-"&amp;'Match Entry'!I165,"")&amp;IF(ISNUMBER('Match Entry'!J165),", "&amp;'Match Entry'!J165&amp;"-"&amp;'Match Entry'!K165,"")&amp;IF(ISNUMBER('Match Entry'!L165),", "&amp;'Match Entry'!L165&amp;"-"&amp;'Match Entry'!M165,"")&amp;IF(ISNUMBER('Match Entry'!N165),", "&amp;'Match Entry'!N165&amp;"-"&amp;'Match Entry'!O165,""),"")</f>
        <v>#DIV/0!</v>
      </c>
      <c r="H198" s="12" t="e">
        <f>IF('Match Entry'!$R165="Complete",'Match Entry'!S165,"")</f>
        <v>#DIV/0!</v>
      </c>
      <c r="I198" s="12"/>
      <c r="J198" s="12"/>
      <c r="K198" s="12"/>
      <c r="L198" s="12"/>
      <c r="M198" s="12"/>
      <c r="N198" s="12"/>
      <c r="O198" s="12"/>
    </row>
    <row r="199" spans="1:15" ht="28.5">
      <c r="A199" s="12" t="e">
        <f>IF('Match Entry'!$R166="Complete",'Match Entry'!A166,"")</f>
        <v>#DIV/0!</v>
      </c>
      <c r="B199" s="12" t="e">
        <f>IF('Match Entry'!$R166="Complete",'Match Entry'!B166,"")</f>
        <v>#DIV/0!</v>
      </c>
      <c r="C199" s="12" t="e">
        <f>IF('Match Entry'!$R166="Complete",'Match Entry'!C166,"")</f>
        <v>#DIV/0!</v>
      </c>
      <c r="D199" s="12" t="e">
        <f>IF('Match Entry'!$R166="Complete",'Match Entry'!D166,"")</f>
        <v>#DIV/0!</v>
      </c>
      <c r="E199" s="12" t="e">
        <f>IF('Match Entry'!$R166="Complete",'Match Entry'!P166&amp;"-"&amp;'Match Entry'!Q166,"")</f>
        <v>#DIV/0!</v>
      </c>
      <c r="F199" s="12" t="e">
        <f>IF('Match Entry'!$R166="Complete",'Match Entry'!E166,"")</f>
        <v>#DIV/0!</v>
      </c>
      <c r="G199" s="12" t="e">
        <f>IF('Match Entry'!$R166="Complete",IF(ISNUMBER('Match Entry'!F166),'Match Entry'!F166&amp;"-"&amp;'Match Entry'!G166,"")&amp;IF(ISNUMBER('Match Entry'!H166),", "&amp;'Match Entry'!H166&amp;"-"&amp;'Match Entry'!I166,"")&amp;IF(ISNUMBER('Match Entry'!J166),", "&amp;'Match Entry'!J166&amp;"-"&amp;'Match Entry'!K166,"")&amp;IF(ISNUMBER('Match Entry'!L166),", "&amp;'Match Entry'!L166&amp;"-"&amp;'Match Entry'!M166,"")&amp;IF(ISNUMBER('Match Entry'!N166),", "&amp;'Match Entry'!N166&amp;"-"&amp;'Match Entry'!O166,""),"")</f>
        <v>#DIV/0!</v>
      </c>
      <c r="H199" s="12" t="e">
        <f>IF('Match Entry'!$R166="Complete",'Match Entry'!S166,"")</f>
        <v>#DIV/0!</v>
      </c>
      <c r="I199" s="12"/>
      <c r="J199" s="12"/>
      <c r="K199" s="12"/>
      <c r="L199" s="12"/>
      <c r="M199" s="12"/>
      <c r="N199" s="12"/>
      <c r="O199" s="12"/>
    </row>
    <row r="200" spans="1:15" ht="28.5">
      <c r="A200" s="12" t="e">
        <f>IF('Match Entry'!$R167="Complete",'Match Entry'!A167,"")</f>
        <v>#DIV/0!</v>
      </c>
      <c r="B200" s="12" t="e">
        <f>IF('Match Entry'!$R167="Complete",'Match Entry'!B167,"")</f>
        <v>#DIV/0!</v>
      </c>
      <c r="C200" s="12" t="e">
        <f>IF('Match Entry'!$R167="Complete",'Match Entry'!C167,"")</f>
        <v>#DIV/0!</v>
      </c>
      <c r="D200" s="12" t="e">
        <f>IF('Match Entry'!$R167="Complete",'Match Entry'!D167,"")</f>
        <v>#DIV/0!</v>
      </c>
      <c r="E200" s="12" t="e">
        <f>IF('Match Entry'!$R167="Complete",'Match Entry'!P167&amp;"-"&amp;'Match Entry'!Q167,"")</f>
        <v>#DIV/0!</v>
      </c>
      <c r="F200" s="12" t="e">
        <f>IF('Match Entry'!$R167="Complete",'Match Entry'!E167,"")</f>
        <v>#DIV/0!</v>
      </c>
      <c r="G200" s="12" t="e">
        <f>IF('Match Entry'!$R167="Complete",IF(ISNUMBER('Match Entry'!F167),'Match Entry'!F167&amp;"-"&amp;'Match Entry'!G167,"")&amp;IF(ISNUMBER('Match Entry'!H167),", "&amp;'Match Entry'!H167&amp;"-"&amp;'Match Entry'!I167,"")&amp;IF(ISNUMBER('Match Entry'!J167),", "&amp;'Match Entry'!J167&amp;"-"&amp;'Match Entry'!K167,"")&amp;IF(ISNUMBER('Match Entry'!L167),", "&amp;'Match Entry'!L167&amp;"-"&amp;'Match Entry'!M167,"")&amp;IF(ISNUMBER('Match Entry'!N167),", "&amp;'Match Entry'!N167&amp;"-"&amp;'Match Entry'!O167,""),"")</f>
        <v>#DIV/0!</v>
      </c>
      <c r="H200" s="12" t="e">
        <f>IF('Match Entry'!$R167="Complete",'Match Entry'!S167,"")</f>
        <v>#DIV/0!</v>
      </c>
      <c r="I200" s="12"/>
      <c r="J200" s="12"/>
      <c r="K200" s="12"/>
      <c r="L200" s="12"/>
      <c r="M200" s="12"/>
      <c r="N200" s="12"/>
      <c r="O200" s="12"/>
    </row>
    <row r="201" spans="1:15" ht="28.5">
      <c r="A201" s="12" t="e">
        <f>IF('Match Entry'!$R168="Complete",'Match Entry'!A168,"")</f>
        <v>#DIV/0!</v>
      </c>
      <c r="B201" s="12" t="e">
        <f>IF('Match Entry'!$R168="Complete",'Match Entry'!B168,"")</f>
        <v>#DIV/0!</v>
      </c>
      <c r="C201" s="12" t="e">
        <f>IF('Match Entry'!$R168="Complete",'Match Entry'!C168,"")</f>
        <v>#DIV/0!</v>
      </c>
      <c r="D201" s="12" t="e">
        <f>IF('Match Entry'!$R168="Complete",'Match Entry'!D168,"")</f>
        <v>#DIV/0!</v>
      </c>
      <c r="E201" s="12" t="e">
        <f>IF('Match Entry'!$R168="Complete",'Match Entry'!P168&amp;"-"&amp;'Match Entry'!Q168,"")</f>
        <v>#DIV/0!</v>
      </c>
      <c r="F201" s="12" t="e">
        <f>IF('Match Entry'!$R168="Complete",'Match Entry'!E168,"")</f>
        <v>#DIV/0!</v>
      </c>
      <c r="G201" s="12" t="e">
        <f>IF('Match Entry'!$R168="Complete",IF(ISNUMBER('Match Entry'!F168),'Match Entry'!F168&amp;"-"&amp;'Match Entry'!G168,"")&amp;IF(ISNUMBER('Match Entry'!H168),", "&amp;'Match Entry'!H168&amp;"-"&amp;'Match Entry'!I168,"")&amp;IF(ISNUMBER('Match Entry'!J168),", "&amp;'Match Entry'!J168&amp;"-"&amp;'Match Entry'!K168,"")&amp;IF(ISNUMBER('Match Entry'!L168),", "&amp;'Match Entry'!L168&amp;"-"&amp;'Match Entry'!M168,"")&amp;IF(ISNUMBER('Match Entry'!N168),", "&amp;'Match Entry'!N168&amp;"-"&amp;'Match Entry'!O168,""),"")</f>
        <v>#DIV/0!</v>
      </c>
      <c r="H201" s="12" t="e">
        <f>IF('Match Entry'!$R168="Complete",'Match Entry'!S168,"")</f>
        <v>#DIV/0!</v>
      </c>
      <c r="I201" s="12"/>
      <c r="J201" s="12"/>
      <c r="K201" s="12"/>
      <c r="L201" s="12"/>
      <c r="M201" s="12"/>
      <c r="N201" s="12"/>
      <c r="O201" s="12"/>
    </row>
    <row r="202" spans="1:15" ht="28.5">
      <c r="A202" s="12" t="e">
        <f>IF('Match Entry'!$R169="Complete",'Match Entry'!A169,"")</f>
        <v>#DIV/0!</v>
      </c>
      <c r="B202" s="12" t="e">
        <f>IF('Match Entry'!$R169="Complete",'Match Entry'!B169,"")</f>
        <v>#DIV/0!</v>
      </c>
      <c r="C202" s="12" t="e">
        <f>IF('Match Entry'!$R169="Complete",'Match Entry'!C169,"")</f>
        <v>#DIV/0!</v>
      </c>
      <c r="D202" s="12" t="e">
        <f>IF('Match Entry'!$R169="Complete",'Match Entry'!D169,"")</f>
        <v>#DIV/0!</v>
      </c>
      <c r="E202" s="12" t="e">
        <f>IF('Match Entry'!$R169="Complete",'Match Entry'!P169&amp;"-"&amp;'Match Entry'!Q169,"")</f>
        <v>#DIV/0!</v>
      </c>
      <c r="F202" s="12" t="e">
        <f>IF('Match Entry'!$R169="Complete",'Match Entry'!E169,"")</f>
        <v>#DIV/0!</v>
      </c>
      <c r="G202" s="12" t="e">
        <f>IF('Match Entry'!$R169="Complete",IF(ISNUMBER('Match Entry'!F169),'Match Entry'!F169&amp;"-"&amp;'Match Entry'!G169,"")&amp;IF(ISNUMBER('Match Entry'!H169),", "&amp;'Match Entry'!H169&amp;"-"&amp;'Match Entry'!I169,"")&amp;IF(ISNUMBER('Match Entry'!J169),", "&amp;'Match Entry'!J169&amp;"-"&amp;'Match Entry'!K169,"")&amp;IF(ISNUMBER('Match Entry'!L169),", "&amp;'Match Entry'!L169&amp;"-"&amp;'Match Entry'!M169,"")&amp;IF(ISNUMBER('Match Entry'!N169),", "&amp;'Match Entry'!N169&amp;"-"&amp;'Match Entry'!O169,""),"")</f>
        <v>#DIV/0!</v>
      </c>
      <c r="H202" s="12" t="e">
        <f>IF('Match Entry'!$R169="Complete",'Match Entry'!S169,"")</f>
        <v>#DIV/0!</v>
      </c>
      <c r="I202" s="12"/>
      <c r="J202" s="12"/>
      <c r="K202" s="12"/>
      <c r="L202" s="12"/>
      <c r="M202" s="12"/>
      <c r="N202" s="12"/>
      <c r="O202" s="12"/>
    </row>
    <row r="203" spans="1:15" ht="28.5">
      <c r="A203" s="12" t="e">
        <f>IF('Match Entry'!$R170="Complete",'Match Entry'!A170,"")</f>
        <v>#DIV/0!</v>
      </c>
      <c r="B203" s="12" t="e">
        <f>IF('Match Entry'!$R170="Complete",'Match Entry'!B170,"")</f>
        <v>#DIV/0!</v>
      </c>
      <c r="C203" s="12" t="e">
        <f>IF('Match Entry'!$R170="Complete",'Match Entry'!C170,"")</f>
        <v>#DIV/0!</v>
      </c>
      <c r="D203" s="12" t="e">
        <f>IF('Match Entry'!$R170="Complete",'Match Entry'!D170,"")</f>
        <v>#DIV/0!</v>
      </c>
      <c r="E203" s="12" t="e">
        <f>IF('Match Entry'!$R170="Complete",'Match Entry'!P170&amp;"-"&amp;'Match Entry'!Q170,"")</f>
        <v>#DIV/0!</v>
      </c>
      <c r="F203" s="12" t="e">
        <f>IF('Match Entry'!$R170="Complete",'Match Entry'!E170,"")</f>
        <v>#DIV/0!</v>
      </c>
      <c r="G203" s="12" t="e">
        <f>IF('Match Entry'!$R170="Complete",IF(ISNUMBER('Match Entry'!F170),'Match Entry'!F170&amp;"-"&amp;'Match Entry'!G170,"")&amp;IF(ISNUMBER('Match Entry'!H170),", "&amp;'Match Entry'!H170&amp;"-"&amp;'Match Entry'!I170,"")&amp;IF(ISNUMBER('Match Entry'!J170),", "&amp;'Match Entry'!J170&amp;"-"&amp;'Match Entry'!K170,"")&amp;IF(ISNUMBER('Match Entry'!L170),", "&amp;'Match Entry'!L170&amp;"-"&amp;'Match Entry'!M170,"")&amp;IF(ISNUMBER('Match Entry'!N170),", "&amp;'Match Entry'!N170&amp;"-"&amp;'Match Entry'!O170,""),"")</f>
        <v>#DIV/0!</v>
      </c>
      <c r="H203" s="12" t="e">
        <f>IF('Match Entry'!$R170="Complete",'Match Entry'!S170,"")</f>
        <v>#DIV/0!</v>
      </c>
      <c r="I203" s="12"/>
      <c r="J203" s="12"/>
      <c r="K203" s="12"/>
      <c r="L203" s="12"/>
      <c r="M203" s="12"/>
      <c r="N203" s="12"/>
      <c r="O203" s="12"/>
    </row>
    <row r="204" spans="1:15" ht="28.5">
      <c r="A204" s="12" t="e">
        <f>IF('Match Entry'!$R171="Complete",'Match Entry'!A171,"")</f>
        <v>#DIV/0!</v>
      </c>
      <c r="B204" s="12" t="e">
        <f>IF('Match Entry'!$R171="Complete",'Match Entry'!B171,"")</f>
        <v>#DIV/0!</v>
      </c>
      <c r="C204" s="12" t="e">
        <f>IF('Match Entry'!$R171="Complete",'Match Entry'!C171,"")</f>
        <v>#DIV/0!</v>
      </c>
      <c r="D204" s="12" t="e">
        <f>IF('Match Entry'!$R171="Complete",'Match Entry'!D171,"")</f>
        <v>#DIV/0!</v>
      </c>
      <c r="E204" s="12" t="e">
        <f>IF('Match Entry'!$R171="Complete",'Match Entry'!P171&amp;"-"&amp;'Match Entry'!Q171,"")</f>
        <v>#DIV/0!</v>
      </c>
      <c r="F204" s="12" t="e">
        <f>IF('Match Entry'!$R171="Complete",'Match Entry'!E171,"")</f>
        <v>#DIV/0!</v>
      </c>
      <c r="G204" s="12" t="e">
        <f>IF('Match Entry'!$R171="Complete",IF(ISNUMBER('Match Entry'!F171),'Match Entry'!F171&amp;"-"&amp;'Match Entry'!G171,"")&amp;IF(ISNUMBER('Match Entry'!H171),", "&amp;'Match Entry'!H171&amp;"-"&amp;'Match Entry'!I171,"")&amp;IF(ISNUMBER('Match Entry'!J171),", "&amp;'Match Entry'!J171&amp;"-"&amp;'Match Entry'!K171,"")&amp;IF(ISNUMBER('Match Entry'!L171),", "&amp;'Match Entry'!L171&amp;"-"&amp;'Match Entry'!M171,"")&amp;IF(ISNUMBER('Match Entry'!N171),", "&amp;'Match Entry'!N171&amp;"-"&amp;'Match Entry'!O171,""),"")</f>
        <v>#DIV/0!</v>
      </c>
      <c r="H204" s="12" t="e">
        <f>IF('Match Entry'!$R171="Complete",'Match Entry'!S171,"")</f>
        <v>#DIV/0!</v>
      </c>
      <c r="I204" s="12"/>
      <c r="J204" s="12"/>
      <c r="K204" s="12"/>
      <c r="L204" s="12"/>
      <c r="M204" s="12"/>
      <c r="N204" s="12"/>
      <c r="O204" s="12"/>
    </row>
    <row r="205" spans="1:15" ht="28.5">
      <c r="A205" s="12" t="e">
        <f>IF('Match Entry'!$R172="Complete",'Match Entry'!A172,"")</f>
        <v>#DIV/0!</v>
      </c>
      <c r="B205" s="12" t="e">
        <f>IF('Match Entry'!$R172="Complete",'Match Entry'!B172,"")</f>
        <v>#DIV/0!</v>
      </c>
      <c r="C205" s="12" t="e">
        <f>IF('Match Entry'!$R172="Complete",'Match Entry'!C172,"")</f>
        <v>#DIV/0!</v>
      </c>
      <c r="D205" s="12" t="e">
        <f>IF('Match Entry'!$R172="Complete",'Match Entry'!D172,"")</f>
        <v>#DIV/0!</v>
      </c>
      <c r="E205" s="12" t="e">
        <f>IF('Match Entry'!$R172="Complete",'Match Entry'!P172&amp;"-"&amp;'Match Entry'!Q172,"")</f>
        <v>#DIV/0!</v>
      </c>
      <c r="F205" s="12" t="e">
        <f>IF('Match Entry'!$R172="Complete",'Match Entry'!E172,"")</f>
        <v>#DIV/0!</v>
      </c>
      <c r="G205" s="12" t="e">
        <f>IF('Match Entry'!$R172="Complete",IF(ISNUMBER('Match Entry'!F172),'Match Entry'!F172&amp;"-"&amp;'Match Entry'!G172,"")&amp;IF(ISNUMBER('Match Entry'!H172),", "&amp;'Match Entry'!H172&amp;"-"&amp;'Match Entry'!I172,"")&amp;IF(ISNUMBER('Match Entry'!J172),", "&amp;'Match Entry'!J172&amp;"-"&amp;'Match Entry'!K172,"")&amp;IF(ISNUMBER('Match Entry'!L172),", "&amp;'Match Entry'!L172&amp;"-"&amp;'Match Entry'!M172,"")&amp;IF(ISNUMBER('Match Entry'!N172),", "&amp;'Match Entry'!N172&amp;"-"&amp;'Match Entry'!O172,""),"")</f>
        <v>#DIV/0!</v>
      </c>
      <c r="H205" s="12" t="e">
        <f>IF('Match Entry'!$R172="Complete",'Match Entry'!S172,"")</f>
        <v>#DIV/0!</v>
      </c>
      <c r="I205" s="12"/>
      <c r="J205" s="12"/>
      <c r="K205" s="12"/>
      <c r="L205" s="12"/>
      <c r="M205" s="12"/>
      <c r="N205" s="12"/>
      <c r="O205" s="12"/>
    </row>
    <row r="206" spans="1:15" ht="28.5">
      <c r="A206" s="12" t="e">
        <f>IF('Match Entry'!$R173="Complete",'Match Entry'!A173,"")</f>
        <v>#DIV/0!</v>
      </c>
      <c r="B206" s="12" t="e">
        <f>IF('Match Entry'!$R173="Complete",'Match Entry'!B173,"")</f>
        <v>#DIV/0!</v>
      </c>
      <c r="C206" s="12" t="e">
        <f>IF('Match Entry'!$R173="Complete",'Match Entry'!C173,"")</f>
        <v>#DIV/0!</v>
      </c>
      <c r="D206" s="12" t="e">
        <f>IF('Match Entry'!$R173="Complete",'Match Entry'!D173,"")</f>
        <v>#DIV/0!</v>
      </c>
      <c r="E206" s="12" t="e">
        <f>IF('Match Entry'!$R173="Complete",'Match Entry'!P173&amp;"-"&amp;'Match Entry'!Q173,"")</f>
        <v>#DIV/0!</v>
      </c>
      <c r="F206" s="12" t="e">
        <f>IF('Match Entry'!$R173="Complete",'Match Entry'!E173,"")</f>
        <v>#DIV/0!</v>
      </c>
      <c r="G206" s="12" t="e">
        <f>IF('Match Entry'!$R173="Complete",IF(ISNUMBER('Match Entry'!F173),'Match Entry'!F173&amp;"-"&amp;'Match Entry'!G173,"")&amp;IF(ISNUMBER('Match Entry'!H173),", "&amp;'Match Entry'!H173&amp;"-"&amp;'Match Entry'!I173,"")&amp;IF(ISNUMBER('Match Entry'!J173),", "&amp;'Match Entry'!J173&amp;"-"&amp;'Match Entry'!K173,"")&amp;IF(ISNUMBER('Match Entry'!L173),", "&amp;'Match Entry'!L173&amp;"-"&amp;'Match Entry'!M173,"")&amp;IF(ISNUMBER('Match Entry'!N173),", "&amp;'Match Entry'!N173&amp;"-"&amp;'Match Entry'!O173,""),"")</f>
        <v>#DIV/0!</v>
      </c>
      <c r="H206" s="12" t="e">
        <f>IF('Match Entry'!$R173="Complete",'Match Entry'!S173,"")</f>
        <v>#DIV/0!</v>
      </c>
      <c r="I206" s="12"/>
      <c r="J206" s="12"/>
      <c r="K206" s="12"/>
      <c r="L206" s="12"/>
      <c r="M206" s="12"/>
      <c r="N206" s="12"/>
      <c r="O206" s="12"/>
    </row>
    <row r="207" spans="1:15" ht="28.5">
      <c r="A207" s="12" t="e">
        <f>IF('Match Entry'!$R174="Complete",'Match Entry'!A174,"")</f>
        <v>#DIV/0!</v>
      </c>
      <c r="B207" s="12" t="e">
        <f>IF('Match Entry'!$R174="Complete",'Match Entry'!B174,"")</f>
        <v>#DIV/0!</v>
      </c>
      <c r="C207" s="12" t="e">
        <f>IF('Match Entry'!$R174="Complete",'Match Entry'!C174,"")</f>
        <v>#DIV/0!</v>
      </c>
      <c r="D207" s="12" t="e">
        <f>IF('Match Entry'!$R174="Complete",'Match Entry'!D174,"")</f>
        <v>#DIV/0!</v>
      </c>
      <c r="E207" s="12" t="e">
        <f>IF('Match Entry'!$R174="Complete",'Match Entry'!P174&amp;"-"&amp;'Match Entry'!Q174,"")</f>
        <v>#DIV/0!</v>
      </c>
      <c r="F207" s="12" t="e">
        <f>IF('Match Entry'!$R174="Complete",'Match Entry'!E174,"")</f>
        <v>#DIV/0!</v>
      </c>
      <c r="G207" s="12" t="e">
        <f>IF('Match Entry'!$R174="Complete",IF(ISNUMBER('Match Entry'!F174),'Match Entry'!F174&amp;"-"&amp;'Match Entry'!G174,"")&amp;IF(ISNUMBER('Match Entry'!H174),", "&amp;'Match Entry'!H174&amp;"-"&amp;'Match Entry'!I174,"")&amp;IF(ISNUMBER('Match Entry'!J174),", "&amp;'Match Entry'!J174&amp;"-"&amp;'Match Entry'!K174,"")&amp;IF(ISNUMBER('Match Entry'!L174),", "&amp;'Match Entry'!L174&amp;"-"&amp;'Match Entry'!M174,"")&amp;IF(ISNUMBER('Match Entry'!N174),", "&amp;'Match Entry'!N174&amp;"-"&amp;'Match Entry'!O174,""),"")</f>
        <v>#DIV/0!</v>
      </c>
      <c r="H207" s="12" t="e">
        <f>IF('Match Entry'!$R174="Complete",'Match Entry'!S174,"")</f>
        <v>#DIV/0!</v>
      </c>
      <c r="I207" s="12"/>
      <c r="J207" s="12"/>
      <c r="K207" s="12"/>
      <c r="L207" s="12"/>
      <c r="M207" s="12"/>
      <c r="N207" s="12"/>
      <c r="O207" s="12"/>
    </row>
    <row r="208" spans="1:15" ht="28.5">
      <c r="A208" s="12" t="e">
        <f>IF('Match Entry'!$R175="Complete",'Match Entry'!A175,"")</f>
        <v>#DIV/0!</v>
      </c>
      <c r="B208" s="12" t="e">
        <f>IF('Match Entry'!$R175="Complete",'Match Entry'!B175,"")</f>
        <v>#DIV/0!</v>
      </c>
      <c r="C208" s="12" t="e">
        <f>IF('Match Entry'!$R175="Complete",'Match Entry'!C175,"")</f>
        <v>#DIV/0!</v>
      </c>
      <c r="D208" s="12" t="e">
        <f>IF('Match Entry'!$R175="Complete",'Match Entry'!D175,"")</f>
        <v>#DIV/0!</v>
      </c>
      <c r="E208" s="12" t="e">
        <f>IF('Match Entry'!$R175="Complete",'Match Entry'!P175&amp;"-"&amp;'Match Entry'!Q175,"")</f>
        <v>#DIV/0!</v>
      </c>
      <c r="F208" s="12" t="e">
        <f>IF('Match Entry'!$R175="Complete",'Match Entry'!E175,"")</f>
        <v>#DIV/0!</v>
      </c>
      <c r="G208" s="12" t="e">
        <f>IF('Match Entry'!$R175="Complete",IF(ISNUMBER('Match Entry'!F175),'Match Entry'!F175&amp;"-"&amp;'Match Entry'!G175,"")&amp;IF(ISNUMBER('Match Entry'!H175),", "&amp;'Match Entry'!H175&amp;"-"&amp;'Match Entry'!I175,"")&amp;IF(ISNUMBER('Match Entry'!J175),", "&amp;'Match Entry'!J175&amp;"-"&amp;'Match Entry'!K175,"")&amp;IF(ISNUMBER('Match Entry'!L175),", "&amp;'Match Entry'!L175&amp;"-"&amp;'Match Entry'!M175,"")&amp;IF(ISNUMBER('Match Entry'!N175),", "&amp;'Match Entry'!N175&amp;"-"&amp;'Match Entry'!O175,""),"")</f>
        <v>#DIV/0!</v>
      </c>
      <c r="H208" s="12" t="e">
        <f>IF('Match Entry'!$R175="Complete",'Match Entry'!S175,"")</f>
        <v>#DIV/0!</v>
      </c>
      <c r="I208" s="12"/>
      <c r="J208" s="12"/>
      <c r="K208" s="12"/>
      <c r="L208" s="12"/>
      <c r="M208" s="12"/>
      <c r="N208" s="12"/>
      <c r="O208" s="12"/>
    </row>
    <row r="209" spans="1:15" ht="28.5">
      <c r="A209" s="12" t="e">
        <f>IF('Match Entry'!$R176="Complete",'Match Entry'!A176,"")</f>
        <v>#DIV/0!</v>
      </c>
      <c r="B209" s="12" t="e">
        <f>IF('Match Entry'!$R176="Complete",'Match Entry'!B176,"")</f>
        <v>#DIV/0!</v>
      </c>
      <c r="C209" s="12" t="e">
        <f>IF('Match Entry'!$R176="Complete",'Match Entry'!C176,"")</f>
        <v>#DIV/0!</v>
      </c>
      <c r="D209" s="12" t="e">
        <f>IF('Match Entry'!$R176="Complete",'Match Entry'!D176,"")</f>
        <v>#DIV/0!</v>
      </c>
      <c r="E209" s="12" t="e">
        <f>IF('Match Entry'!$R176="Complete",'Match Entry'!P176&amp;"-"&amp;'Match Entry'!Q176,"")</f>
        <v>#DIV/0!</v>
      </c>
      <c r="F209" s="12" t="e">
        <f>IF('Match Entry'!$R176="Complete",'Match Entry'!E176,"")</f>
        <v>#DIV/0!</v>
      </c>
      <c r="G209" s="12" t="e">
        <f>IF('Match Entry'!$R176="Complete",IF(ISNUMBER('Match Entry'!F176),'Match Entry'!F176&amp;"-"&amp;'Match Entry'!G176,"")&amp;IF(ISNUMBER('Match Entry'!H176),", "&amp;'Match Entry'!H176&amp;"-"&amp;'Match Entry'!I176,"")&amp;IF(ISNUMBER('Match Entry'!J176),", "&amp;'Match Entry'!J176&amp;"-"&amp;'Match Entry'!K176,"")&amp;IF(ISNUMBER('Match Entry'!L176),", "&amp;'Match Entry'!L176&amp;"-"&amp;'Match Entry'!M176,"")&amp;IF(ISNUMBER('Match Entry'!N176),", "&amp;'Match Entry'!N176&amp;"-"&amp;'Match Entry'!O176,""),"")</f>
        <v>#DIV/0!</v>
      </c>
      <c r="H209" s="12" t="e">
        <f>IF('Match Entry'!$R176="Complete",'Match Entry'!S176,"")</f>
        <v>#DIV/0!</v>
      </c>
      <c r="I209" s="12"/>
      <c r="J209" s="12"/>
      <c r="K209" s="12"/>
      <c r="L209" s="12"/>
      <c r="M209" s="12"/>
      <c r="N209" s="12"/>
      <c r="O209" s="12"/>
    </row>
    <row r="210" spans="1:15" ht="28.5">
      <c r="A210" s="12" t="e">
        <f>IF('Match Entry'!$R177="Complete",'Match Entry'!A177,"")</f>
        <v>#DIV/0!</v>
      </c>
      <c r="B210" s="12" t="e">
        <f>IF('Match Entry'!$R177="Complete",'Match Entry'!B177,"")</f>
        <v>#DIV/0!</v>
      </c>
      <c r="C210" s="12" t="e">
        <f>IF('Match Entry'!$R177="Complete",'Match Entry'!C177,"")</f>
        <v>#DIV/0!</v>
      </c>
      <c r="D210" s="12" t="e">
        <f>IF('Match Entry'!$R177="Complete",'Match Entry'!D177,"")</f>
        <v>#DIV/0!</v>
      </c>
      <c r="E210" s="12" t="e">
        <f>IF('Match Entry'!$R177="Complete",'Match Entry'!P177&amp;"-"&amp;'Match Entry'!Q177,"")</f>
        <v>#DIV/0!</v>
      </c>
      <c r="F210" s="12" t="e">
        <f>IF('Match Entry'!$R177="Complete",'Match Entry'!E177,"")</f>
        <v>#DIV/0!</v>
      </c>
      <c r="G210" s="12" t="e">
        <f>IF('Match Entry'!$R177="Complete",IF(ISNUMBER('Match Entry'!F177),'Match Entry'!F177&amp;"-"&amp;'Match Entry'!G177,"")&amp;IF(ISNUMBER('Match Entry'!H177),", "&amp;'Match Entry'!H177&amp;"-"&amp;'Match Entry'!I177,"")&amp;IF(ISNUMBER('Match Entry'!J177),", "&amp;'Match Entry'!J177&amp;"-"&amp;'Match Entry'!K177,"")&amp;IF(ISNUMBER('Match Entry'!L177),", "&amp;'Match Entry'!L177&amp;"-"&amp;'Match Entry'!M177,"")&amp;IF(ISNUMBER('Match Entry'!N177),", "&amp;'Match Entry'!N177&amp;"-"&amp;'Match Entry'!O177,""),"")</f>
        <v>#DIV/0!</v>
      </c>
      <c r="H210" s="12" t="e">
        <f>IF('Match Entry'!$R177="Complete",'Match Entry'!S177,"")</f>
        <v>#DIV/0!</v>
      </c>
      <c r="I210" s="12"/>
      <c r="J210" s="12"/>
      <c r="K210" s="12"/>
      <c r="L210" s="12"/>
      <c r="M210" s="12"/>
      <c r="N210" s="12"/>
      <c r="O210" s="12"/>
    </row>
    <row r="211" spans="1:15" ht="28.5">
      <c r="A211" s="12" t="e">
        <f>IF('Match Entry'!$R178="Complete",'Match Entry'!A178,"")</f>
        <v>#DIV/0!</v>
      </c>
      <c r="B211" s="12" t="e">
        <f>IF('Match Entry'!$R178="Complete",'Match Entry'!B178,"")</f>
        <v>#DIV/0!</v>
      </c>
      <c r="C211" s="12" t="e">
        <f>IF('Match Entry'!$R178="Complete",'Match Entry'!C178,"")</f>
        <v>#DIV/0!</v>
      </c>
      <c r="D211" s="12" t="e">
        <f>IF('Match Entry'!$R178="Complete",'Match Entry'!D178,"")</f>
        <v>#DIV/0!</v>
      </c>
      <c r="E211" s="12" t="e">
        <f>IF('Match Entry'!$R178="Complete",'Match Entry'!P178&amp;"-"&amp;'Match Entry'!Q178,"")</f>
        <v>#DIV/0!</v>
      </c>
      <c r="F211" s="12" t="e">
        <f>IF('Match Entry'!$R178="Complete",'Match Entry'!E178,"")</f>
        <v>#DIV/0!</v>
      </c>
      <c r="G211" s="12" t="e">
        <f>IF('Match Entry'!$R178="Complete",IF(ISNUMBER('Match Entry'!F178),'Match Entry'!F178&amp;"-"&amp;'Match Entry'!G178,"")&amp;IF(ISNUMBER('Match Entry'!H178),", "&amp;'Match Entry'!H178&amp;"-"&amp;'Match Entry'!I178,"")&amp;IF(ISNUMBER('Match Entry'!J178),", "&amp;'Match Entry'!J178&amp;"-"&amp;'Match Entry'!K178,"")&amp;IF(ISNUMBER('Match Entry'!L178),", "&amp;'Match Entry'!L178&amp;"-"&amp;'Match Entry'!M178,"")&amp;IF(ISNUMBER('Match Entry'!N178),", "&amp;'Match Entry'!N178&amp;"-"&amp;'Match Entry'!O178,""),"")</f>
        <v>#DIV/0!</v>
      </c>
      <c r="H211" s="12" t="e">
        <f>IF('Match Entry'!$R178="Complete",'Match Entry'!S178,"")</f>
        <v>#DIV/0!</v>
      </c>
      <c r="I211" s="12"/>
      <c r="J211" s="12"/>
      <c r="K211" s="12"/>
      <c r="L211" s="12"/>
      <c r="M211" s="12"/>
      <c r="N211" s="12"/>
      <c r="O211" s="12"/>
    </row>
    <row r="212" spans="1:15" ht="28.5">
      <c r="A212" s="12" t="e">
        <f>IF('Match Entry'!$R179="Complete",'Match Entry'!A179,"")</f>
        <v>#DIV/0!</v>
      </c>
      <c r="B212" s="12" t="e">
        <f>IF('Match Entry'!$R179="Complete",'Match Entry'!B179,"")</f>
        <v>#DIV/0!</v>
      </c>
      <c r="C212" s="12" t="e">
        <f>IF('Match Entry'!$R179="Complete",'Match Entry'!C179,"")</f>
        <v>#DIV/0!</v>
      </c>
      <c r="D212" s="12" t="e">
        <f>IF('Match Entry'!$R179="Complete",'Match Entry'!D179,"")</f>
        <v>#DIV/0!</v>
      </c>
      <c r="E212" s="12" t="e">
        <f>IF('Match Entry'!$R179="Complete",'Match Entry'!P179&amp;"-"&amp;'Match Entry'!Q179,"")</f>
        <v>#DIV/0!</v>
      </c>
      <c r="F212" s="12" t="e">
        <f>IF('Match Entry'!$R179="Complete",'Match Entry'!E179,"")</f>
        <v>#DIV/0!</v>
      </c>
      <c r="G212" s="12" t="e">
        <f>IF('Match Entry'!$R179="Complete",IF(ISNUMBER('Match Entry'!F179),'Match Entry'!F179&amp;"-"&amp;'Match Entry'!G179,"")&amp;IF(ISNUMBER('Match Entry'!H179),", "&amp;'Match Entry'!H179&amp;"-"&amp;'Match Entry'!I179,"")&amp;IF(ISNUMBER('Match Entry'!J179),", "&amp;'Match Entry'!J179&amp;"-"&amp;'Match Entry'!K179,"")&amp;IF(ISNUMBER('Match Entry'!L179),", "&amp;'Match Entry'!L179&amp;"-"&amp;'Match Entry'!M179,"")&amp;IF(ISNUMBER('Match Entry'!N179),", "&amp;'Match Entry'!N179&amp;"-"&amp;'Match Entry'!O179,""),"")</f>
        <v>#DIV/0!</v>
      </c>
      <c r="H212" s="12" t="e">
        <f>IF('Match Entry'!$R179="Complete",'Match Entry'!S179,"")</f>
        <v>#DIV/0!</v>
      </c>
      <c r="I212" s="12"/>
      <c r="J212" s="12"/>
      <c r="K212" s="12"/>
      <c r="L212" s="12"/>
      <c r="M212" s="12"/>
      <c r="N212" s="12"/>
      <c r="O212" s="12"/>
    </row>
    <row r="213" spans="1:15" ht="28.5">
      <c r="A213" s="12" t="e">
        <f>IF('Match Entry'!$R180="Complete",'Match Entry'!A180,"")</f>
        <v>#DIV/0!</v>
      </c>
      <c r="B213" s="12" t="e">
        <f>IF('Match Entry'!$R180="Complete",'Match Entry'!B180,"")</f>
        <v>#DIV/0!</v>
      </c>
      <c r="C213" s="12" t="e">
        <f>IF('Match Entry'!$R180="Complete",'Match Entry'!C180,"")</f>
        <v>#DIV/0!</v>
      </c>
      <c r="D213" s="12" t="e">
        <f>IF('Match Entry'!$R180="Complete",'Match Entry'!D180,"")</f>
        <v>#DIV/0!</v>
      </c>
      <c r="E213" s="12" t="e">
        <f>IF('Match Entry'!$R180="Complete",'Match Entry'!P180&amp;"-"&amp;'Match Entry'!Q180,"")</f>
        <v>#DIV/0!</v>
      </c>
      <c r="F213" s="12" t="e">
        <f>IF('Match Entry'!$R180="Complete",'Match Entry'!E180,"")</f>
        <v>#DIV/0!</v>
      </c>
      <c r="G213" s="12" t="e">
        <f>IF('Match Entry'!$R180="Complete",IF(ISNUMBER('Match Entry'!F180),'Match Entry'!F180&amp;"-"&amp;'Match Entry'!G180,"")&amp;IF(ISNUMBER('Match Entry'!H180),", "&amp;'Match Entry'!H180&amp;"-"&amp;'Match Entry'!I180,"")&amp;IF(ISNUMBER('Match Entry'!J180),", "&amp;'Match Entry'!J180&amp;"-"&amp;'Match Entry'!K180,"")&amp;IF(ISNUMBER('Match Entry'!L180),", "&amp;'Match Entry'!L180&amp;"-"&amp;'Match Entry'!M180,"")&amp;IF(ISNUMBER('Match Entry'!N180),", "&amp;'Match Entry'!N180&amp;"-"&amp;'Match Entry'!O180,""),"")</f>
        <v>#DIV/0!</v>
      </c>
      <c r="H213" s="12" t="e">
        <f>IF('Match Entry'!$R180="Complete",'Match Entry'!S180,"")</f>
        <v>#DIV/0!</v>
      </c>
      <c r="I213" s="12"/>
      <c r="J213" s="12"/>
      <c r="K213" s="12"/>
      <c r="L213" s="12"/>
      <c r="M213" s="12"/>
      <c r="N213" s="12"/>
      <c r="O213" s="12"/>
    </row>
    <row r="214" spans="1:15" ht="28.5">
      <c r="A214" s="12" t="e">
        <f>IF('Match Entry'!$R181="Complete",'Match Entry'!A181,"")</f>
        <v>#DIV/0!</v>
      </c>
      <c r="B214" s="12" t="e">
        <f>IF('Match Entry'!$R181="Complete",'Match Entry'!B181,"")</f>
        <v>#DIV/0!</v>
      </c>
      <c r="C214" s="12" t="e">
        <f>IF('Match Entry'!$R181="Complete",'Match Entry'!C181,"")</f>
        <v>#DIV/0!</v>
      </c>
      <c r="D214" s="12" t="e">
        <f>IF('Match Entry'!$R181="Complete",'Match Entry'!D181,"")</f>
        <v>#DIV/0!</v>
      </c>
      <c r="E214" s="12" t="e">
        <f>IF('Match Entry'!$R181="Complete",'Match Entry'!P181&amp;"-"&amp;'Match Entry'!Q181,"")</f>
        <v>#DIV/0!</v>
      </c>
      <c r="F214" s="12" t="e">
        <f>IF('Match Entry'!$R181="Complete",'Match Entry'!E181,"")</f>
        <v>#DIV/0!</v>
      </c>
      <c r="G214" s="12" t="e">
        <f>IF('Match Entry'!$R181="Complete",IF(ISNUMBER('Match Entry'!F181),'Match Entry'!F181&amp;"-"&amp;'Match Entry'!G181,"")&amp;IF(ISNUMBER('Match Entry'!H181),", "&amp;'Match Entry'!H181&amp;"-"&amp;'Match Entry'!I181,"")&amp;IF(ISNUMBER('Match Entry'!J181),", "&amp;'Match Entry'!J181&amp;"-"&amp;'Match Entry'!K181,"")&amp;IF(ISNUMBER('Match Entry'!L181),", "&amp;'Match Entry'!L181&amp;"-"&amp;'Match Entry'!M181,"")&amp;IF(ISNUMBER('Match Entry'!N181),", "&amp;'Match Entry'!N181&amp;"-"&amp;'Match Entry'!O181,""),"")</f>
        <v>#DIV/0!</v>
      </c>
      <c r="H214" s="12" t="e">
        <f>IF('Match Entry'!$R181="Complete",'Match Entry'!S181,"")</f>
        <v>#DIV/0!</v>
      </c>
      <c r="I214" s="12"/>
      <c r="J214" s="12"/>
      <c r="K214" s="12"/>
      <c r="L214" s="12"/>
      <c r="M214" s="12"/>
      <c r="N214" s="12"/>
      <c r="O214" s="12"/>
    </row>
    <row r="215" spans="1:15" ht="28.5">
      <c r="A215" s="12" t="e">
        <f>IF('Match Entry'!$R182="Complete",'Match Entry'!A182,"")</f>
        <v>#DIV/0!</v>
      </c>
      <c r="B215" s="12" t="e">
        <f>IF('Match Entry'!$R182="Complete",'Match Entry'!B182,"")</f>
        <v>#DIV/0!</v>
      </c>
      <c r="C215" s="12" t="e">
        <f>IF('Match Entry'!$R182="Complete",'Match Entry'!C182,"")</f>
        <v>#DIV/0!</v>
      </c>
      <c r="D215" s="12" t="e">
        <f>IF('Match Entry'!$R182="Complete",'Match Entry'!D182,"")</f>
        <v>#DIV/0!</v>
      </c>
      <c r="E215" s="12" t="e">
        <f>IF('Match Entry'!$R182="Complete",'Match Entry'!P182&amp;"-"&amp;'Match Entry'!Q182,"")</f>
        <v>#DIV/0!</v>
      </c>
      <c r="F215" s="12" t="e">
        <f>IF('Match Entry'!$R182="Complete",'Match Entry'!E182,"")</f>
        <v>#DIV/0!</v>
      </c>
      <c r="G215" s="12" t="e">
        <f>IF('Match Entry'!$R182="Complete",IF(ISNUMBER('Match Entry'!F182),'Match Entry'!F182&amp;"-"&amp;'Match Entry'!G182,"")&amp;IF(ISNUMBER('Match Entry'!H182),", "&amp;'Match Entry'!H182&amp;"-"&amp;'Match Entry'!I182,"")&amp;IF(ISNUMBER('Match Entry'!J182),", "&amp;'Match Entry'!J182&amp;"-"&amp;'Match Entry'!K182,"")&amp;IF(ISNUMBER('Match Entry'!L182),", "&amp;'Match Entry'!L182&amp;"-"&amp;'Match Entry'!M182,"")&amp;IF(ISNUMBER('Match Entry'!N182),", "&amp;'Match Entry'!N182&amp;"-"&amp;'Match Entry'!O182,""),"")</f>
        <v>#DIV/0!</v>
      </c>
      <c r="H215" s="12" t="e">
        <f>IF('Match Entry'!$R182="Complete",'Match Entry'!S182,"")</f>
        <v>#DIV/0!</v>
      </c>
      <c r="I215" s="12"/>
      <c r="J215" s="12"/>
      <c r="K215" s="12"/>
      <c r="L215" s="12"/>
      <c r="M215" s="12"/>
      <c r="N215" s="12"/>
      <c r="O215" s="12"/>
    </row>
    <row r="216" spans="1:15" ht="28.5">
      <c r="A216" s="12" t="e">
        <f>IF('Match Entry'!$R183="Complete",'Match Entry'!A183,"")</f>
        <v>#DIV/0!</v>
      </c>
      <c r="B216" s="12" t="e">
        <f>IF('Match Entry'!$R183="Complete",'Match Entry'!B183,"")</f>
        <v>#DIV/0!</v>
      </c>
      <c r="C216" s="12" t="e">
        <f>IF('Match Entry'!$R183="Complete",'Match Entry'!C183,"")</f>
        <v>#DIV/0!</v>
      </c>
      <c r="D216" s="12" t="e">
        <f>IF('Match Entry'!$R183="Complete",'Match Entry'!D183,"")</f>
        <v>#DIV/0!</v>
      </c>
      <c r="E216" s="12" t="e">
        <f>IF('Match Entry'!$R183="Complete",'Match Entry'!P183&amp;"-"&amp;'Match Entry'!Q183,"")</f>
        <v>#DIV/0!</v>
      </c>
      <c r="F216" s="12" t="e">
        <f>IF('Match Entry'!$R183="Complete",'Match Entry'!E183,"")</f>
        <v>#DIV/0!</v>
      </c>
      <c r="G216" s="12" t="e">
        <f>IF('Match Entry'!$R183="Complete",IF(ISNUMBER('Match Entry'!F183),'Match Entry'!F183&amp;"-"&amp;'Match Entry'!G183,"")&amp;IF(ISNUMBER('Match Entry'!H183),", "&amp;'Match Entry'!H183&amp;"-"&amp;'Match Entry'!I183,"")&amp;IF(ISNUMBER('Match Entry'!J183),", "&amp;'Match Entry'!J183&amp;"-"&amp;'Match Entry'!K183,"")&amp;IF(ISNUMBER('Match Entry'!L183),", "&amp;'Match Entry'!L183&amp;"-"&amp;'Match Entry'!M183,"")&amp;IF(ISNUMBER('Match Entry'!N183),", "&amp;'Match Entry'!N183&amp;"-"&amp;'Match Entry'!O183,""),"")</f>
        <v>#DIV/0!</v>
      </c>
      <c r="H216" s="12" t="e">
        <f>IF('Match Entry'!$R183="Complete",'Match Entry'!S183,"")</f>
        <v>#DIV/0!</v>
      </c>
      <c r="I216" s="12"/>
      <c r="J216" s="12"/>
      <c r="K216" s="12"/>
      <c r="L216" s="12"/>
      <c r="M216" s="12"/>
      <c r="N216" s="12"/>
      <c r="O216" s="12"/>
    </row>
    <row r="217" spans="1:15" ht="28.5">
      <c r="A217" s="12" t="e">
        <f>IF('Match Entry'!$R184="Complete",'Match Entry'!A184,"")</f>
        <v>#DIV/0!</v>
      </c>
      <c r="B217" s="12" t="e">
        <f>IF('Match Entry'!$R184="Complete",'Match Entry'!B184,"")</f>
        <v>#DIV/0!</v>
      </c>
      <c r="C217" s="12" t="e">
        <f>IF('Match Entry'!$R184="Complete",'Match Entry'!C184,"")</f>
        <v>#DIV/0!</v>
      </c>
      <c r="D217" s="12" t="e">
        <f>IF('Match Entry'!$R184="Complete",'Match Entry'!D184,"")</f>
        <v>#DIV/0!</v>
      </c>
      <c r="E217" s="12" t="e">
        <f>IF('Match Entry'!$R184="Complete",'Match Entry'!P184&amp;"-"&amp;'Match Entry'!Q184,"")</f>
        <v>#DIV/0!</v>
      </c>
      <c r="F217" s="12" t="e">
        <f>IF('Match Entry'!$R184="Complete",'Match Entry'!E184,"")</f>
        <v>#DIV/0!</v>
      </c>
      <c r="G217" s="12" t="e">
        <f>IF('Match Entry'!$R184="Complete",IF(ISNUMBER('Match Entry'!F184),'Match Entry'!F184&amp;"-"&amp;'Match Entry'!G184,"")&amp;IF(ISNUMBER('Match Entry'!H184),", "&amp;'Match Entry'!H184&amp;"-"&amp;'Match Entry'!I184,"")&amp;IF(ISNUMBER('Match Entry'!J184),", "&amp;'Match Entry'!J184&amp;"-"&amp;'Match Entry'!K184,"")&amp;IF(ISNUMBER('Match Entry'!L184),", "&amp;'Match Entry'!L184&amp;"-"&amp;'Match Entry'!M184,"")&amp;IF(ISNUMBER('Match Entry'!N184),", "&amp;'Match Entry'!N184&amp;"-"&amp;'Match Entry'!O184,""),"")</f>
        <v>#DIV/0!</v>
      </c>
      <c r="H217" s="12" t="e">
        <f>IF('Match Entry'!$R184="Complete",'Match Entry'!S184,"")</f>
        <v>#DIV/0!</v>
      </c>
      <c r="I217" s="12"/>
      <c r="J217" s="12"/>
      <c r="K217" s="12"/>
      <c r="L217" s="12"/>
      <c r="M217" s="12"/>
      <c r="N217" s="12"/>
      <c r="O217" s="12"/>
    </row>
    <row r="218" spans="1:15" ht="28.5">
      <c r="A218" s="12" t="e">
        <f>IF('Match Entry'!$R185="Complete",'Match Entry'!A185,"")</f>
        <v>#DIV/0!</v>
      </c>
      <c r="B218" s="12" t="e">
        <f>IF('Match Entry'!$R185="Complete",'Match Entry'!B185,"")</f>
        <v>#DIV/0!</v>
      </c>
      <c r="C218" s="12" t="e">
        <f>IF('Match Entry'!$R185="Complete",'Match Entry'!C185,"")</f>
        <v>#DIV/0!</v>
      </c>
      <c r="D218" s="12" t="e">
        <f>IF('Match Entry'!$R185="Complete",'Match Entry'!D185,"")</f>
        <v>#DIV/0!</v>
      </c>
      <c r="E218" s="12" t="e">
        <f>IF('Match Entry'!$R185="Complete",'Match Entry'!P185&amp;"-"&amp;'Match Entry'!Q185,"")</f>
        <v>#DIV/0!</v>
      </c>
      <c r="F218" s="12" t="e">
        <f>IF('Match Entry'!$R185="Complete",'Match Entry'!E185,"")</f>
        <v>#DIV/0!</v>
      </c>
      <c r="G218" s="12" t="e">
        <f>IF('Match Entry'!$R185="Complete",IF(ISNUMBER('Match Entry'!F185),'Match Entry'!F185&amp;"-"&amp;'Match Entry'!G185,"")&amp;IF(ISNUMBER('Match Entry'!H185),", "&amp;'Match Entry'!H185&amp;"-"&amp;'Match Entry'!I185,"")&amp;IF(ISNUMBER('Match Entry'!J185),", "&amp;'Match Entry'!J185&amp;"-"&amp;'Match Entry'!K185,"")&amp;IF(ISNUMBER('Match Entry'!L185),", "&amp;'Match Entry'!L185&amp;"-"&amp;'Match Entry'!M185,"")&amp;IF(ISNUMBER('Match Entry'!N185),", "&amp;'Match Entry'!N185&amp;"-"&amp;'Match Entry'!O185,""),"")</f>
        <v>#DIV/0!</v>
      </c>
      <c r="H218" s="12" t="e">
        <f>IF('Match Entry'!$R185="Complete",'Match Entry'!S185,"")</f>
        <v>#DIV/0!</v>
      </c>
      <c r="I218" s="12"/>
      <c r="J218" s="12"/>
      <c r="K218" s="12"/>
      <c r="L218" s="12"/>
      <c r="M218" s="12"/>
      <c r="N218" s="12"/>
      <c r="O218" s="12"/>
    </row>
    <row r="219" spans="1:15" ht="28.5">
      <c r="A219" s="12" t="e">
        <f>IF('Match Entry'!$R186="Complete",'Match Entry'!A186,"")</f>
        <v>#DIV/0!</v>
      </c>
      <c r="B219" s="12" t="e">
        <f>IF('Match Entry'!$R186="Complete",'Match Entry'!B186,"")</f>
        <v>#DIV/0!</v>
      </c>
      <c r="C219" s="12" t="e">
        <f>IF('Match Entry'!$R186="Complete",'Match Entry'!C186,"")</f>
        <v>#DIV/0!</v>
      </c>
      <c r="D219" s="12" t="e">
        <f>IF('Match Entry'!$R186="Complete",'Match Entry'!D186,"")</f>
        <v>#DIV/0!</v>
      </c>
      <c r="E219" s="12" t="e">
        <f>IF('Match Entry'!$R186="Complete",'Match Entry'!P186&amp;"-"&amp;'Match Entry'!Q186,"")</f>
        <v>#DIV/0!</v>
      </c>
      <c r="F219" s="12" t="e">
        <f>IF('Match Entry'!$R186="Complete",'Match Entry'!E186,"")</f>
        <v>#DIV/0!</v>
      </c>
      <c r="G219" s="12" t="e">
        <f>IF('Match Entry'!$R186="Complete",IF(ISNUMBER('Match Entry'!F186),'Match Entry'!F186&amp;"-"&amp;'Match Entry'!G186,"")&amp;IF(ISNUMBER('Match Entry'!H186),", "&amp;'Match Entry'!H186&amp;"-"&amp;'Match Entry'!I186,"")&amp;IF(ISNUMBER('Match Entry'!J186),", "&amp;'Match Entry'!J186&amp;"-"&amp;'Match Entry'!K186,"")&amp;IF(ISNUMBER('Match Entry'!L186),", "&amp;'Match Entry'!L186&amp;"-"&amp;'Match Entry'!M186,"")&amp;IF(ISNUMBER('Match Entry'!N186),", "&amp;'Match Entry'!N186&amp;"-"&amp;'Match Entry'!O186,""),"")</f>
        <v>#DIV/0!</v>
      </c>
      <c r="H219" s="12" t="e">
        <f>IF('Match Entry'!$R186="Complete",'Match Entry'!S186,"")</f>
        <v>#DIV/0!</v>
      </c>
      <c r="I219" s="12"/>
      <c r="J219" s="12"/>
      <c r="K219" s="12"/>
      <c r="L219" s="12"/>
      <c r="M219" s="12"/>
      <c r="N219" s="12"/>
      <c r="O219" s="12"/>
    </row>
    <row r="220" spans="1:15" ht="28.5">
      <c r="A220" s="12" t="e">
        <f>IF('Match Entry'!$R187="Complete",'Match Entry'!A187,"")</f>
        <v>#DIV/0!</v>
      </c>
      <c r="B220" s="12" t="e">
        <f>IF('Match Entry'!$R187="Complete",'Match Entry'!B187,"")</f>
        <v>#DIV/0!</v>
      </c>
      <c r="C220" s="12" t="e">
        <f>IF('Match Entry'!$R187="Complete",'Match Entry'!C187,"")</f>
        <v>#DIV/0!</v>
      </c>
      <c r="D220" s="12" t="e">
        <f>IF('Match Entry'!$R187="Complete",'Match Entry'!D187,"")</f>
        <v>#DIV/0!</v>
      </c>
      <c r="E220" s="12" t="e">
        <f>IF('Match Entry'!$R187="Complete",'Match Entry'!P187&amp;"-"&amp;'Match Entry'!Q187,"")</f>
        <v>#DIV/0!</v>
      </c>
      <c r="F220" s="12" t="e">
        <f>IF('Match Entry'!$R187="Complete",'Match Entry'!E187,"")</f>
        <v>#DIV/0!</v>
      </c>
      <c r="G220" s="12" t="e">
        <f>IF('Match Entry'!$R187="Complete",IF(ISNUMBER('Match Entry'!F187),'Match Entry'!F187&amp;"-"&amp;'Match Entry'!G187,"")&amp;IF(ISNUMBER('Match Entry'!H187),", "&amp;'Match Entry'!H187&amp;"-"&amp;'Match Entry'!I187,"")&amp;IF(ISNUMBER('Match Entry'!J187),", "&amp;'Match Entry'!J187&amp;"-"&amp;'Match Entry'!K187,"")&amp;IF(ISNUMBER('Match Entry'!L187),", "&amp;'Match Entry'!L187&amp;"-"&amp;'Match Entry'!M187,"")&amp;IF(ISNUMBER('Match Entry'!N187),", "&amp;'Match Entry'!N187&amp;"-"&amp;'Match Entry'!O187,""),"")</f>
        <v>#DIV/0!</v>
      </c>
      <c r="H220" s="12" t="e">
        <f>IF('Match Entry'!$R187="Complete",'Match Entry'!S187,"")</f>
        <v>#DIV/0!</v>
      </c>
      <c r="I220" s="12"/>
      <c r="J220" s="12"/>
      <c r="K220" s="12"/>
      <c r="L220" s="12"/>
      <c r="M220" s="12"/>
      <c r="N220" s="12"/>
      <c r="O220" s="12"/>
    </row>
    <row r="221" spans="1:15" ht="28.5">
      <c r="A221" s="12" t="e">
        <f>IF('Match Entry'!$R188="Complete",'Match Entry'!A188,"")</f>
        <v>#DIV/0!</v>
      </c>
      <c r="B221" s="12" t="e">
        <f>IF('Match Entry'!$R188="Complete",'Match Entry'!B188,"")</f>
        <v>#DIV/0!</v>
      </c>
      <c r="C221" s="12" t="e">
        <f>IF('Match Entry'!$R188="Complete",'Match Entry'!C188,"")</f>
        <v>#DIV/0!</v>
      </c>
      <c r="D221" s="12" t="e">
        <f>IF('Match Entry'!$R188="Complete",'Match Entry'!D188,"")</f>
        <v>#DIV/0!</v>
      </c>
      <c r="E221" s="12" t="e">
        <f>IF('Match Entry'!$R188="Complete",'Match Entry'!P188&amp;"-"&amp;'Match Entry'!Q188,"")</f>
        <v>#DIV/0!</v>
      </c>
      <c r="F221" s="12" t="e">
        <f>IF('Match Entry'!$R188="Complete",'Match Entry'!E188,"")</f>
        <v>#DIV/0!</v>
      </c>
      <c r="G221" s="12" t="e">
        <f>IF('Match Entry'!$R188="Complete",IF(ISNUMBER('Match Entry'!F188),'Match Entry'!F188&amp;"-"&amp;'Match Entry'!G188,"")&amp;IF(ISNUMBER('Match Entry'!H188),", "&amp;'Match Entry'!H188&amp;"-"&amp;'Match Entry'!I188,"")&amp;IF(ISNUMBER('Match Entry'!J188),", "&amp;'Match Entry'!J188&amp;"-"&amp;'Match Entry'!K188,"")&amp;IF(ISNUMBER('Match Entry'!L188),", "&amp;'Match Entry'!L188&amp;"-"&amp;'Match Entry'!M188,"")&amp;IF(ISNUMBER('Match Entry'!N188),", "&amp;'Match Entry'!N188&amp;"-"&amp;'Match Entry'!O188,""),"")</f>
        <v>#DIV/0!</v>
      </c>
      <c r="H221" s="12" t="e">
        <f>IF('Match Entry'!$R188="Complete",'Match Entry'!S188,"")</f>
        <v>#DIV/0!</v>
      </c>
      <c r="I221" s="12"/>
      <c r="J221" s="12"/>
      <c r="K221" s="12"/>
      <c r="L221" s="12"/>
      <c r="M221" s="12"/>
      <c r="N221" s="12"/>
      <c r="O221" s="12"/>
    </row>
    <row r="222" spans="1:15" ht="28.5">
      <c r="A222" s="12" t="e">
        <f>IF('Match Entry'!$R189="Complete",'Match Entry'!A189,"")</f>
        <v>#DIV/0!</v>
      </c>
      <c r="B222" s="12" t="e">
        <f>IF('Match Entry'!$R189="Complete",'Match Entry'!B189,"")</f>
        <v>#DIV/0!</v>
      </c>
      <c r="C222" s="12" t="e">
        <f>IF('Match Entry'!$R189="Complete",'Match Entry'!C189,"")</f>
        <v>#DIV/0!</v>
      </c>
      <c r="D222" s="12" t="e">
        <f>IF('Match Entry'!$R189="Complete",'Match Entry'!D189,"")</f>
        <v>#DIV/0!</v>
      </c>
      <c r="E222" s="12" t="e">
        <f>IF('Match Entry'!$R189="Complete",'Match Entry'!P189&amp;"-"&amp;'Match Entry'!Q189,"")</f>
        <v>#DIV/0!</v>
      </c>
      <c r="F222" s="12" t="e">
        <f>IF('Match Entry'!$R189="Complete",'Match Entry'!E189,"")</f>
        <v>#DIV/0!</v>
      </c>
      <c r="G222" s="12" t="e">
        <f>IF('Match Entry'!$R189="Complete",IF(ISNUMBER('Match Entry'!F189),'Match Entry'!F189&amp;"-"&amp;'Match Entry'!G189,"")&amp;IF(ISNUMBER('Match Entry'!H189),", "&amp;'Match Entry'!H189&amp;"-"&amp;'Match Entry'!I189,"")&amp;IF(ISNUMBER('Match Entry'!J189),", "&amp;'Match Entry'!J189&amp;"-"&amp;'Match Entry'!K189,"")&amp;IF(ISNUMBER('Match Entry'!L189),", "&amp;'Match Entry'!L189&amp;"-"&amp;'Match Entry'!M189,"")&amp;IF(ISNUMBER('Match Entry'!N189),", "&amp;'Match Entry'!N189&amp;"-"&amp;'Match Entry'!O189,""),"")</f>
        <v>#DIV/0!</v>
      </c>
      <c r="H222" s="12" t="e">
        <f>IF('Match Entry'!$R189="Complete",'Match Entry'!S189,"")</f>
        <v>#DIV/0!</v>
      </c>
      <c r="I222" s="12"/>
      <c r="J222" s="12"/>
      <c r="K222" s="12"/>
      <c r="L222" s="12"/>
      <c r="M222" s="12"/>
      <c r="N222" s="12"/>
      <c r="O222" s="12"/>
    </row>
    <row r="223" spans="1:15" ht="28.5">
      <c r="A223" s="12" t="e">
        <f>IF('Match Entry'!$R190="Complete",'Match Entry'!A190,"")</f>
        <v>#DIV/0!</v>
      </c>
      <c r="B223" s="12" t="e">
        <f>IF('Match Entry'!$R190="Complete",'Match Entry'!B190,"")</f>
        <v>#DIV/0!</v>
      </c>
      <c r="C223" s="12" t="e">
        <f>IF('Match Entry'!$R190="Complete",'Match Entry'!C190,"")</f>
        <v>#DIV/0!</v>
      </c>
      <c r="D223" s="12" t="e">
        <f>IF('Match Entry'!$R190="Complete",'Match Entry'!D190,"")</f>
        <v>#DIV/0!</v>
      </c>
      <c r="E223" s="12" t="e">
        <f>IF('Match Entry'!$R190="Complete",'Match Entry'!P190&amp;"-"&amp;'Match Entry'!Q190,"")</f>
        <v>#DIV/0!</v>
      </c>
      <c r="F223" s="12" t="e">
        <f>IF('Match Entry'!$R190="Complete",'Match Entry'!E190,"")</f>
        <v>#DIV/0!</v>
      </c>
      <c r="G223" s="12" t="e">
        <f>IF('Match Entry'!$R190="Complete",IF(ISNUMBER('Match Entry'!F190),'Match Entry'!F190&amp;"-"&amp;'Match Entry'!G190,"")&amp;IF(ISNUMBER('Match Entry'!H190),", "&amp;'Match Entry'!H190&amp;"-"&amp;'Match Entry'!I190,"")&amp;IF(ISNUMBER('Match Entry'!J190),", "&amp;'Match Entry'!J190&amp;"-"&amp;'Match Entry'!K190,"")&amp;IF(ISNUMBER('Match Entry'!L190),", "&amp;'Match Entry'!L190&amp;"-"&amp;'Match Entry'!M190,"")&amp;IF(ISNUMBER('Match Entry'!N190),", "&amp;'Match Entry'!N190&amp;"-"&amp;'Match Entry'!O190,""),"")</f>
        <v>#DIV/0!</v>
      </c>
      <c r="H223" s="12" t="e">
        <f>IF('Match Entry'!$R190="Complete",'Match Entry'!S190,"")</f>
        <v>#DIV/0!</v>
      </c>
      <c r="I223" s="12"/>
      <c r="J223" s="12"/>
      <c r="K223" s="12"/>
      <c r="L223" s="12"/>
      <c r="M223" s="12"/>
      <c r="N223" s="12"/>
      <c r="O223" s="12"/>
    </row>
    <row r="224" spans="1:15" ht="28.5">
      <c r="A224" s="12" t="e">
        <f>IF('Match Entry'!$R191="Complete",'Match Entry'!A191,"")</f>
        <v>#DIV/0!</v>
      </c>
      <c r="B224" s="12" t="e">
        <f>IF('Match Entry'!$R191="Complete",'Match Entry'!B191,"")</f>
        <v>#DIV/0!</v>
      </c>
      <c r="C224" s="12" t="e">
        <f>IF('Match Entry'!$R191="Complete",'Match Entry'!C191,"")</f>
        <v>#DIV/0!</v>
      </c>
      <c r="D224" s="12" t="e">
        <f>IF('Match Entry'!$R191="Complete",'Match Entry'!D191,"")</f>
        <v>#DIV/0!</v>
      </c>
      <c r="E224" s="12" t="e">
        <f>IF('Match Entry'!$R191="Complete",'Match Entry'!P191&amp;"-"&amp;'Match Entry'!Q191,"")</f>
        <v>#DIV/0!</v>
      </c>
      <c r="F224" s="12" t="e">
        <f>IF('Match Entry'!$R191="Complete",'Match Entry'!E191,"")</f>
        <v>#DIV/0!</v>
      </c>
      <c r="G224" s="12" t="e">
        <f>IF('Match Entry'!$R191="Complete",IF(ISNUMBER('Match Entry'!F191),'Match Entry'!F191&amp;"-"&amp;'Match Entry'!G191,"")&amp;IF(ISNUMBER('Match Entry'!H191),", "&amp;'Match Entry'!H191&amp;"-"&amp;'Match Entry'!I191,"")&amp;IF(ISNUMBER('Match Entry'!J191),", "&amp;'Match Entry'!J191&amp;"-"&amp;'Match Entry'!K191,"")&amp;IF(ISNUMBER('Match Entry'!L191),", "&amp;'Match Entry'!L191&amp;"-"&amp;'Match Entry'!M191,"")&amp;IF(ISNUMBER('Match Entry'!N191),", "&amp;'Match Entry'!N191&amp;"-"&amp;'Match Entry'!O191,""),"")</f>
        <v>#DIV/0!</v>
      </c>
      <c r="H224" s="12" t="e">
        <f>IF('Match Entry'!$R191="Complete",'Match Entry'!S191,"")</f>
        <v>#DIV/0!</v>
      </c>
      <c r="I224" s="12"/>
      <c r="J224" s="12"/>
      <c r="K224" s="12"/>
      <c r="L224" s="12"/>
      <c r="M224" s="12"/>
      <c r="N224" s="12"/>
      <c r="O224" s="12"/>
    </row>
    <row r="225" spans="1:15" ht="28.5">
      <c r="A225" s="12" t="e">
        <f>IF('Match Entry'!$R192="Complete",'Match Entry'!A192,"")</f>
        <v>#DIV/0!</v>
      </c>
      <c r="B225" s="12" t="e">
        <f>IF('Match Entry'!$R192="Complete",'Match Entry'!B192,"")</f>
        <v>#DIV/0!</v>
      </c>
      <c r="C225" s="12" t="e">
        <f>IF('Match Entry'!$R192="Complete",'Match Entry'!C192,"")</f>
        <v>#DIV/0!</v>
      </c>
      <c r="D225" s="12" t="e">
        <f>IF('Match Entry'!$R192="Complete",'Match Entry'!D192,"")</f>
        <v>#DIV/0!</v>
      </c>
      <c r="E225" s="12" t="e">
        <f>IF('Match Entry'!$R192="Complete",'Match Entry'!P192&amp;"-"&amp;'Match Entry'!Q192,"")</f>
        <v>#DIV/0!</v>
      </c>
      <c r="F225" s="12" t="e">
        <f>IF('Match Entry'!$R192="Complete",'Match Entry'!E192,"")</f>
        <v>#DIV/0!</v>
      </c>
      <c r="G225" s="12" t="e">
        <f>IF('Match Entry'!$R192="Complete",IF(ISNUMBER('Match Entry'!F192),'Match Entry'!F192&amp;"-"&amp;'Match Entry'!G192,"")&amp;IF(ISNUMBER('Match Entry'!H192),", "&amp;'Match Entry'!H192&amp;"-"&amp;'Match Entry'!I192,"")&amp;IF(ISNUMBER('Match Entry'!J192),", "&amp;'Match Entry'!J192&amp;"-"&amp;'Match Entry'!K192,"")&amp;IF(ISNUMBER('Match Entry'!L192),", "&amp;'Match Entry'!L192&amp;"-"&amp;'Match Entry'!M192,"")&amp;IF(ISNUMBER('Match Entry'!N192),", "&amp;'Match Entry'!N192&amp;"-"&amp;'Match Entry'!O192,""),"")</f>
        <v>#DIV/0!</v>
      </c>
      <c r="H225" s="12" t="e">
        <f>IF('Match Entry'!$R192="Complete",'Match Entry'!S192,"")</f>
        <v>#DIV/0!</v>
      </c>
      <c r="I225" s="12"/>
      <c r="J225" s="12"/>
      <c r="K225" s="12"/>
      <c r="L225" s="12"/>
      <c r="M225" s="12"/>
      <c r="N225" s="12"/>
      <c r="O225" s="12"/>
    </row>
    <row r="226" spans="1:15" ht="28.5">
      <c r="A226" s="12" t="e">
        <f>IF('Match Entry'!$R193="Complete",'Match Entry'!A193,"")</f>
        <v>#DIV/0!</v>
      </c>
      <c r="B226" s="12" t="e">
        <f>IF('Match Entry'!$R193="Complete",'Match Entry'!B193,"")</f>
        <v>#DIV/0!</v>
      </c>
      <c r="C226" s="12" t="e">
        <f>IF('Match Entry'!$R193="Complete",'Match Entry'!C193,"")</f>
        <v>#DIV/0!</v>
      </c>
      <c r="D226" s="12" t="e">
        <f>IF('Match Entry'!$R193="Complete",'Match Entry'!D193,"")</f>
        <v>#DIV/0!</v>
      </c>
      <c r="E226" s="12" t="e">
        <f>IF('Match Entry'!$R193="Complete",'Match Entry'!P193&amp;"-"&amp;'Match Entry'!Q193,"")</f>
        <v>#DIV/0!</v>
      </c>
      <c r="F226" s="12" t="e">
        <f>IF('Match Entry'!$R193="Complete",'Match Entry'!E193,"")</f>
        <v>#DIV/0!</v>
      </c>
      <c r="G226" s="12" t="e">
        <f>IF('Match Entry'!$R193="Complete",IF(ISNUMBER('Match Entry'!F193),'Match Entry'!F193&amp;"-"&amp;'Match Entry'!G193,"")&amp;IF(ISNUMBER('Match Entry'!H193),", "&amp;'Match Entry'!H193&amp;"-"&amp;'Match Entry'!I193,"")&amp;IF(ISNUMBER('Match Entry'!J193),", "&amp;'Match Entry'!J193&amp;"-"&amp;'Match Entry'!K193,"")&amp;IF(ISNUMBER('Match Entry'!L193),", "&amp;'Match Entry'!L193&amp;"-"&amp;'Match Entry'!M193,"")&amp;IF(ISNUMBER('Match Entry'!N193),", "&amp;'Match Entry'!N193&amp;"-"&amp;'Match Entry'!O193,""),"")</f>
        <v>#DIV/0!</v>
      </c>
      <c r="H226" s="12" t="e">
        <f>IF('Match Entry'!$R193="Complete",'Match Entry'!S193,"")</f>
        <v>#DIV/0!</v>
      </c>
      <c r="I226" s="12"/>
      <c r="J226" s="12"/>
      <c r="K226" s="12"/>
      <c r="L226" s="12"/>
      <c r="M226" s="12"/>
      <c r="N226" s="12"/>
      <c r="O226" s="12"/>
    </row>
    <row r="227" spans="1:15" ht="28.5">
      <c r="A227" s="12" t="e">
        <f>IF('Match Entry'!$R194="Complete",'Match Entry'!A194,"")</f>
        <v>#DIV/0!</v>
      </c>
      <c r="B227" s="12" t="e">
        <f>IF('Match Entry'!$R194="Complete",'Match Entry'!B194,"")</f>
        <v>#DIV/0!</v>
      </c>
      <c r="C227" s="12" t="e">
        <f>IF('Match Entry'!$R194="Complete",'Match Entry'!C194,"")</f>
        <v>#DIV/0!</v>
      </c>
      <c r="D227" s="12" t="e">
        <f>IF('Match Entry'!$R194="Complete",'Match Entry'!D194,"")</f>
        <v>#DIV/0!</v>
      </c>
      <c r="E227" s="12" t="e">
        <f>IF('Match Entry'!$R194="Complete",'Match Entry'!P194&amp;"-"&amp;'Match Entry'!Q194,"")</f>
        <v>#DIV/0!</v>
      </c>
      <c r="F227" s="12" t="e">
        <f>IF('Match Entry'!$R194="Complete",'Match Entry'!E194,"")</f>
        <v>#DIV/0!</v>
      </c>
      <c r="G227" s="12" t="e">
        <f>IF('Match Entry'!$R194="Complete",IF(ISNUMBER('Match Entry'!F194),'Match Entry'!F194&amp;"-"&amp;'Match Entry'!G194,"")&amp;IF(ISNUMBER('Match Entry'!H194),", "&amp;'Match Entry'!H194&amp;"-"&amp;'Match Entry'!I194,"")&amp;IF(ISNUMBER('Match Entry'!J194),", "&amp;'Match Entry'!J194&amp;"-"&amp;'Match Entry'!K194,"")&amp;IF(ISNUMBER('Match Entry'!L194),", "&amp;'Match Entry'!L194&amp;"-"&amp;'Match Entry'!M194,"")&amp;IF(ISNUMBER('Match Entry'!N194),", "&amp;'Match Entry'!N194&amp;"-"&amp;'Match Entry'!O194,""),"")</f>
        <v>#DIV/0!</v>
      </c>
      <c r="H227" s="12" t="e">
        <f>IF('Match Entry'!$R194="Complete",'Match Entry'!S194,"")</f>
        <v>#DIV/0!</v>
      </c>
      <c r="I227" s="12"/>
      <c r="J227" s="12"/>
      <c r="K227" s="12"/>
      <c r="L227" s="12"/>
      <c r="M227" s="12"/>
      <c r="N227" s="12"/>
      <c r="O227" s="12"/>
    </row>
    <row r="228" spans="1:15" ht="28.5">
      <c r="A228" s="12" t="e">
        <f>IF('Match Entry'!$R195="Complete",'Match Entry'!A195,"")</f>
        <v>#DIV/0!</v>
      </c>
      <c r="B228" s="12" t="e">
        <f>IF('Match Entry'!$R195="Complete",'Match Entry'!B195,"")</f>
        <v>#DIV/0!</v>
      </c>
      <c r="C228" s="12" t="e">
        <f>IF('Match Entry'!$R195="Complete",'Match Entry'!C195,"")</f>
        <v>#DIV/0!</v>
      </c>
      <c r="D228" s="12" t="e">
        <f>IF('Match Entry'!$R195="Complete",'Match Entry'!D195,"")</f>
        <v>#DIV/0!</v>
      </c>
      <c r="E228" s="12" t="e">
        <f>IF('Match Entry'!$R195="Complete",'Match Entry'!P195&amp;"-"&amp;'Match Entry'!Q195,"")</f>
        <v>#DIV/0!</v>
      </c>
      <c r="F228" s="12" t="e">
        <f>IF('Match Entry'!$R195="Complete",'Match Entry'!E195,"")</f>
        <v>#DIV/0!</v>
      </c>
      <c r="G228" s="12" t="e">
        <f>IF('Match Entry'!$R195="Complete",IF(ISNUMBER('Match Entry'!F195),'Match Entry'!F195&amp;"-"&amp;'Match Entry'!G195,"")&amp;IF(ISNUMBER('Match Entry'!H195),", "&amp;'Match Entry'!H195&amp;"-"&amp;'Match Entry'!I195,"")&amp;IF(ISNUMBER('Match Entry'!J195),", "&amp;'Match Entry'!J195&amp;"-"&amp;'Match Entry'!K195,"")&amp;IF(ISNUMBER('Match Entry'!L195),", "&amp;'Match Entry'!L195&amp;"-"&amp;'Match Entry'!M195,"")&amp;IF(ISNUMBER('Match Entry'!N195),", "&amp;'Match Entry'!N195&amp;"-"&amp;'Match Entry'!O195,""),"")</f>
        <v>#DIV/0!</v>
      </c>
      <c r="H228" s="12" t="e">
        <f>IF('Match Entry'!$R195="Complete",'Match Entry'!S195,"")</f>
        <v>#DIV/0!</v>
      </c>
      <c r="I228" s="12"/>
      <c r="J228" s="12"/>
      <c r="K228" s="12"/>
      <c r="L228" s="12"/>
      <c r="M228" s="12"/>
      <c r="N228" s="12"/>
      <c r="O228" s="12"/>
    </row>
    <row r="229" spans="1:15" ht="28.5">
      <c r="A229" s="12" t="e">
        <f>IF('Match Entry'!$R196="Complete",'Match Entry'!A196,"")</f>
        <v>#DIV/0!</v>
      </c>
      <c r="B229" s="12" t="e">
        <f>IF('Match Entry'!$R196="Complete",'Match Entry'!B196,"")</f>
        <v>#DIV/0!</v>
      </c>
      <c r="C229" s="12" t="e">
        <f>IF('Match Entry'!$R196="Complete",'Match Entry'!C196,"")</f>
        <v>#DIV/0!</v>
      </c>
      <c r="D229" s="12" t="e">
        <f>IF('Match Entry'!$R196="Complete",'Match Entry'!D196,"")</f>
        <v>#DIV/0!</v>
      </c>
      <c r="E229" s="12" t="e">
        <f>IF('Match Entry'!$R196="Complete",'Match Entry'!P196&amp;"-"&amp;'Match Entry'!Q196,"")</f>
        <v>#DIV/0!</v>
      </c>
      <c r="F229" s="12" t="e">
        <f>IF('Match Entry'!$R196="Complete",'Match Entry'!E196,"")</f>
        <v>#DIV/0!</v>
      </c>
      <c r="G229" s="12" t="e">
        <f>IF('Match Entry'!$R196="Complete",IF(ISNUMBER('Match Entry'!F196),'Match Entry'!F196&amp;"-"&amp;'Match Entry'!G196,"")&amp;IF(ISNUMBER('Match Entry'!H196),", "&amp;'Match Entry'!H196&amp;"-"&amp;'Match Entry'!I196,"")&amp;IF(ISNUMBER('Match Entry'!J196),", "&amp;'Match Entry'!J196&amp;"-"&amp;'Match Entry'!K196,"")&amp;IF(ISNUMBER('Match Entry'!L196),", "&amp;'Match Entry'!L196&amp;"-"&amp;'Match Entry'!M196,"")&amp;IF(ISNUMBER('Match Entry'!N196),", "&amp;'Match Entry'!N196&amp;"-"&amp;'Match Entry'!O196,""),"")</f>
        <v>#DIV/0!</v>
      </c>
      <c r="H229" s="12" t="e">
        <f>IF('Match Entry'!$R196="Complete",'Match Entry'!S196,"")</f>
        <v>#DIV/0!</v>
      </c>
      <c r="I229" s="12"/>
      <c r="J229" s="12"/>
      <c r="K229" s="12"/>
      <c r="L229" s="12"/>
      <c r="M229" s="12"/>
      <c r="N229" s="12"/>
      <c r="O229" s="12"/>
    </row>
    <row r="230" spans="1:15" ht="28.5">
      <c r="A230" s="12" t="e">
        <f>IF('Match Entry'!$R197="Complete",'Match Entry'!A197,"")</f>
        <v>#DIV/0!</v>
      </c>
      <c r="B230" s="12" t="e">
        <f>IF('Match Entry'!$R197="Complete",'Match Entry'!B197,"")</f>
        <v>#DIV/0!</v>
      </c>
      <c r="C230" s="12" t="e">
        <f>IF('Match Entry'!$R197="Complete",'Match Entry'!C197,"")</f>
        <v>#DIV/0!</v>
      </c>
      <c r="D230" s="12" t="e">
        <f>IF('Match Entry'!$R197="Complete",'Match Entry'!D197,"")</f>
        <v>#DIV/0!</v>
      </c>
      <c r="E230" s="12" t="e">
        <f>IF('Match Entry'!$R197="Complete",'Match Entry'!P197&amp;"-"&amp;'Match Entry'!Q197,"")</f>
        <v>#DIV/0!</v>
      </c>
      <c r="F230" s="12" t="e">
        <f>IF('Match Entry'!$R197="Complete",'Match Entry'!E197,"")</f>
        <v>#DIV/0!</v>
      </c>
      <c r="G230" s="12" t="e">
        <f>IF('Match Entry'!$R197="Complete",IF(ISNUMBER('Match Entry'!F197),'Match Entry'!F197&amp;"-"&amp;'Match Entry'!G197,"")&amp;IF(ISNUMBER('Match Entry'!H197),", "&amp;'Match Entry'!H197&amp;"-"&amp;'Match Entry'!I197,"")&amp;IF(ISNUMBER('Match Entry'!J197),", "&amp;'Match Entry'!J197&amp;"-"&amp;'Match Entry'!K197,"")&amp;IF(ISNUMBER('Match Entry'!L197),", "&amp;'Match Entry'!L197&amp;"-"&amp;'Match Entry'!M197,"")&amp;IF(ISNUMBER('Match Entry'!N197),", "&amp;'Match Entry'!N197&amp;"-"&amp;'Match Entry'!O197,""),"")</f>
        <v>#DIV/0!</v>
      </c>
      <c r="H230" s="12" t="e">
        <f>IF('Match Entry'!$R197="Complete",'Match Entry'!S197,"")</f>
        <v>#DIV/0!</v>
      </c>
      <c r="I230" s="12"/>
      <c r="J230" s="12"/>
      <c r="K230" s="12"/>
      <c r="L230" s="12"/>
      <c r="M230" s="12"/>
      <c r="N230" s="12"/>
      <c r="O230" s="12"/>
    </row>
    <row r="231" spans="1:15" ht="28.5">
      <c r="A231" s="12" t="e">
        <f>IF('Match Entry'!$R198="Complete",'Match Entry'!A198,"")</f>
        <v>#DIV/0!</v>
      </c>
      <c r="B231" s="12" t="e">
        <f>IF('Match Entry'!$R198="Complete",'Match Entry'!B198,"")</f>
        <v>#DIV/0!</v>
      </c>
      <c r="C231" s="12" t="e">
        <f>IF('Match Entry'!$R198="Complete",'Match Entry'!C198,"")</f>
        <v>#DIV/0!</v>
      </c>
      <c r="D231" s="12" t="e">
        <f>IF('Match Entry'!$R198="Complete",'Match Entry'!D198,"")</f>
        <v>#DIV/0!</v>
      </c>
      <c r="E231" s="12" t="e">
        <f>IF('Match Entry'!$R198="Complete",'Match Entry'!P198&amp;"-"&amp;'Match Entry'!Q198,"")</f>
        <v>#DIV/0!</v>
      </c>
      <c r="F231" s="12" t="e">
        <f>IF('Match Entry'!$R198="Complete",'Match Entry'!E198,"")</f>
        <v>#DIV/0!</v>
      </c>
      <c r="G231" s="12" t="e">
        <f>IF('Match Entry'!$R198="Complete",IF(ISNUMBER('Match Entry'!F198),'Match Entry'!F198&amp;"-"&amp;'Match Entry'!G198,"")&amp;IF(ISNUMBER('Match Entry'!H198),", "&amp;'Match Entry'!H198&amp;"-"&amp;'Match Entry'!I198,"")&amp;IF(ISNUMBER('Match Entry'!J198),", "&amp;'Match Entry'!J198&amp;"-"&amp;'Match Entry'!K198,"")&amp;IF(ISNUMBER('Match Entry'!L198),", "&amp;'Match Entry'!L198&amp;"-"&amp;'Match Entry'!M198,"")&amp;IF(ISNUMBER('Match Entry'!N198),", "&amp;'Match Entry'!N198&amp;"-"&amp;'Match Entry'!O198,""),"")</f>
        <v>#DIV/0!</v>
      </c>
      <c r="H231" s="12" t="e">
        <f>IF('Match Entry'!$R198="Complete",'Match Entry'!S198,"")</f>
        <v>#DIV/0!</v>
      </c>
      <c r="I231" s="12"/>
      <c r="J231" s="12"/>
      <c r="K231" s="12"/>
      <c r="L231" s="12"/>
      <c r="M231" s="12"/>
      <c r="N231" s="12"/>
      <c r="O231" s="12"/>
    </row>
    <row r="232" spans="1:15" ht="28.5">
      <c r="A232" s="12" t="e">
        <f>IF('Match Entry'!$R199="Complete",'Match Entry'!A199,"")</f>
        <v>#DIV/0!</v>
      </c>
      <c r="B232" s="12" t="e">
        <f>IF('Match Entry'!$R199="Complete",'Match Entry'!B199,"")</f>
        <v>#DIV/0!</v>
      </c>
      <c r="C232" s="12" t="e">
        <f>IF('Match Entry'!$R199="Complete",'Match Entry'!C199,"")</f>
        <v>#DIV/0!</v>
      </c>
      <c r="D232" s="12" t="e">
        <f>IF('Match Entry'!$R199="Complete",'Match Entry'!D199,"")</f>
        <v>#DIV/0!</v>
      </c>
      <c r="E232" s="12" t="e">
        <f>IF('Match Entry'!$R199="Complete",'Match Entry'!P199&amp;"-"&amp;'Match Entry'!Q199,"")</f>
        <v>#DIV/0!</v>
      </c>
      <c r="F232" s="12" t="e">
        <f>IF('Match Entry'!$R199="Complete",'Match Entry'!E199,"")</f>
        <v>#DIV/0!</v>
      </c>
      <c r="G232" s="12" t="e">
        <f>IF('Match Entry'!$R199="Complete",IF(ISNUMBER('Match Entry'!F199),'Match Entry'!F199&amp;"-"&amp;'Match Entry'!G199,"")&amp;IF(ISNUMBER('Match Entry'!H199),", "&amp;'Match Entry'!H199&amp;"-"&amp;'Match Entry'!I199,"")&amp;IF(ISNUMBER('Match Entry'!J199),", "&amp;'Match Entry'!J199&amp;"-"&amp;'Match Entry'!K199,"")&amp;IF(ISNUMBER('Match Entry'!L199),", "&amp;'Match Entry'!L199&amp;"-"&amp;'Match Entry'!M199,"")&amp;IF(ISNUMBER('Match Entry'!N199),", "&amp;'Match Entry'!N199&amp;"-"&amp;'Match Entry'!O199,""),"")</f>
        <v>#DIV/0!</v>
      </c>
      <c r="H232" s="12" t="e">
        <f>IF('Match Entry'!$R199="Complete",'Match Entry'!S199,"")</f>
        <v>#DIV/0!</v>
      </c>
      <c r="I232" s="12"/>
      <c r="J232" s="12"/>
      <c r="K232" s="12"/>
      <c r="L232" s="12"/>
      <c r="M232" s="12"/>
      <c r="N232" s="12"/>
      <c r="O232" s="12"/>
    </row>
    <row r="233" spans="1:15" ht="28.5">
      <c r="A233" s="12" t="e">
        <f>IF('Match Entry'!$R200="Complete",'Match Entry'!A200,"")</f>
        <v>#DIV/0!</v>
      </c>
      <c r="B233" s="12" t="e">
        <f>IF('Match Entry'!$R200="Complete",'Match Entry'!B200,"")</f>
        <v>#DIV/0!</v>
      </c>
      <c r="C233" s="12" t="e">
        <f>IF('Match Entry'!$R200="Complete",'Match Entry'!C200,"")</f>
        <v>#DIV/0!</v>
      </c>
      <c r="D233" s="12" t="e">
        <f>IF('Match Entry'!$R200="Complete",'Match Entry'!D200,"")</f>
        <v>#DIV/0!</v>
      </c>
      <c r="E233" s="12" t="e">
        <f>IF('Match Entry'!$R200="Complete",'Match Entry'!P200&amp;"-"&amp;'Match Entry'!Q200,"")</f>
        <v>#DIV/0!</v>
      </c>
      <c r="F233" s="12" t="e">
        <f>IF('Match Entry'!$R200="Complete",'Match Entry'!E200,"")</f>
        <v>#DIV/0!</v>
      </c>
      <c r="G233" s="12" t="e">
        <f>IF('Match Entry'!$R200="Complete",IF(ISNUMBER('Match Entry'!F200),'Match Entry'!F200&amp;"-"&amp;'Match Entry'!G200,"")&amp;IF(ISNUMBER('Match Entry'!H200),", "&amp;'Match Entry'!H200&amp;"-"&amp;'Match Entry'!I200,"")&amp;IF(ISNUMBER('Match Entry'!J200),", "&amp;'Match Entry'!J200&amp;"-"&amp;'Match Entry'!K200,"")&amp;IF(ISNUMBER('Match Entry'!L200),", "&amp;'Match Entry'!L200&amp;"-"&amp;'Match Entry'!M200,"")&amp;IF(ISNUMBER('Match Entry'!N200),", "&amp;'Match Entry'!N200&amp;"-"&amp;'Match Entry'!O200,""),"")</f>
        <v>#DIV/0!</v>
      </c>
      <c r="H233" s="12" t="e">
        <f>IF('Match Entry'!$R200="Complete",'Match Entry'!S200,"")</f>
        <v>#DIV/0!</v>
      </c>
      <c r="I233" s="12"/>
      <c r="J233" s="12"/>
      <c r="K233" s="12"/>
      <c r="L233" s="12"/>
      <c r="M233" s="12"/>
      <c r="N233" s="12"/>
      <c r="O233" s="12"/>
    </row>
    <row r="234" spans="1:15" ht="28.5">
      <c r="A234" s="12" t="e">
        <f>IF('Match Entry'!$R201="Complete",'Match Entry'!A201,"")</f>
        <v>#DIV/0!</v>
      </c>
      <c r="B234" s="12" t="e">
        <f>IF('Match Entry'!$R201="Complete",'Match Entry'!B201,"")</f>
        <v>#DIV/0!</v>
      </c>
      <c r="C234" s="12" t="e">
        <f>IF('Match Entry'!$R201="Complete",'Match Entry'!C201,"")</f>
        <v>#DIV/0!</v>
      </c>
      <c r="D234" s="12" t="e">
        <f>IF('Match Entry'!$R201="Complete",'Match Entry'!D201,"")</f>
        <v>#DIV/0!</v>
      </c>
      <c r="E234" s="12" t="e">
        <f>IF('Match Entry'!$R201="Complete",'Match Entry'!P201&amp;"-"&amp;'Match Entry'!Q201,"")</f>
        <v>#DIV/0!</v>
      </c>
      <c r="F234" s="12" t="e">
        <f>IF('Match Entry'!$R201="Complete",'Match Entry'!E201,"")</f>
        <v>#DIV/0!</v>
      </c>
      <c r="G234" s="12" t="e">
        <f>IF('Match Entry'!$R201="Complete",IF(ISNUMBER('Match Entry'!F201),'Match Entry'!F201&amp;"-"&amp;'Match Entry'!G201,"")&amp;IF(ISNUMBER('Match Entry'!H201),", "&amp;'Match Entry'!H201&amp;"-"&amp;'Match Entry'!I201,"")&amp;IF(ISNUMBER('Match Entry'!J201),", "&amp;'Match Entry'!J201&amp;"-"&amp;'Match Entry'!K201,"")&amp;IF(ISNUMBER('Match Entry'!L201),", "&amp;'Match Entry'!L201&amp;"-"&amp;'Match Entry'!M201,"")&amp;IF(ISNUMBER('Match Entry'!N201),", "&amp;'Match Entry'!N201&amp;"-"&amp;'Match Entry'!O201,""),"")</f>
        <v>#DIV/0!</v>
      </c>
      <c r="H234" s="12" t="e">
        <f>IF('Match Entry'!$R201="Complete",'Match Entry'!S201,"")</f>
        <v>#DIV/0!</v>
      </c>
      <c r="I234" s="12"/>
      <c r="J234" s="12"/>
      <c r="K234" s="12"/>
      <c r="L234" s="12"/>
      <c r="M234" s="12"/>
      <c r="N234" s="12"/>
      <c r="O234" s="12"/>
    </row>
    <row r="235" spans="1:15" ht="28.5">
      <c r="A235" s="12" t="e">
        <f>IF('Match Entry'!$R202="Complete",'Match Entry'!A202,"")</f>
        <v>#DIV/0!</v>
      </c>
      <c r="B235" s="12" t="e">
        <f>IF('Match Entry'!$R202="Complete",'Match Entry'!B202,"")</f>
        <v>#DIV/0!</v>
      </c>
      <c r="C235" s="12" t="e">
        <f>IF('Match Entry'!$R202="Complete",'Match Entry'!C202,"")</f>
        <v>#DIV/0!</v>
      </c>
      <c r="D235" s="12" t="e">
        <f>IF('Match Entry'!$R202="Complete",'Match Entry'!D202,"")</f>
        <v>#DIV/0!</v>
      </c>
      <c r="E235" s="12" t="e">
        <f>IF('Match Entry'!$R202="Complete",'Match Entry'!P202&amp;"-"&amp;'Match Entry'!Q202,"")</f>
        <v>#DIV/0!</v>
      </c>
      <c r="F235" s="12" t="e">
        <f>IF('Match Entry'!$R202="Complete",'Match Entry'!E202,"")</f>
        <v>#DIV/0!</v>
      </c>
      <c r="G235" s="12" t="e">
        <f>IF('Match Entry'!$R202="Complete",IF(ISNUMBER('Match Entry'!F202),'Match Entry'!F202&amp;"-"&amp;'Match Entry'!G202,"")&amp;IF(ISNUMBER('Match Entry'!H202),", "&amp;'Match Entry'!H202&amp;"-"&amp;'Match Entry'!I202,"")&amp;IF(ISNUMBER('Match Entry'!J202),", "&amp;'Match Entry'!J202&amp;"-"&amp;'Match Entry'!K202,"")&amp;IF(ISNUMBER('Match Entry'!L202),", "&amp;'Match Entry'!L202&amp;"-"&amp;'Match Entry'!M202,"")&amp;IF(ISNUMBER('Match Entry'!N202),", "&amp;'Match Entry'!N202&amp;"-"&amp;'Match Entry'!O202,""),"")</f>
        <v>#DIV/0!</v>
      </c>
      <c r="H235" s="12" t="e">
        <f>IF('Match Entry'!$R202="Complete",'Match Entry'!S202,"")</f>
        <v>#DIV/0!</v>
      </c>
      <c r="I235" s="12"/>
      <c r="J235" s="12"/>
      <c r="K235" s="12"/>
      <c r="L235" s="12"/>
      <c r="M235" s="12"/>
      <c r="N235" s="12"/>
      <c r="O235" s="12"/>
    </row>
    <row r="236" spans="1:15" ht="28.5">
      <c r="A236" s="12" t="e">
        <f>IF('Match Entry'!$R203="Complete",'Match Entry'!A203,"")</f>
        <v>#DIV/0!</v>
      </c>
      <c r="B236" s="12" t="e">
        <f>IF('Match Entry'!$R203="Complete",'Match Entry'!B203,"")</f>
        <v>#DIV/0!</v>
      </c>
      <c r="C236" s="12" t="e">
        <f>IF('Match Entry'!$R203="Complete",'Match Entry'!C203,"")</f>
        <v>#DIV/0!</v>
      </c>
      <c r="D236" s="12" t="e">
        <f>IF('Match Entry'!$R203="Complete",'Match Entry'!D203,"")</f>
        <v>#DIV/0!</v>
      </c>
      <c r="E236" s="12" t="e">
        <f>IF('Match Entry'!$R203="Complete",'Match Entry'!P203&amp;"-"&amp;'Match Entry'!Q203,"")</f>
        <v>#DIV/0!</v>
      </c>
      <c r="F236" s="12" t="e">
        <f>IF('Match Entry'!$R203="Complete",'Match Entry'!E203,"")</f>
        <v>#DIV/0!</v>
      </c>
      <c r="G236" s="12" t="e">
        <f>IF('Match Entry'!$R203="Complete",IF(ISNUMBER('Match Entry'!F203),'Match Entry'!F203&amp;"-"&amp;'Match Entry'!G203,"")&amp;IF(ISNUMBER('Match Entry'!H203),", "&amp;'Match Entry'!H203&amp;"-"&amp;'Match Entry'!I203,"")&amp;IF(ISNUMBER('Match Entry'!J203),", "&amp;'Match Entry'!J203&amp;"-"&amp;'Match Entry'!K203,"")&amp;IF(ISNUMBER('Match Entry'!L203),", "&amp;'Match Entry'!L203&amp;"-"&amp;'Match Entry'!M203,"")&amp;IF(ISNUMBER('Match Entry'!N203),", "&amp;'Match Entry'!N203&amp;"-"&amp;'Match Entry'!O203,""),"")</f>
        <v>#DIV/0!</v>
      </c>
      <c r="H236" s="12" t="e">
        <f>IF('Match Entry'!$R203="Complete",'Match Entry'!S203,"")</f>
        <v>#DIV/0!</v>
      </c>
      <c r="I236" s="12"/>
      <c r="J236" s="12"/>
      <c r="K236" s="12"/>
      <c r="L236" s="12"/>
      <c r="M236" s="12"/>
      <c r="N236" s="12"/>
      <c r="O236" s="12"/>
    </row>
    <row r="237" spans="1:15" ht="28.5">
      <c r="A237" s="12" t="e">
        <f>IF('Match Entry'!$R204="Complete",'Match Entry'!A204,"")</f>
        <v>#DIV/0!</v>
      </c>
      <c r="B237" s="12" t="e">
        <f>IF('Match Entry'!$R204="Complete",'Match Entry'!B204,"")</f>
        <v>#DIV/0!</v>
      </c>
      <c r="C237" s="12" t="e">
        <f>IF('Match Entry'!$R204="Complete",'Match Entry'!C204,"")</f>
        <v>#DIV/0!</v>
      </c>
      <c r="D237" s="12" t="e">
        <f>IF('Match Entry'!$R204="Complete",'Match Entry'!D204,"")</f>
        <v>#DIV/0!</v>
      </c>
      <c r="E237" s="12" t="e">
        <f>IF('Match Entry'!$R204="Complete",'Match Entry'!P204&amp;"-"&amp;'Match Entry'!Q204,"")</f>
        <v>#DIV/0!</v>
      </c>
      <c r="F237" s="12" t="e">
        <f>IF('Match Entry'!$R204="Complete",'Match Entry'!E204,"")</f>
        <v>#DIV/0!</v>
      </c>
      <c r="G237" s="12" t="e">
        <f>IF('Match Entry'!$R204="Complete",IF(ISNUMBER('Match Entry'!F204),'Match Entry'!F204&amp;"-"&amp;'Match Entry'!G204,"")&amp;IF(ISNUMBER('Match Entry'!H204),", "&amp;'Match Entry'!H204&amp;"-"&amp;'Match Entry'!I204,"")&amp;IF(ISNUMBER('Match Entry'!J204),", "&amp;'Match Entry'!J204&amp;"-"&amp;'Match Entry'!K204,"")&amp;IF(ISNUMBER('Match Entry'!L204),", "&amp;'Match Entry'!L204&amp;"-"&amp;'Match Entry'!M204,"")&amp;IF(ISNUMBER('Match Entry'!N204),", "&amp;'Match Entry'!N204&amp;"-"&amp;'Match Entry'!O204,""),"")</f>
        <v>#DIV/0!</v>
      </c>
      <c r="H237" s="12" t="e">
        <f>IF('Match Entry'!$R204="Complete",'Match Entry'!S204,"")</f>
        <v>#DIV/0!</v>
      </c>
      <c r="I237" s="12"/>
      <c r="J237" s="12"/>
      <c r="K237" s="12"/>
      <c r="L237" s="12"/>
      <c r="M237" s="12"/>
      <c r="N237" s="12"/>
      <c r="O237" s="12"/>
    </row>
    <row r="238" spans="1:15" ht="28.5">
      <c r="A238" s="12" t="e">
        <f>IF('Match Entry'!$R205="Complete",'Match Entry'!A205,"")</f>
        <v>#DIV/0!</v>
      </c>
      <c r="B238" s="12" t="e">
        <f>IF('Match Entry'!$R205="Complete",'Match Entry'!B205,"")</f>
        <v>#DIV/0!</v>
      </c>
      <c r="C238" s="12" t="e">
        <f>IF('Match Entry'!$R205="Complete",'Match Entry'!C205,"")</f>
        <v>#DIV/0!</v>
      </c>
      <c r="D238" s="12" t="e">
        <f>IF('Match Entry'!$R205="Complete",'Match Entry'!D205,"")</f>
        <v>#DIV/0!</v>
      </c>
      <c r="E238" s="12" t="e">
        <f>IF('Match Entry'!$R205="Complete",'Match Entry'!P205&amp;"-"&amp;'Match Entry'!Q205,"")</f>
        <v>#DIV/0!</v>
      </c>
      <c r="F238" s="12" t="e">
        <f>IF('Match Entry'!$R205="Complete",'Match Entry'!E205,"")</f>
        <v>#DIV/0!</v>
      </c>
      <c r="G238" s="12" t="e">
        <f>IF('Match Entry'!$R205="Complete",IF(ISNUMBER('Match Entry'!F205),'Match Entry'!F205&amp;"-"&amp;'Match Entry'!G205,"")&amp;IF(ISNUMBER('Match Entry'!H205),", "&amp;'Match Entry'!H205&amp;"-"&amp;'Match Entry'!I205,"")&amp;IF(ISNUMBER('Match Entry'!J205),", "&amp;'Match Entry'!J205&amp;"-"&amp;'Match Entry'!K205,"")&amp;IF(ISNUMBER('Match Entry'!L205),", "&amp;'Match Entry'!L205&amp;"-"&amp;'Match Entry'!M205,"")&amp;IF(ISNUMBER('Match Entry'!N205),", "&amp;'Match Entry'!N205&amp;"-"&amp;'Match Entry'!O205,""),"")</f>
        <v>#DIV/0!</v>
      </c>
      <c r="H238" s="12" t="e">
        <f>IF('Match Entry'!$R205="Complete",'Match Entry'!S205,"")</f>
        <v>#DIV/0!</v>
      </c>
      <c r="I238" s="12"/>
      <c r="J238" s="12"/>
      <c r="K238" s="12"/>
      <c r="L238" s="12"/>
      <c r="M238" s="12"/>
      <c r="N238" s="12"/>
      <c r="O238" s="12"/>
    </row>
    <row r="239" spans="1:15" ht="28.5">
      <c r="A239" s="12" t="e">
        <f>IF('Match Entry'!$R206="Complete",'Match Entry'!A206,"")</f>
        <v>#DIV/0!</v>
      </c>
      <c r="B239" s="12" t="e">
        <f>IF('Match Entry'!$R206="Complete",'Match Entry'!B206,"")</f>
        <v>#DIV/0!</v>
      </c>
      <c r="C239" s="12" t="e">
        <f>IF('Match Entry'!$R206="Complete",'Match Entry'!C206,"")</f>
        <v>#DIV/0!</v>
      </c>
      <c r="D239" s="12" t="e">
        <f>IF('Match Entry'!$R206="Complete",'Match Entry'!D206,"")</f>
        <v>#DIV/0!</v>
      </c>
      <c r="E239" s="12" t="e">
        <f>IF('Match Entry'!$R206="Complete",'Match Entry'!P206&amp;"-"&amp;'Match Entry'!Q206,"")</f>
        <v>#DIV/0!</v>
      </c>
      <c r="F239" s="12" t="e">
        <f>IF('Match Entry'!$R206="Complete",'Match Entry'!E206,"")</f>
        <v>#DIV/0!</v>
      </c>
      <c r="G239" s="12" t="e">
        <f>IF('Match Entry'!$R206="Complete",IF(ISNUMBER('Match Entry'!F206),'Match Entry'!F206&amp;"-"&amp;'Match Entry'!G206,"")&amp;IF(ISNUMBER('Match Entry'!H206),", "&amp;'Match Entry'!H206&amp;"-"&amp;'Match Entry'!I206,"")&amp;IF(ISNUMBER('Match Entry'!J206),", "&amp;'Match Entry'!J206&amp;"-"&amp;'Match Entry'!K206,"")&amp;IF(ISNUMBER('Match Entry'!L206),", "&amp;'Match Entry'!L206&amp;"-"&amp;'Match Entry'!M206,"")&amp;IF(ISNUMBER('Match Entry'!N206),", "&amp;'Match Entry'!N206&amp;"-"&amp;'Match Entry'!O206,""),"")</f>
        <v>#DIV/0!</v>
      </c>
      <c r="H239" s="12" t="e">
        <f>IF('Match Entry'!$R206="Complete",'Match Entry'!S206,"")</f>
        <v>#DIV/0!</v>
      </c>
      <c r="I239" s="12"/>
      <c r="J239" s="12"/>
      <c r="K239" s="12"/>
      <c r="L239" s="12"/>
      <c r="M239" s="12"/>
      <c r="N239" s="12"/>
      <c r="O239" s="12"/>
    </row>
    <row r="240" spans="1:15" ht="28.5">
      <c r="A240" s="12" t="e">
        <f>IF('Match Entry'!$R207="Complete",'Match Entry'!A207,"")</f>
        <v>#DIV/0!</v>
      </c>
      <c r="B240" s="12" t="e">
        <f>IF('Match Entry'!$R207="Complete",'Match Entry'!B207,"")</f>
        <v>#DIV/0!</v>
      </c>
      <c r="C240" s="12" t="e">
        <f>IF('Match Entry'!$R207="Complete",'Match Entry'!C207,"")</f>
        <v>#DIV/0!</v>
      </c>
      <c r="D240" s="12" t="e">
        <f>IF('Match Entry'!$R207="Complete",'Match Entry'!D207,"")</f>
        <v>#DIV/0!</v>
      </c>
      <c r="E240" s="12" t="e">
        <f>IF('Match Entry'!$R207="Complete",'Match Entry'!P207&amp;"-"&amp;'Match Entry'!Q207,"")</f>
        <v>#DIV/0!</v>
      </c>
      <c r="F240" s="12" t="e">
        <f>IF('Match Entry'!$R207="Complete",'Match Entry'!E207,"")</f>
        <v>#DIV/0!</v>
      </c>
      <c r="G240" s="12" t="e">
        <f>IF('Match Entry'!$R207="Complete",IF(ISNUMBER('Match Entry'!F207),'Match Entry'!F207&amp;"-"&amp;'Match Entry'!G207,"")&amp;IF(ISNUMBER('Match Entry'!H207),", "&amp;'Match Entry'!H207&amp;"-"&amp;'Match Entry'!I207,"")&amp;IF(ISNUMBER('Match Entry'!J207),", "&amp;'Match Entry'!J207&amp;"-"&amp;'Match Entry'!K207,"")&amp;IF(ISNUMBER('Match Entry'!L207),", "&amp;'Match Entry'!L207&amp;"-"&amp;'Match Entry'!M207,"")&amp;IF(ISNUMBER('Match Entry'!N207),", "&amp;'Match Entry'!N207&amp;"-"&amp;'Match Entry'!O207,""),"")</f>
        <v>#DIV/0!</v>
      </c>
      <c r="H240" s="12" t="e">
        <f>IF('Match Entry'!$R207="Complete",'Match Entry'!S207,"")</f>
        <v>#DIV/0!</v>
      </c>
      <c r="I240" s="12"/>
      <c r="J240" s="12"/>
      <c r="K240" s="12"/>
      <c r="L240" s="12"/>
      <c r="M240" s="12"/>
      <c r="N240" s="12"/>
      <c r="O240" s="12"/>
    </row>
    <row r="241" spans="1:15" ht="28.5">
      <c r="A241" s="12" t="e">
        <f>IF('Match Entry'!$R208="Complete",'Match Entry'!A208,"")</f>
        <v>#DIV/0!</v>
      </c>
      <c r="B241" s="12" t="e">
        <f>IF('Match Entry'!$R208="Complete",'Match Entry'!B208,"")</f>
        <v>#DIV/0!</v>
      </c>
      <c r="C241" s="12" t="e">
        <f>IF('Match Entry'!$R208="Complete",'Match Entry'!C208,"")</f>
        <v>#DIV/0!</v>
      </c>
      <c r="D241" s="12" t="e">
        <f>IF('Match Entry'!$R208="Complete",'Match Entry'!D208,"")</f>
        <v>#DIV/0!</v>
      </c>
      <c r="E241" s="12" t="e">
        <f>IF('Match Entry'!$R208="Complete",'Match Entry'!P208&amp;"-"&amp;'Match Entry'!Q208,"")</f>
        <v>#DIV/0!</v>
      </c>
      <c r="F241" s="12" t="e">
        <f>IF('Match Entry'!$R208="Complete",'Match Entry'!E208,"")</f>
        <v>#DIV/0!</v>
      </c>
      <c r="G241" s="12" t="e">
        <f>IF('Match Entry'!$R208="Complete",IF(ISNUMBER('Match Entry'!F208),'Match Entry'!F208&amp;"-"&amp;'Match Entry'!G208,"")&amp;IF(ISNUMBER('Match Entry'!H208),", "&amp;'Match Entry'!H208&amp;"-"&amp;'Match Entry'!I208,"")&amp;IF(ISNUMBER('Match Entry'!J208),", "&amp;'Match Entry'!J208&amp;"-"&amp;'Match Entry'!K208,"")&amp;IF(ISNUMBER('Match Entry'!L208),", "&amp;'Match Entry'!L208&amp;"-"&amp;'Match Entry'!M208,"")&amp;IF(ISNUMBER('Match Entry'!N208),", "&amp;'Match Entry'!N208&amp;"-"&amp;'Match Entry'!O208,""),"")</f>
        <v>#DIV/0!</v>
      </c>
      <c r="H241" s="12" t="e">
        <f>IF('Match Entry'!$R208="Complete",'Match Entry'!S208,"")</f>
        <v>#DIV/0!</v>
      </c>
      <c r="I241" s="12"/>
      <c r="J241" s="12"/>
      <c r="K241" s="12"/>
      <c r="L241" s="12"/>
      <c r="M241" s="12"/>
      <c r="N241" s="12"/>
      <c r="O241" s="12"/>
    </row>
    <row r="242" spans="1:15" ht="28.5">
      <c r="A242" s="12" t="e">
        <f>IF('Match Entry'!$R209="Complete",'Match Entry'!A209,"")</f>
        <v>#DIV/0!</v>
      </c>
      <c r="B242" s="12" t="e">
        <f>IF('Match Entry'!$R209="Complete",'Match Entry'!B209,"")</f>
        <v>#DIV/0!</v>
      </c>
      <c r="C242" s="12" t="e">
        <f>IF('Match Entry'!$R209="Complete",'Match Entry'!C209,"")</f>
        <v>#DIV/0!</v>
      </c>
      <c r="D242" s="12" t="e">
        <f>IF('Match Entry'!$R209="Complete",'Match Entry'!D209,"")</f>
        <v>#DIV/0!</v>
      </c>
      <c r="E242" s="12" t="e">
        <f>IF('Match Entry'!$R209="Complete",'Match Entry'!P209&amp;"-"&amp;'Match Entry'!Q209,"")</f>
        <v>#DIV/0!</v>
      </c>
      <c r="F242" s="12" t="e">
        <f>IF('Match Entry'!$R209="Complete",'Match Entry'!E209,"")</f>
        <v>#DIV/0!</v>
      </c>
      <c r="G242" s="12" t="e">
        <f>IF('Match Entry'!$R209="Complete",IF(ISNUMBER('Match Entry'!F209),'Match Entry'!F209&amp;"-"&amp;'Match Entry'!G209,"")&amp;IF(ISNUMBER('Match Entry'!H209),", "&amp;'Match Entry'!H209&amp;"-"&amp;'Match Entry'!I209,"")&amp;IF(ISNUMBER('Match Entry'!J209),", "&amp;'Match Entry'!J209&amp;"-"&amp;'Match Entry'!K209,"")&amp;IF(ISNUMBER('Match Entry'!L209),", "&amp;'Match Entry'!L209&amp;"-"&amp;'Match Entry'!M209,"")&amp;IF(ISNUMBER('Match Entry'!N209),", "&amp;'Match Entry'!N209&amp;"-"&amp;'Match Entry'!O209,""),"")</f>
        <v>#DIV/0!</v>
      </c>
      <c r="H242" s="12" t="e">
        <f>IF('Match Entry'!$R209="Complete",'Match Entry'!S209,"")</f>
        <v>#DIV/0!</v>
      </c>
      <c r="I242" s="12"/>
      <c r="J242" s="12"/>
      <c r="K242" s="12"/>
      <c r="L242" s="12"/>
      <c r="M242" s="12"/>
      <c r="N242" s="12"/>
      <c r="O242" s="12"/>
    </row>
    <row r="243" spans="1:15" ht="28.5">
      <c r="A243" s="12" t="e">
        <f>IF('Match Entry'!$R210="Complete",'Match Entry'!A210,"")</f>
        <v>#DIV/0!</v>
      </c>
      <c r="B243" s="12" t="e">
        <f>IF('Match Entry'!$R210="Complete",'Match Entry'!B210,"")</f>
        <v>#DIV/0!</v>
      </c>
      <c r="C243" s="12" t="e">
        <f>IF('Match Entry'!$R210="Complete",'Match Entry'!C210,"")</f>
        <v>#DIV/0!</v>
      </c>
      <c r="D243" s="12" t="e">
        <f>IF('Match Entry'!$R210="Complete",'Match Entry'!D210,"")</f>
        <v>#DIV/0!</v>
      </c>
      <c r="E243" s="12" t="e">
        <f>IF('Match Entry'!$R210="Complete",'Match Entry'!P210&amp;"-"&amp;'Match Entry'!Q210,"")</f>
        <v>#DIV/0!</v>
      </c>
      <c r="F243" s="12" t="e">
        <f>IF('Match Entry'!$R210="Complete",'Match Entry'!E210,"")</f>
        <v>#DIV/0!</v>
      </c>
      <c r="G243" s="12" t="e">
        <f>IF('Match Entry'!$R210="Complete",IF(ISNUMBER('Match Entry'!F210),'Match Entry'!F210&amp;"-"&amp;'Match Entry'!G210,"")&amp;IF(ISNUMBER('Match Entry'!H210),", "&amp;'Match Entry'!H210&amp;"-"&amp;'Match Entry'!I210,"")&amp;IF(ISNUMBER('Match Entry'!J210),", "&amp;'Match Entry'!J210&amp;"-"&amp;'Match Entry'!K210,"")&amp;IF(ISNUMBER('Match Entry'!L210),", "&amp;'Match Entry'!L210&amp;"-"&amp;'Match Entry'!M210,"")&amp;IF(ISNUMBER('Match Entry'!N210),", "&amp;'Match Entry'!N210&amp;"-"&amp;'Match Entry'!O210,""),"")</f>
        <v>#DIV/0!</v>
      </c>
      <c r="H243" s="12" t="e">
        <f>IF('Match Entry'!$R210="Complete",'Match Entry'!S210,"")</f>
        <v>#DIV/0!</v>
      </c>
      <c r="I243" s="12"/>
      <c r="J243" s="12"/>
      <c r="K243" s="12"/>
      <c r="L243" s="12"/>
      <c r="M243" s="12"/>
      <c r="N243" s="12"/>
      <c r="O243" s="12"/>
    </row>
    <row r="244" spans="1:15" ht="28.5">
      <c r="A244" s="12" t="e">
        <f>IF('Match Entry'!$R211="Complete",'Match Entry'!A211,"")</f>
        <v>#DIV/0!</v>
      </c>
      <c r="B244" s="12" t="e">
        <f>IF('Match Entry'!$R211="Complete",'Match Entry'!B211,"")</f>
        <v>#DIV/0!</v>
      </c>
      <c r="C244" s="12" t="e">
        <f>IF('Match Entry'!$R211="Complete",'Match Entry'!C211,"")</f>
        <v>#DIV/0!</v>
      </c>
      <c r="D244" s="12" t="e">
        <f>IF('Match Entry'!$R211="Complete",'Match Entry'!D211,"")</f>
        <v>#DIV/0!</v>
      </c>
      <c r="E244" s="12" t="e">
        <f>IF('Match Entry'!$R211="Complete",'Match Entry'!P211&amp;"-"&amp;'Match Entry'!Q211,"")</f>
        <v>#DIV/0!</v>
      </c>
      <c r="F244" s="12" t="e">
        <f>IF('Match Entry'!$R211="Complete",'Match Entry'!E211,"")</f>
        <v>#DIV/0!</v>
      </c>
      <c r="G244" s="12" t="e">
        <f>IF('Match Entry'!$R211="Complete",IF(ISNUMBER('Match Entry'!F211),'Match Entry'!F211&amp;"-"&amp;'Match Entry'!G211,"")&amp;IF(ISNUMBER('Match Entry'!H211),", "&amp;'Match Entry'!H211&amp;"-"&amp;'Match Entry'!I211,"")&amp;IF(ISNUMBER('Match Entry'!J211),", "&amp;'Match Entry'!J211&amp;"-"&amp;'Match Entry'!K211,"")&amp;IF(ISNUMBER('Match Entry'!L211),", "&amp;'Match Entry'!L211&amp;"-"&amp;'Match Entry'!M211,"")&amp;IF(ISNUMBER('Match Entry'!N211),", "&amp;'Match Entry'!N211&amp;"-"&amp;'Match Entry'!O211,""),"")</f>
        <v>#DIV/0!</v>
      </c>
      <c r="H244" s="12" t="e">
        <f>IF('Match Entry'!$R211="Complete",'Match Entry'!S211,"")</f>
        <v>#DIV/0!</v>
      </c>
      <c r="I244" s="12"/>
      <c r="J244" s="12"/>
      <c r="K244" s="12"/>
      <c r="L244" s="12"/>
      <c r="M244" s="12"/>
      <c r="N244" s="12"/>
      <c r="O244" s="12"/>
    </row>
    <row r="245" spans="1:15" ht="28.5">
      <c r="A245" s="12" t="e">
        <f>IF('Match Entry'!$R212="Complete",'Match Entry'!A212,"")</f>
        <v>#DIV/0!</v>
      </c>
      <c r="B245" s="12" t="e">
        <f>IF('Match Entry'!$R212="Complete",'Match Entry'!B212,"")</f>
        <v>#DIV/0!</v>
      </c>
      <c r="C245" s="12" t="e">
        <f>IF('Match Entry'!$R212="Complete",'Match Entry'!C212,"")</f>
        <v>#DIV/0!</v>
      </c>
      <c r="D245" s="12" t="e">
        <f>IF('Match Entry'!$R212="Complete",'Match Entry'!D212,"")</f>
        <v>#DIV/0!</v>
      </c>
      <c r="E245" s="12" t="e">
        <f>IF('Match Entry'!$R212="Complete",'Match Entry'!P212&amp;"-"&amp;'Match Entry'!Q212,"")</f>
        <v>#DIV/0!</v>
      </c>
      <c r="F245" s="12" t="e">
        <f>IF('Match Entry'!$R212="Complete",'Match Entry'!E212,"")</f>
        <v>#DIV/0!</v>
      </c>
      <c r="G245" s="12" t="e">
        <f>IF('Match Entry'!$R212="Complete",IF(ISNUMBER('Match Entry'!F212),'Match Entry'!F212&amp;"-"&amp;'Match Entry'!G212,"")&amp;IF(ISNUMBER('Match Entry'!H212),", "&amp;'Match Entry'!H212&amp;"-"&amp;'Match Entry'!I212,"")&amp;IF(ISNUMBER('Match Entry'!J212),", "&amp;'Match Entry'!J212&amp;"-"&amp;'Match Entry'!K212,"")&amp;IF(ISNUMBER('Match Entry'!L212),", "&amp;'Match Entry'!L212&amp;"-"&amp;'Match Entry'!M212,"")&amp;IF(ISNUMBER('Match Entry'!N212),", "&amp;'Match Entry'!N212&amp;"-"&amp;'Match Entry'!O212,""),"")</f>
        <v>#DIV/0!</v>
      </c>
      <c r="H245" s="12" t="e">
        <f>IF('Match Entry'!$R212="Complete",'Match Entry'!S212,"")</f>
        <v>#DIV/0!</v>
      </c>
      <c r="I245" s="12"/>
      <c r="J245" s="12"/>
      <c r="K245" s="12"/>
      <c r="L245" s="12"/>
      <c r="M245" s="12"/>
      <c r="N245" s="12"/>
      <c r="O245" s="12"/>
    </row>
    <row r="246" spans="1:15" ht="28.5">
      <c r="A246" s="12" t="e">
        <f>IF('Match Entry'!$R213="Complete",'Match Entry'!A213,"")</f>
        <v>#DIV/0!</v>
      </c>
      <c r="B246" s="12" t="e">
        <f>IF('Match Entry'!$R213="Complete",'Match Entry'!B213,"")</f>
        <v>#DIV/0!</v>
      </c>
      <c r="C246" s="12" t="e">
        <f>IF('Match Entry'!$R213="Complete",'Match Entry'!C213,"")</f>
        <v>#DIV/0!</v>
      </c>
      <c r="D246" s="12" t="e">
        <f>IF('Match Entry'!$R213="Complete",'Match Entry'!D213,"")</f>
        <v>#DIV/0!</v>
      </c>
      <c r="E246" s="12" t="e">
        <f>IF('Match Entry'!$R213="Complete",'Match Entry'!P213&amp;"-"&amp;'Match Entry'!Q213,"")</f>
        <v>#DIV/0!</v>
      </c>
      <c r="F246" s="12" t="e">
        <f>IF('Match Entry'!$R213="Complete",'Match Entry'!E213,"")</f>
        <v>#DIV/0!</v>
      </c>
      <c r="G246" s="12" t="e">
        <f>IF('Match Entry'!$R213="Complete",IF(ISNUMBER('Match Entry'!F213),'Match Entry'!F213&amp;"-"&amp;'Match Entry'!G213,"")&amp;IF(ISNUMBER('Match Entry'!H213),", "&amp;'Match Entry'!H213&amp;"-"&amp;'Match Entry'!I213,"")&amp;IF(ISNUMBER('Match Entry'!J213),", "&amp;'Match Entry'!J213&amp;"-"&amp;'Match Entry'!K213,"")&amp;IF(ISNUMBER('Match Entry'!L213),", "&amp;'Match Entry'!L213&amp;"-"&amp;'Match Entry'!M213,"")&amp;IF(ISNUMBER('Match Entry'!N213),", "&amp;'Match Entry'!N213&amp;"-"&amp;'Match Entry'!O213,""),"")</f>
        <v>#DIV/0!</v>
      </c>
      <c r="H246" s="12" t="e">
        <f>IF('Match Entry'!$R213="Complete",'Match Entry'!S213,"")</f>
        <v>#DIV/0!</v>
      </c>
      <c r="I246" s="12"/>
      <c r="J246" s="12"/>
      <c r="K246" s="12"/>
      <c r="L246" s="12"/>
      <c r="M246" s="12"/>
      <c r="N246" s="12"/>
      <c r="O246" s="12"/>
    </row>
    <row r="247" spans="1:15" ht="28.5">
      <c r="A247" s="12" t="e">
        <f>IF('Match Entry'!$R214="Complete",'Match Entry'!A214,"")</f>
        <v>#DIV/0!</v>
      </c>
      <c r="B247" s="12" t="e">
        <f>IF('Match Entry'!$R214="Complete",'Match Entry'!B214,"")</f>
        <v>#DIV/0!</v>
      </c>
      <c r="C247" s="12" t="e">
        <f>IF('Match Entry'!$R214="Complete",'Match Entry'!C214,"")</f>
        <v>#DIV/0!</v>
      </c>
      <c r="D247" s="12" t="e">
        <f>IF('Match Entry'!$R214="Complete",'Match Entry'!D214,"")</f>
        <v>#DIV/0!</v>
      </c>
      <c r="E247" s="12" t="e">
        <f>IF('Match Entry'!$R214="Complete",'Match Entry'!P214&amp;"-"&amp;'Match Entry'!Q214,"")</f>
        <v>#DIV/0!</v>
      </c>
      <c r="F247" s="12" t="e">
        <f>IF('Match Entry'!$R214="Complete",'Match Entry'!E214,"")</f>
        <v>#DIV/0!</v>
      </c>
      <c r="G247" s="12" t="e">
        <f>IF('Match Entry'!$R214="Complete",IF(ISNUMBER('Match Entry'!F214),'Match Entry'!F214&amp;"-"&amp;'Match Entry'!G214,"")&amp;IF(ISNUMBER('Match Entry'!H214),", "&amp;'Match Entry'!H214&amp;"-"&amp;'Match Entry'!I214,"")&amp;IF(ISNUMBER('Match Entry'!J214),", "&amp;'Match Entry'!J214&amp;"-"&amp;'Match Entry'!K214,"")&amp;IF(ISNUMBER('Match Entry'!L214),", "&amp;'Match Entry'!L214&amp;"-"&amp;'Match Entry'!M214,"")&amp;IF(ISNUMBER('Match Entry'!N214),", "&amp;'Match Entry'!N214&amp;"-"&amp;'Match Entry'!O214,""),"")</f>
        <v>#DIV/0!</v>
      </c>
      <c r="H247" s="12" t="e">
        <f>IF('Match Entry'!$R214="Complete",'Match Entry'!S214,"")</f>
        <v>#DIV/0!</v>
      </c>
      <c r="I247" s="12"/>
      <c r="J247" s="12"/>
      <c r="K247" s="12"/>
      <c r="L247" s="12"/>
      <c r="M247" s="12"/>
      <c r="N247" s="12"/>
      <c r="O247" s="12"/>
    </row>
    <row r="248" spans="1:15" ht="28.5">
      <c r="A248" s="12" t="e">
        <f>IF('Match Entry'!$R215="Complete",'Match Entry'!A215,"")</f>
        <v>#DIV/0!</v>
      </c>
      <c r="B248" s="12" t="e">
        <f>IF('Match Entry'!$R215="Complete",'Match Entry'!B215,"")</f>
        <v>#DIV/0!</v>
      </c>
      <c r="C248" s="12" t="e">
        <f>IF('Match Entry'!$R215="Complete",'Match Entry'!C215,"")</f>
        <v>#DIV/0!</v>
      </c>
      <c r="D248" s="12" t="e">
        <f>IF('Match Entry'!$R215="Complete",'Match Entry'!D215,"")</f>
        <v>#DIV/0!</v>
      </c>
      <c r="E248" s="12" t="e">
        <f>IF('Match Entry'!$R215="Complete",'Match Entry'!P215&amp;"-"&amp;'Match Entry'!Q215,"")</f>
        <v>#DIV/0!</v>
      </c>
      <c r="F248" s="12" t="e">
        <f>IF('Match Entry'!$R215="Complete",'Match Entry'!E215,"")</f>
        <v>#DIV/0!</v>
      </c>
      <c r="G248" s="12" t="e">
        <f>IF('Match Entry'!$R215="Complete",IF(ISNUMBER('Match Entry'!F215),'Match Entry'!F215&amp;"-"&amp;'Match Entry'!G215,"")&amp;IF(ISNUMBER('Match Entry'!H215),", "&amp;'Match Entry'!H215&amp;"-"&amp;'Match Entry'!I215,"")&amp;IF(ISNUMBER('Match Entry'!J215),", "&amp;'Match Entry'!J215&amp;"-"&amp;'Match Entry'!K215,"")&amp;IF(ISNUMBER('Match Entry'!L215),", "&amp;'Match Entry'!L215&amp;"-"&amp;'Match Entry'!M215,"")&amp;IF(ISNUMBER('Match Entry'!N215),", "&amp;'Match Entry'!N215&amp;"-"&amp;'Match Entry'!O215,""),"")</f>
        <v>#DIV/0!</v>
      </c>
      <c r="H248" s="12" t="e">
        <f>IF('Match Entry'!$R215="Complete",'Match Entry'!S215,"")</f>
        <v>#DIV/0!</v>
      </c>
      <c r="I248" s="12"/>
      <c r="J248" s="12"/>
      <c r="K248" s="12"/>
      <c r="L248" s="12"/>
      <c r="M248" s="12"/>
      <c r="N248" s="12"/>
      <c r="O248" s="12"/>
    </row>
    <row r="249" spans="1:15" ht="28.5">
      <c r="A249" s="12" t="e">
        <f>IF('Match Entry'!$R216="Complete",'Match Entry'!A216,"")</f>
        <v>#DIV/0!</v>
      </c>
      <c r="B249" s="12" t="e">
        <f>IF('Match Entry'!$R216="Complete",'Match Entry'!B216,"")</f>
        <v>#DIV/0!</v>
      </c>
      <c r="C249" s="12" t="e">
        <f>IF('Match Entry'!$R216="Complete",'Match Entry'!C216,"")</f>
        <v>#DIV/0!</v>
      </c>
      <c r="D249" s="12" t="e">
        <f>IF('Match Entry'!$R216="Complete",'Match Entry'!D216,"")</f>
        <v>#DIV/0!</v>
      </c>
      <c r="E249" s="12" t="e">
        <f>IF('Match Entry'!$R216="Complete",'Match Entry'!P216&amp;"-"&amp;'Match Entry'!Q216,"")</f>
        <v>#DIV/0!</v>
      </c>
      <c r="F249" s="12" t="e">
        <f>IF('Match Entry'!$R216="Complete",'Match Entry'!E216,"")</f>
        <v>#DIV/0!</v>
      </c>
      <c r="G249" s="12" t="e">
        <f>IF('Match Entry'!$R216="Complete",IF(ISNUMBER('Match Entry'!F216),'Match Entry'!F216&amp;"-"&amp;'Match Entry'!G216,"")&amp;IF(ISNUMBER('Match Entry'!H216),", "&amp;'Match Entry'!H216&amp;"-"&amp;'Match Entry'!I216,"")&amp;IF(ISNUMBER('Match Entry'!J216),", "&amp;'Match Entry'!J216&amp;"-"&amp;'Match Entry'!K216,"")&amp;IF(ISNUMBER('Match Entry'!L216),", "&amp;'Match Entry'!L216&amp;"-"&amp;'Match Entry'!M216,"")&amp;IF(ISNUMBER('Match Entry'!N216),", "&amp;'Match Entry'!N216&amp;"-"&amp;'Match Entry'!O216,""),"")</f>
        <v>#DIV/0!</v>
      </c>
      <c r="H249" s="12" t="e">
        <f>IF('Match Entry'!$R216="Complete",'Match Entry'!S216,"")</f>
        <v>#DIV/0!</v>
      </c>
      <c r="I249" s="12"/>
      <c r="J249" s="12"/>
      <c r="K249" s="12"/>
      <c r="L249" s="12"/>
      <c r="M249" s="12"/>
      <c r="N249" s="12"/>
      <c r="O249" s="12"/>
    </row>
    <row r="250" spans="1:15" ht="28.5">
      <c r="A250" s="12" t="e">
        <f>IF('Match Entry'!$R217="Complete",'Match Entry'!A217,"")</f>
        <v>#DIV/0!</v>
      </c>
      <c r="B250" s="12" t="e">
        <f>IF('Match Entry'!$R217="Complete",'Match Entry'!B217,"")</f>
        <v>#DIV/0!</v>
      </c>
      <c r="C250" s="12" t="e">
        <f>IF('Match Entry'!$R217="Complete",'Match Entry'!C217,"")</f>
        <v>#DIV/0!</v>
      </c>
      <c r="D250" s="12" t="e">
        <f>IF('Match Entry'!$R217="Complete",'Match Entry'!D217,"")</f>
        <v>#DIV/0!</v>
      </c>
      <c r="E250" s="12" t="e">
        <f>IF('Match Entry'!$R217="Complete",'Match Entry'!P217&amp;"-"&amp;'Match Entry'!Q217,"")</f>
        <v>#DIV/0!</v>
      </c>
      <c r="F250" s="12" t="e">
        <f>IF('Match Entry'!$R217="Complete",'Match Entry'!E217,"")</f>
        <v>#DIV/0!</v>
      </c>
      <c r="G250" s="12" t="e">
        <f>IF('Match Entry'!$R217="Complete",IF(ISNUMBER('Match Entry'!F217),'Match Entry'!F217&amp;"-"&amp;'Match Entry'!G217,"")&amp;IF(ISNUMBER('Match Entry'!H217),", "&amp;'Match Entry'!H217&amp;"-"&amp;'Match Entry'!I217,"")&amp;IF(ISNUMBER('Match Entry'!J217),", "&amp;'Match Entry'!J217&amp;"-"&amp;'Match Entry'!K217,"")&amp;IF(ISNUMBER('Match Entry'!L217),", "&amp;'Match Entry'!L217&amp;"-"&amp;'Match Entry'!M217,"")&amp;IF(ISNUMBER('Match Entry'!N217),", "&amp;'Match Entry'!N217&amp;"-"&amp;'Match Entry'!O217,""),"")</f>
        <v>#DIV/0!</v>
      </c>
      <c r="H250" s="12" t="e">
        <f>IF('Match Entry'!$R217="Complete",'Match Entry'!S217,"")</f>
        <v>#DIV/0!</v>
      </c>
      <c r="I250" s="12"/>
      <c r="J250" s="12"/>
      <c r="K250" s="12"/>
      <c r="L250" s="12"/>
      <c r="M250" s="12"/>
      <c r="N250" s="12"/>
      <c r="O250" s="12"/>
    </row>
    <row r="251" spans="1:15" ht="28.5">
      <c r="A251" s="12" t="e">
        <f>IF('Match Entry'!$R218="Complete",'Match Entry'!A218,"")</f>
        <v>#DIV/0!</v>
      </c>
      <c r="B251" s="12" t="e">
        <f>IF('Match Entry'!$R218="Complete",'Match Entry'!B218,"")</f>
        <v>#DIV/0!</v>
      </c>
      <c r="C251" s="12" t="e">
        <f>IF('Match Entry'!$R218="Complete",'Match Entry'!C218,"")</f>
        <v>#DIV/0!</v>
      </c>
      <c r="D251" s="12" t="e">
        <f>IF('Match Entry'!$R218="Complete",'Match Entry'!D218,"")</f>
        <v>#DIV/0!</v>
      </c>
      <c r="E251" s="12" t="e">
        <f>IF('Match Entry'!$R218="Complete",'Match Entry'!P218&amp;"-"&amp;'Match Entry'!Q218,"")</f>
        <v>#DIV/0!</v>
      </c>
      <c r="F251" s="12" t="e">
        <f>IF('Match Entry'!$R218="Complete",'Match Entry'!E218,"")</f>
        <v>#DIV/0!</v>
      </c>
      <c r="G251" s="12" t="e">
        <f>IF('Match Entry'!$R218="Complete",IF(ISNUMBER('Match Entry'!F218),'Match Entry'!F218&amp;"-"&amp;'Match Entry'!G218,"")&amp;IF(ISNUMBER('Match Entry'!H218),", "&amp;'Match Entry'!H218&amp;"-"&amp;'Match Entry'!I218,"")&amp;IF(ISNUMBER('Match Entry'!J218),", "&amp;'Match Entry'!J218&amp;"-"&amp;'Match Entry'!K218,"")&amp;IF(ISNUMBER('Match Entry'!L218),", "&amp;'Match Entry'!L218&amp;"-"&amp;'Match Entry'!M218,"")&amp;IF(ISNUMBER('Match Entry'!N218),", "&amp;'Match Entry'!N218&amp;"-"&amp;'Match Entry'!O218,""),"")</f>
        <v>#DIV/0!</v>
      </c>
      <c r="H251" s="12" t="e">
        <f>IF('Match Entry'!$R218="Complete",'Match Entry'!S218,"")</f>
        <v>#DIV/0!</v>
      </c>
      <c r="I251" s="12"/>
      <c r="J251" s="12"/>
      <c r="K251" s="12"/>
      <c r="L251" s="12"/>
      <c r="M251" s="12"/>
      <c r="N251" s="12"/>
      <c r="O251" s="12"/>
    </row>
    <row r="252" spans="1:15" ht="28.5">
      <c r="A252" s="12" t="e">
        <f>IF('Match Entry'!$R219="Complete",'Match Entry'!A219,"")</f>
        <v>#DIV/0!</v>
      </c>
      <c r="B252" s="12" t="e">
        <f>IF('Match Entry'!$R219="Complete",'Match Entry'!B219,"")</f>
        <v>#DIV/0!</v>
      </c>
      <c r="C252" s="12" t="e">
        <f>IF('Match Entry'!$R219="Complete",'Match Entry'!C219,"")</f>
        <v>#DIV/0!</v>
      </c>
      <c r="D252" s="12" t="e">
        <f>IF('Match Entry'!$R219="Complete",'Match Entry'!D219,"")</f>
        <v>#DIV/0!</v>
      </c>
      <c r="E252" s="12" t="e">
        <f>IF('Match Entry'!$R219="Complete",'Match Entry'!P219&amp;"-"&amp;'Match Entry'!Q219,"")</f>
        <v>#DIV/0!</v>
      </c>
      <c r="F252" s="12" t="e">
        <f>IF('Match Entry'!$R219="Complete",'Match Entry'!E219,"")</f>
        <v>#DIV/0!</v>
      </c>
      <c r="G252" s="12" t="e">
        <f>IF('Match Entry'!$R219="Complete",IF(ISNUMBER('Match Entry'!F219),'Match Entry'!F219&amp;"-"&amp;'Match Entry'!G219,"")&amp;IF(ISNUMBER('Match Entry'!H219),", "&amp;'Match Entry'!H219&amp;"-"&amp;'Match Entry'!I219,"")&amp;IF(ISNUMBER('Match Entry'!J219),", "&amp;'Match Entry'!J219&amp;"-"&amp;'Match Entry'!K219,"")&amp;IF(ISNUMBER('Match Entry'!L219),", "&amp;'Match Entry'!L219&amp;"-"&amp;'Match Entry'!M219,"")&amp;IF(ISNUMBER('Match Entry'!N219),", "&amp;'Match Entry'!N219&amp;"-"&amp;'Match Entry'!O219,""),"")</f>
        <v>#DIV/0!</v>
      </c>
      <c r="H252" s="12" t="e">
        <f>IF('Match Entry'!$R219="Complete",'Match Entry'!S219,"")</f>
        <v>#DIV/0!</v>
      </c>
      <c r="I252" s="12"/>
      <c r="J252" s="12"/>
      <c r="K252" s="12"/>
      <c r="L252" s="12"/>
      <c r="M252" s="12"/>
      <c r="N252" s="12"/>
      <c r="O252" s="12"/>
    </row>
    <row r="253" spans="1:15" ht="28.5">
      <c r="A253" s="12" t="e">
        <f>IF('Match Entry'!$R220="Complete",'Match Entry'!A220,"")</f>
        <v>#DIV/0!</v>
      </c>
      <c r="B253" s="12" t="e">
        <f>IF('Match Entry'!$R220="Complete",'Match Entry'!B220,"")</f>
        <v>#DIV/0!</v>
      </c>
      <c r="C253" s="12" t="e">
        <f>IF('Match Entry'!$R220="Complete",'Match Entry'!C220,"")</f>
        <v>#DIV/0!</v>
      </c>
      <c r="D253" s="12" t="e">
        <f>IF('Match Entry'!$R220="Complete",'Match Entry'!D220,"")</f>
        <v>#DIV/0!</v>
      </c>
      <c r="E253" s="12" t="e">
        <f>IF('Match Entry'!$R220="Complete",'Match Entry'!P220&amp;"-"&amp;'Match Entry'!Q220,"")</f>
        <v>#DIV/0!</v>
      </c>
      <c r="F253" s="12" t="e">
        <f>IF('Match Entry'!$R220="Complete",'Match Entry'!E220,"")</f>
        <v>#DIV/0!</v>
      </c>
      <c r="G253" s="12" t="e">
        <f>IF('Match Entry'!$R220="Complete",IF(ISNUMBER('Match Entry'!F220),'Match Entry'!F220&amp;"-"&amp;'Match Entry'!G220,"")&amp;IF(ISNUMBER('Match Entry'!H220),", "&amp;'Match Entry'!H220&amp;"-"&amp;'Match Entry'!I220,"")&amp;IF(ISNUMBER('Match Entry'!J220),", "&amp;'Match Entry'!J220&amp;"-"&amp;'Match Entry'!K220,"")&amp;IF(ISNUMBER('Match Entry'!L220),", "&amp;'Match Entry'!L220&amp;"-"&amp;'Match Entry'!M220,"")&amp;IF(ISNUMBER('Match Entry'!N220),", "&amp;'Match Entry'!N220&amp;"-"&amp;'Match Entry'!O220,""),"")</f>
        <v>#DIV/0!</v>
      </c>
      <c r="H253" s="12" t="e">
        <f>IF('Match Entry'!$R220="Complete",'Match Entry'!S220,"")</f>
        <v>#DIV/0!</v>
      </c>
      <c r="I253" s="12"/>
      <c r="J253" s="12"/>
      <c r="K253" s="12"/>
      <c r="L253" s="12"/>
      <c r="M253" s="12"/>
      <c r="N253" s="12"/>
      <c r="O253" s="12"/>
    </row>
    <row r="254" spans="1:15" ht="28.5">
      <c r="A254" s="12" t="e">
        <f>IF('Match Entry'!$R221="Complete",'Match Entry'!A221,"")</f>
        <v>#DIV/0!</v>
      </c>
      <c r="B254" s="12" t="e">
        <f>IF('Match Entry'!$R221="Complete",'Match Entry'!B221,"")</f>
        <v>#DIV/0!</v>
      </c>
      <c r="C254" s="12" t="e">
        <f>IF('Match Entry'!$R221="Complete",'Match Entry'!C221,"")</f>
        <v>#DIV/0!</v>
      </c>
      <c r="D254" s="12" t="e">
        <f>IF('Match Entry'!$R221="Complete",'Match Entry'!D221,"")</f>
        <v>#DIV/0!</v>
      </c>
      <c r="E254" s="12" t="e">
        <f>IF('Match Entry'!$R221="Complete",'Match Entry'!P221&amp;"-"&amp;'Match Entry'!Q221,"")</f>
        <v>#DIV/0!</v>
      </c>
      <c r="F254" s="12" t="e">
        <f>IF('Match Entry'!$R221="Complete",'Match Entry'!E221,"")</f>
        <v>#DIV/0!</v>
      </c>
      <c r="G254" s="12" t="e">
        <f>IF('Match Entry'!$R221="Complete",IF(ISNUMBER('Match Entry'!F221),'Match Entry'!F221&amp;"-"&amp;'Match Entry'!G221,"")&amp;IF(ISNUMBER('Match Entry'!H221),", "&amp;'Match Entry'!H221&amp;"-"&amp;'Match Entry'!I221,"")&amp;IF(ISNUMBER('Match Entry'!J221),", "&amp;'Match Entry'!J221&amp;"-"&amp;'Match Entry'!K221,"")&amp;IF(ISNUMBER('Match Entry'!L221),", "&amp;'Match Entry'!L221&amp;"-"&amp;'Match Entry'!M221,"")&amp;IF(ISNUMBER('Match Entry'!N221),", "&amp;'Match Entry'!N221&amp;"-"&amp;'Match Entry'!O221,""),"")</f>
        <v>#DIV/0!</v>
      </c>
      <c r="H254" s="12" t="e">
        <f>IF('Match Entry'!$R221="Complete",'Match Entry'!S221,"")</f>
        <v>#DIV/0!</v>
      </c>
      <c r="I254" s="12"/>
      <c r="J254" s="12"/>
      <c r="K254" s="12"/>
      <c r="L254" s="12"/>
      <c r="M254" s="12"/>
      <c r="N254" s="12"/>
      <c r="O254" s="12"/>
    </row>
    <row r="255" spans="1:15" ht="28.5">
      <c r="A255" s="12" t="e">
        <f>IF('Match Entry'!$R222="Complete",'Match Entry'!A222,"")</f>
        <v>#DIV/0!</v>
      </c>
      <c r="B255" s="12" t="e">
        <f>IF('Match Entry'!$R222="Complete",'Match Entry'!B222,"")</f>
        <v>#DIV/0!</v>
      </c>
      <c r="C255" s="12" t="e">
        <f>IF('Match Entry'!$R222="Complete",'Match Entry'!C222,"")</f>
        <v>#DIV/0!</v>
      </c>
      <c r="D255" s="12" t="e">
        <f>IF('Match Entry'!$R222="Complete",'Match Entry'!D222,"")</f>
        <v>#DIV/0!</v>
      </c>
      <c r="E255" s="12" t="e">
        <f>IF('Match Entry'!$R222="Complete",'Match Entry'!P222&amp;"-"&amp;'Match Entry'!Q222,"")</f>
        <v>#DIV/0!</v>
      </c>
      <c r="F255" s="12" t="e">
        <f>IF('Match Entry'!$R222="Complete",'Match Entry'!E222,"")</f>
        <v>#DIV/0!</v>
      </c>
      <c r="G255" s="12" t="e">
        <f>IF('Match Entry'!$R222="Complete",IF(ISNUMBER('Match Entry'!F222),'Match Entry'!F222&amp;"-"&amp;'Match Entry'!G222,"")&amp;IF(ISNUMBER('Match Entry'!H222),", "&amp;'Match Entry'!H222&amp;"-"&amp;'Match Entry'!I222,"")&amp;IF(ISNUMBER('Match Entry'!J222),", "&amp;'Match Entry'!J222&amp;"-"&amp;'Match Entry'!K222,"")&amp;IF(ISNUMBER('Match Entry'!L222),", "&amp;'Match Entry'!L222&amp;"-"&amp;'Match Entry'!M222,"")&amp;IF(ISNUMBER('Match Entry'!N222),", "&amp;'Match Entry'!N222&amp;"-"&amp;'Match Entry'!O222,""),"")</f>
        <v>#DIV/0!</v>
      </c>
      <c r="H255" s="12" t="e">
        <f>IF('Match Entry'!$R222="Complete",'Match Entry'!S222,"")</f>
        <v>#DIV/0!</v>
      </c>
      <c r="I255" s="12"/>
      <c r="J255" s="12"/>
      <c r="K255" s="12"/>
      <c r="L255" s="12"/>
      <c r="M255" s="12"/>
      <c r="N255" s="12"/>
      <c r="O255" s="12"/>
    </row>
    <row r="256" spans="1:15" ht="28.5">
      <c r="A256" s="12" t="e">
        <f>IF('Match Entry'!$R223="Complete",'Match Entry'!A223,"")</f>
        <v>#DIV/0!</v>
      </c>
      <c r="B256" s="12" t="e">
        <f>IF('Match Entry'!$R223="Complete",'Match Entry'!B223,"")</f>
        <v>#DIV/0!</v>
      </c>
      <c r="C256" s="12" t="e">
        <f>IF('Match Entry'!$R223="Complete",'Match Entry'!C223,"")</f>
        <v>#DIV/0!</v>
      </c>
      <c r="D256" s="12" t="e">
        <f>IF('Match Entry'!$R223="Complete",'Match Entry'!D223,"")</f>
        <v>#DIV/0!</v>
      </c>
      <c r="E256" s="12" t="e">
        <f>IF('Match Entry'!$R223="Complete",'Match Entry'!P223&amp;"-"&amp;'Match Entry'!Q223,"")</f>
        <v>#DIV/0!</v>
      </c>
      <c r="F256" s="12" t="e">
        <f>IF('Match Entry'!$R223="Complete",'Match Entry'!E223,"")</f>
        <v>#DIV/0!</v>
      </c>
      <c r="G256" s="12" t="e">
        <f>IF('Match Entry'!$R223="Complete",IF(ISNUMBER('Match Entry'!F223),'Match Entry'!F223&amp;"-"&amp;'Match Entry'!G223,"")&amp;IF(ISNUMBER('Match Entry'!H223),", "&amp;'Match Entry'!H223&amp;"-"&amp;'Match Entry'!I223,"")&amp;IF(ISNUMBER('Match Entry'!J223),", "&amp;'Match Entry'!J223&amp;"-"&amp;'Match Entry'!K223,"")&amp;IF(ISNUMBER('Match Entry'!L223),", "&amp;'Match Entry'!L223&amp;"-"&amp;'Match Entry'!M223,"")&amp;IF(ISNUMBER('Match Entry'!N223),", "&amp;'Match Entry'!N223&amp;"-"&amp;'Match Entry'!O223,""),"")</f>
        <v>#DIV/0!</v>
      </c>
      <c r="H256" s="12" t="e">
        <f>IF('Match Entry'!$R223="Complete",'Match Entry'!S223,"")</f>
        <v>#DIV/0!</v>
      </c>
      <c r="I256" s="12"/>
      <c r="J256" s="12"/>
      <c r="K256" s="12"/>
      <c r="L256" s="12"/>
      <c r="M256" s="12"/>
      <c r="N256" s="12"/>
      <c r="O256" s="12"/>
    </row>
    <row r="257" spans="1:15" ht="28.5">
      <c r="A257" s="12" t="e">
        <f>IF('Match Entry'!$R224="Complete",'Match Entry'!A224,"")</f>
        <v>#DIV/0!</v>
      </c>
      <c r="B257" s="12" t="e">
        <f>IF('Match Entry'!$R224="Complete",'Match Entry'!B224,"")</f>
        <v>#DIV/0!</v>
      </c>
      <c r="C257" s="12" t="e">
        <f>IF('Match Entry'!$R224="Complete",'Match Entry'!C224,"")</f>
        <v>#DIV/0!</v>
      </c>
      <c r="D257" s="12" t="e">
        <f>IF('Match Entry'!$R224="Complete",'Match Entry'!D224,"")</f>
        <v>#DIV/0!</v>
      </c>
      <c r="E257" s="12" t="e">
        <f>IF('Match Entry'!$R224="Complete",'Match Entry'!P224&amp;"-"&amp;'Match Entry'!Q224,"")</f>
        <v>#DIV/0!</v>
      </c>
      <c r="F257" s="12" t="e">
        <f>IF('Match Entry'!$R224="Complete",'Match Entry'!E224,"")</f>
        <v>#DIV/0!</v>
      </c>
      <c r="G257" s="12" t="e">
        <f>IF('Match Entry'!$R224="Complete",IF(ISNUMBER('Match Entry'!F224),'Match Entry'!F224&amp;"-"&amp;'Match Entry'!G224,"")&amp;IF(ISNUMBER('Match Entry'!H224),", "&amp;'Match Entry'!H224&amp;"-"&amp;'Match Entry'!I224,"")&amp;IF(ISNUMBER('Match Entry'!J224),", "&amp;'Match Entry'!J224&amp;"-"&amp;'Match Entry'!K224,"")&amp;IF(ISNUMBER('Match Entry'!L224),", "&amp;'Match Entry'!L224&amp;"-"&amp;'Match Entry'!M224,"")&amp;IF(ISNUMBER('Match Entry'!N224),", "&amp;'Match Entry'!N224&amp;"-"&amp;'Match Entry'!O224,""),"")</f>
        <v>#DIV/0!</v>
      </c>
      <c r="H257" s="12" t="e">
        <f>IF('Match Entry'!$R224="Complete",'Match Entry'!S224,"")</f>
        <v>#DIV/0!</v>
      </c>
      <c r="I257" s="12"/>
      <c r="J257" s="12"/>
      <c r="K257" s="12"/>
      <c r="L257" s="12"/>
      <c r="M257" s="12"/>
      <c r="N257" s="12"/>
      <c r="O257" s="12"/>
    </row>
    <row r="258" spans="1:15" ht="28.5">
      <c r="A258" s="12" t="e">
        <f>IF('Match Entry'!$R225="Complete",'Match Entry'!A225,"")</f>
        <v>#DIV/0!</v>
      </c>
      <c r="B258" s="12" t="e">
        <f>IF('Match Entry'!$R225="Complete",'Match Entry'!B225,"")</f>
        <v>#DIV/0!</v>
      </c>
      <c r="C258" s="12" t="e">
        <f>IF('Match Entry'!$R225="Complete",'Match Entry'!C225,"")</f>
        <v>#DIV/0!</v>
      </c>
      <c r="D258" s="12" t="e">
        <f>IF('Match Entry'!$R225="Complete",'Match Entry'!D225,"")</f>
        <v>#DIV/0!</v>
      </c>
      <c r="E258" s="12" t="e">
        <f>IF('Match Entry'!$R225="Complete",'Match Entry'!P225&amp;"-"&amp;'Match Entry'!Q225,"")</f>
        <v>#DIV/0!</v>
      </c>
      <c r="F258" s="12" t="e">
        <f>IF('Match Entry'!$R225="Complete",'Match Entry'!E225,"")</f>
        <v>#DIV/0!</v>
      </c>
      <c r="G258" s="12" t="e">
        <f>IF('Match Entry'!$R225="Complete",IF(ISNUMBER('Match Entry'!F225),'Match Entry'!F225&amp;"-"&amp;'Match Entry'!G225,"")&amp;IF(ISNUMBER('Match Entry'!H225),", "&amp;'Match Entry'!H225&amp;"-"&amp;'Match Entry'!I225,"")&amp;IF(ISNUMBER('Match Entry'!J225),", "&amp;'Match Entry'!J225&amp;"-"&amp;'Match Entry'!K225,"")&amp;IF(ISNUMBER('Match Entry'!L225),", "&amp;'Match Entry'!L225&amp;"-"&amp;'Match Entry'!M225,"")&amp;IF(ISNUMBER('Match Entry'!N225),", "&amp;'Match Entry'!N225&amp;"-"&amp;'Match Entry'!O225,""),"")</f>
        <v>#DIV/0!</v>
      </c>
      <c r="H258" s="12" t="e">
        <f>IF('Match Entry'!$R225="Complete",'Match Entry'!S225,"")</f>
        <v>#DIV/0!</v>
      </c>
      <c r="I258" s="12"/>
      <c r="J258" s="12"/>
      <c r="K258" s="12"/>
      <c r="L258" s="12"/>
      <c r="M258" s="12"/>
      <c r="N258" s="12"/>
      <c r="O258" s="12"/>
    </row>
    <row r="259" spans="1:15" ht="28.5">
      <c r="A259" s="12" t="e">
        <f>IF('Match Entry'!$R226="Complete",'Match Entry'!A226,"")</f>
        <v>#DIV/0!</v>
      </c>
      <c r="B259" s="12" t="e">
        <f>IF('Match Entry'!$R226="Complete",'Match Entry'!B226,"")</f>
        <v>#DIV/0!</v>
      </c>
      <c r="C259" s="12" t="e">
        <f>IF('Match Entry'!$R226="Complete",'Match Entry'!C226,"")</f>
        <v>#DIV/0!</v>
      </c>
      <c r="D259" s="12" t="e">
        <f>IF('Match Entry'!$R226="Complete",'Match Entry'!D226,"")</f>
        <v>#DIV/0!</v>
      </c>
      <c r="E259" s="12" t="e">
        <f>IF('Match Entry'!$R226="Complete",'Match Entry'!P226&amp;"-"&amp;'Match Entry'!Q226,"")</f>
        <v>#DIV/0!</v>
      </c>
      <c r="F259" s="12" t="e">
        <f>IF('Match Entry'!$R226="Complete",'Match Entry'!E226,"")</f>
        <v>#DIV/0!</v>
      </c>
      <c r="G259" s="12" t="e">
        <f>IF('Match Entry'!$R226="Complete",IF(ISNUMBER('Match Entry'!F226),'Match Entry'!F226&amp;"-"&amp;'Match Entry'!G226,"")&amp;IF(ISNUMBER('Match Entry'!H226),", "&amp;'Match Entry'!H226&amp;"-"&amp;'Match Entry'!I226,"")&amp;IF(ISNUMBER('Match Entry'!J226),", "&amp;'Match Entry'!J226&amp;"-"&amp;'Match Entry'!K226,"")&amp;IF(ISNUMBER('Match Entry'!L226),", "&amp;'Match Entry'!L226&amp;"-"&amp;'Match Entry'!M226,"")&amp;IF(ISNUMBER('Match Entry'!N226),", "&amp;'Match Entry'!N226&amp;"-"&amp;'Match Entry'!O226,""),"")</f>
        <v>#DIV/0!</v>
      </c>
      <c r="H259" s="12" t="e">
        <f>IF('Match Entry'!$R226="Complete",'Match Entry'!S226,"")</f>
        <v>#DIV/0!</v>
      </c>
      <c r="I259" s="12"/>
      <c r="J259" s="12"/>
      <c r="K259" s="12"/>
      <c r="L259" s="12"/>
      <c r="M259" s="12"/>
      <c r="N259" s="12"/>
      <c r="O259" s="12"/>
    </row>
    <row r="260" spans="1:15" ht="28.5">
      <c r="A260" s="12" t="e">
        <f>IF('Match Entry'!$R227="Complete",'Match Entry'!A227,"")</f>
        <v>#DIV/0!</v>
      </c>
      <c r="B260" s="12" t="e">
        <f>IF('Match Entry'!$R227="Complete",'Match Entry'!B227,"")</f>
        <v>#DIV/0!</v>
      </c>
      <c r="C260" s="12" t="e">
        <f>IF('Match Entry'!$R227="Complete",'Match Entry'!C227,"")</f>
        <v>#DIV/0!</v>
      </c>
      <c r="D260" s="12" t="e">
        <f>IF('Match Entry'!$R227="Complete",'Match Entry'!D227,"")</f>
        <v>#DIV/0!</v>
      </c>
      <c r="E260" s="12" t="e">
        <f>IF('Match Entry'!$R227="Complete",'Match Entry'!P227&amp;"-"&amp;'Match Entry'!Q227,"")</f>
        <v>#DIV/0!</v>
      </c>
      <c r="F260" s="12" t="e">
        <f>IF('Match Entry'!$R227="Complete",'Match Entry'!E227,"")</f>
        <v>#DIV/0!</v>
      </c>
      <c r="G260" s="12" t="e">
        <f>IF('Match Entry'!$R227="Complete",IF(ISNUMBER('Match Entry'!F227),'Match Entry'!F227&amp;"-"&amp;'Match Entry'!G227,"")&amp;IF(ISNUMBER('Match Entry'!H227),", "&amp;'Match Entry'!H227&amp;"-"&amp;'Match Entry'!I227,"")&amp;IF(ISNUMBER('Match Entry'!J227),", "&amp;'Match Entry'!J227&amp;"-"&amp;'Match Entry'!K227,"")&amp;IF(ISNUMBER('Match Entry'!L227),", "&amp;'Match Entry'!L227&amp;"-"&amp;'Match Entry'!M227,"")&amp;IF(ISNUMBER('Match Entry'!N227),", "&amp;'Match Entry'!N227&amp;"-"&amp;'Match Entry'!O227,""),"")</f>
        <v>#DIV/0!</v>
      </c>
      <c r="H260" s="12" t="e">
        <f>IF('Match Entry'!$R227="Complete",'Match Entry'!S227,"")</f>
        <v>#DIV/0!</v>
      </c>
      <c r="I260" s="12"/>
      <c r="J260" s="12"/>
      <c r="K260" s="12"/>
      <c r="L260" s="12"/>
      <c r="M260" s="12"/>
      <c r="N260" s="12"/>
      <c r="O260" s="12"/>
    </row>
    <row r="261" spans="1:15" ht="28.5">
      <c r="A261" s="12" t="e">
        <f>IF('Match Entry'!$R228="Complete",'Match Entry'!A228,"")</f>
        <v>#DIV/0!</v>
      </c>
      <c r="B261" s="12" t="e">
        <f>IF('Match Entry'!$R228="Complete",'Match Entry'!B228,"")</f>
        <v>#DIV/0!</v>
      </c>
      <c r="C261" s="12" t="e">
        <f>IF('Match Entry'!$R228="Complete",'Match Entry'!C228,"")</f>
        <v>#DIV/0!</v>
      </c>
      <c r="D261" s="12" t="e">
        <f>IF('Match Entry'!$R228="Complete",'Match Entry'!D228,"")</f>
        <v>#DIV/0!</v>
      </c>
      <c r="E261" s="12" t="e">
        <f>IF('Match Entry'!$R228="Complete",'Match Entry'!P228&amp;"-"&amp;'Match Entry'!Q228,"")</f>
        <v>#DIV/0!</v>
      </c>
      <c r="F261" s="12" t="e">
        <f>IF('Match Entry'!$R228="Complete",'Match Entry'!E228,"")</f>
        <v>#DIV/0!</v>
      </c>
      <c r="G261" s="12" t="e">
        <f>IF('Match Entry'!$R228="Complete",IF(ISNUMBER('Match Entry'!F228),'Match Entry'!F228&amp;"-"&amp;'Match Entry'!G228,"")&amp;IF(ISNUMBER('Match Entry'!H228),", "&amp;'Match Entry'!H228&amp;"-"&amp;'Match Entry'!I228,"")&amp;IF(ISNUMBER('Match Entry'!J228),", "&amp;'Match Entry'!J228&amp;"-"&amp;'Match Entry'!K228,"")&amp;IF(ISNUMBER('Match Entry'!L228),", "&amp;'Match Entry'!L228&amp;"-"&amp;'Match Entry'!M228,"")&amp;IF(ISNUMBER('Match Entry'!N228),", "&amp;'Match Entry'!N228&amp;"-"&amp;'Match Entry'!O228,""),"")</f>
        <v>#DIV/0!</v>
      </c>
      <c r="H261" s="12" t="e">
        <f>IF('Match Entry'!$R228="Complete",'Match Entry'!S228,"")</f>
        <v>#DIV/0!</v>
      </c>
      <c r="I261" s="12"/>
      <c r="J261" s="12"/>
      <c r="K261" s="12"/>
      <c r="L261" s="12"/>
      <c r="M261" s="12"/>
      <c r="N261" s="12"/>
      <c r="O261" s="12"/>
    </row>
    <row r="262" spans="1:1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HOME</vt:lpstr>
      <vt:lpstr>Setup</vt:lpstr>
      <vt:lpstr>Teams</vt:lpstr>
      <vt:lpstr>Match Entry</vt:lpstr>
      <vt:lpstr>Scores</vt:lpstr>
      <vt:lpstr>Calculations</vt:lpstr>
      <vt:lpstr>Pool Tables</vt:lpstr>
      <vt:lpstr>Finals</vt:lpstr>
      <vt:lpstr>Fixture Library</vt:lpstr>
      <vt:lpstr>Sheet1</vt:lpstr>
      <vt:lpstr>Finals Bracket</vt:lpstr>
      <vt:lpstr>Competition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2026-08-28T07:39:52Z</dcterms:created>
  <dcterms:modified xsi:type="dcterms:W3CDTF">2026-08-28T08:04:59Z</dcterms:modified>
</cp:coreProperties>
</file>