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My Projects\Excel Draw Sheets\Finalised Draws\"/>
    </mc:Choice>
  </mc:AlternateContent>
  <xr:revisionPtr revIDLastSave="0" documentId="13_ncr:1_{6202A245-991F-4E0F-AD70-BC1B33905265}" xr6:coauthVersionLast="47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HOME" sheetId="1" r:id="rId1"/>
    <sheet name="Setup" sheetId="2" r:id="rId2"/>
    <sheet name="Teams" sheetId="3" r:id="rId3"/>
    <sheet name="Results" sheetId="9" r:id="rId4"/>
    <sheet name="Scores" sheetId="4" r:id="rId5"/>
    <sheet name="Calculations" sheetId="5" r:id="rId6"/>
    <sheet name="Pool Tables" sheetId="6" r:id="rId7"/>
    <sheet name="Finals" sheetId="7" r:id="rId8"/>
    <sheet name="Fixture Library" sheetId="8" state="hidden" r:id="rId9"/>
    <sheet name="Finals Bracket" sheetId="10" r:id="rId10"/>
    <sheet name="Competition Summary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3" i="11" l="1"/>
  <c r="I33" i="11"/>
  <c r="E33" i="11"/>
  <c r="A33" i="11"/>
  <c r="M32" i="11"/>
  <c r="I32" i="11"/>
  <c r="E32" i="11"/>
  <c r="A32" i="11"/>
  <c r="M31" i="11"/>
  <c r="I31" i="11"/>
  <c r="E31" i="11"/>
  <c r="A31" i="11"/>
  <c r="M30" i="11"/>
  <c r="I30" i="11"/>
  <c r="E30" i="11"/>
  <c r="A30" i="11"/>
  <c r="M29" i="11"/>
  <c r="I29" i="11"/>
  <c r="E29" i="11"/>
  <c r="A29" i="11"/>
  <c r="M28" i="11"/>
  <c r="I28" i="11"/>
  <c r="E28" i="11"/>
  <c r="A28" i="11"/>
  <c r="M27" i="11"/>
  <c r="I27" i="11"/>
  <c r="E27" i="11"/>
  <c r="A27" i="11"/>
  <c r="M26" i="11"/>
  <c r="I26" i="11"/>
  <c r="E26" i="11"/>
  <c r="A26" i="11"/>
  <c r="M24" i="11"/>
  <c r="I24" i="11"/>
  <c r="E24" i="11"/>
  <c r="A24" i="11"/>
  <c r="M22" i="11"/>
  <c r="I22" i="11"/>
  <c r="E22" i="11"/>
  <c r="A22" i="11"/>
  <c r="M21" i="11"/>
  <c r="I21" i="11"/>
  <c r="E21" i="11"/>
  <c r="A21" i="11"/>
  <c r="M20" i="11"/>
  <c r="I20" i="11"/>
  <c r="E20" i="11"/>
  <c r="A20" i="11"/>
  <c r="M19" i="11"/>
  <c r="I19" i="11"/>
  <c r="E19" i="11"/>
  <c r="A19" i="11"/>
  <c r="M18" i="11"/>
  <c r="I18" i="11"/>
  <c r="E18" i="11"/>
  <c r="A18" i="11"/>
  <c r="M17" i="11"/>
  <c r="I17" i="11"/>
  <c r="E17" i="11"/>
  <c r="A17" i="11"/>
  <c r="M16" i="11"/>
  <c r="I16" i="11"/>
  <c r="E16" i="11"/>
  <c r="A16" i="11"/>
  <c r="M15" i="11"/>
  <c r="I15" i="11"/>
  <c r="E15" i="11"/>
  <c r="A15" i="11"/>
  <c r="M13" i="11"/>
  <c r="I13" i="11"/>
  <c r="E13" i="11"/>
  <c r="A13" i="11"/>
  <c r="K7" i="11"/>
  <c r="C5" i="11"/>
  <c r="B2" i="11"/>
  <c r="P42" i="10"/>
  <c r="N41" i="10"/>
  <c r="N40" i="10"/>
  <c r="F48" i="7"/>
  <c r="F47" i="7"/>
  <c r="F46" i="7"/>
  <c r="F45" i="7"/>
  <c r="F44" i="7"/>
  <c r="F43" i="7"/>
  <c r="F42" i="7"/>
  <c r="F41" i="7"/>
  <c r="F2" i="7"/>
  <c r="B2" i="7"/>
  <c r="M51" i="6"/>
  <c r="A51" i="6"/>
  <c r="M46" i="6"/>
  <c r="A46" i="6"/>
  <c r="M45" i="6"/>
  <c r="A45" i="6"/>
  <c r="M44" i="6"/>
  <c r="A44" i="6"/>
  <c r="M43" i="6"/>
  <c r="A43" i="6"/>
  <c r="M42" i="6"/>
  <c r="A42" i="6"/>
  <c r="M41" i="6"/>
  <c r="A41" i="6"/>
  <c r="M40" i="6"/>
  <c r="A40" i="6"/>
  <c r="M39" i="6"/>
  <c r="A39" i="6"/>
  <c r="M37" i="6"/>
  <c r="A37" i="6"/>
  <c r="M35" i="6"/>
  <c r="A35" i="6"/>
  <c r="M34" i="6"/>
  <c r="A34" i="6"/>
  <c r="M33" i="6"/>
  <c r="A33" i="6"/>
  <c r="M32" i="6"/>
  <c r="A32" i="6"/>
  <c r="M31" i="6"/>
  <c r="A31" i="6"/>
  <c r="M30" i="6"/>
  <c r="A30" i="6"/>
  <c r="M29" i="6"/>
  <c r="A29" i="6"/>
  <c r="M28" i="6"/>
  <c r="A28" i="6"/>
  <c r="M26" i="6"/>
  <c r="A26" i="6"/>
  <c r="M24" i="6"/>
  <c r="A24" i="6"/>
  <c r="M23" i="6"/>
  <c r="A23" i="6"/>
  <c r="M22" i="6"/>
  <c r="A22" i="6"/>
  <c r="M21" i="6"/>
  <c r="A21" i="6"/>
  <c r="M20" i="6"/>
  <c r="A20" i="6"/>
  <c r="M19" i="6"/>
  <c r="A19" i="6"/>
  <c r="M18" i="6"/>
  <c r="A18" i="6"/>
  <c r="M17" i="6"/>
  <c r="A17" i="6"/>
  <c r="M15" i="6"/>
  <c r="A15" i="6"/>
  <c r="M13" i="6"/>
  <c r="A13" i="6"/>
  <c r="M12" i="6"/>
  <c r="A12" i="6"/>
  <c r="M11" i="6"/>
  <c r="A11" i="6"/>
  <c r="M10" i="6"/>
  <c r="A10" i="6"/>
  <c r="M9" i="6"/>
  <c r="A9" i="6"/>
  <c r="M8" i="6"/>
  <c r="A8" i="6"/>
  <c r="M7" i="6"/>
  <c r="A7" i="6"/>
  <c r="M6" i="6"/>
  <c r="A6" i="6"/>
  <c r="M4" i="6"/>
  <c r="A4" i="6"/>
  <c r="A1" i="6"/>
  <c r="C67" i="5"/>
  <c r="B67" i="5"/>
  <c r="A67" i="5"/>
  <c r="C66" i="5"/>
  <c r="B66" i="5"/>
  <c r="A66" i="5"/>
  <c r="C65" i="5"/>
  <c r="B65" i="5"/>
  <c r="A65" i="5"/>
  <c r="C64" i="5"/>
  <c r="B64" i="5"/>
  <c r="A64" i="5"/>
  <c r="C63" i="5"/>
  <c r="B63" i="5"/>
  <c r="A63" i="5"/>
  <c r="C62" i="5"/>
  <c r="B62" i="5"/>
  <c r="A62" i="5"/>
  <c r="C61" i="5"/>
  <c r="B61" i="5"/>
  <c r="A61" i="5"/>
  <c r="C60" i="5"/>
  <c r="B60" i="5"/>
  <c r="A60" i="5"/>
  <c r="C59" i="5"/>
  <c r="B59" i="5"/>
  <c r="A59" i="5"/>
  <c r="C58" i="5"/>
  <c r="B58" i="5"/>
  <c r="A58" i="5"/>
  <c r="C57" i="5"/>
  <c r="B57" i="5"/>
  <c r="A57" i="5"/>
  <c r="C56" i="5"/>
  <c r="B56" i="5"/>
  <c r="A56" i="5"/>
  <c r="C55" i="5"/>
  <c r="B55" i="5"/>
  <c r="A55" i="5"/>
  <c r="C54" i="5"/>
  <c r="B54" i="5"/>
  <c r="A54" i="5"/>
  <c r="C53" i="5"/>
  <c r="B53" i="5"/>
  <c r="A53" i="5"/>
  <c r="C52" i="5"/>
  <c r="B52" i="5"/>
  <c r="A52" i="5"/>
  <c r="C51" i="5"/>
  <c r="B51" i="5"/>
  <c r="A51" i="5"/>
  <c r="C50" i="5"/>
  <c r="B50" i="5"/>
  <c r="A50" i="5"/>
  <c r="C49" i="5"/>
  <c r="B49" i="5"/>
  <c r="A49" i="5"/>
  <c r="C48" i="5"/>
  <c r="B48" i="5"/>
  <c r="A48" i="5"/>
  <c r="C47" i="5"/>
  <c r="B47" i="5"/>
  <c r="A47" i="5"/>
  <c r="C46" i="5"/>
  <c r="B46" i="5"/>
  <c r="A46" i="5"/>
  <c r="C45" i="5"/>
  <c r="B45" i="5"/>
  <c r="A45" i="5"/>
  <c r="C44" i="5"/>
  <c r="B44" i="5"/>
  <c r="A44" i="5"/>
  <c r="C43" i="5"/>
  <c r="B43" i="5"/>
  <c r="A43" i="5"/>
  <c r="C42" i="5"/>
  <c r="B42" i="5"/>
  <c r="A42" i="5"/>
  <c r="C41" i="5"/>
  <c r="B41" i="5"/>
  <c r="A41" i="5"/>
  <c r="C40" i="5"/>
  <c r="B40" i="5"/>
  <c r="A40" i="5"/>
  <c r="C39" i="5"/>
  <c r="B39" i="5"/>
  <c r="A39" i="5"/>
  <c r="C38" i="5"/>
  <c r="B38" i="5"/>
  <c r="A38" i="5"/>
  <c r="C37" i="5"/>
  <c r="B37" i="5"/>
  <c r="A37" i="5"/>
  <c r="C36" i="5"/>
  <c r="B36" i="5"/>
  <c r="A36" i="5"/>
  <c r="C35" i="5"/>
  <c r="B35" i="5"/>
  <c r="A35" i="5"/>
  <c r="C34" i="5"/>
  <c r="B34" i="5"/>
  <c r="A34" i="5"/>
  <c r="C33" i="5"/>
  <c r="B33" i="5"/>
  <c r="A33" i="5"/>
  <c r="C32" i="5"/>
  <c r="B32" i="5"/>
  <c r="A32" i="5"/>
  <c r="C31" i="5"/>
  <c r="B31" i="5"/>
  <c r="A31" i="5"/>
  <c r="C30" i="5"/>
  <c r="B30" i="5"/>
  <c r="A30" i="5"/>
  <c r="C29" i="5"/>
  <c r="B29" i="5"/>
  <c r="A29" i="5"/>
  <c r="C28" i="5"/>
  <c r="B28" i="5"/>
  <c r="A28" i="5"/>
  <c r="C27" i="5"/>
  <c r="B27" i="5"/>
  <c r="A27" i="5"/>
  <c r="C26" i="5"/>
  <c r="B26" i="5"/>
  <c r="A26" i="5"/>
  <c r="C25" i="5"/>
  <c r="B25" i="5"/>
  <c r="A25" i="5"/>
  <c r="C24" i="5"/>
  <c r="B24" i="5"/>
  <c r="A24" i="5"/>
  <c r="C23" i="5"/>
  <c r="B23" i="5"/>
  <c r="A23" i="5"/>
  <c r="C22" i="5"/>
  <c r="B22" i="5"/>
  <c r="A22" i="5"/>
  <c r="C21" i="5"/>
  <c r="B21" i="5"/>
  <c r="A21" i="5"/>
  <c r="C20" i="5"/>
  <c r="B20" i="5"/>
  <c r="A20" i="5"/>
  <c r="C19" i="5"/>
  <c r="B19" i="5"/>
  <c r="A19" i="5"/>
  <c r="C18" i="5"/>
  <c r="B18" i="5"/>
  <c r="A18" i="5"/>
  <c r="C17" i="5"/>
  <c r="B17" i="5"/>
  <c r="A17" i="5"/>
  <c r="C16" i="5"/>
  <c r="B16" i="5"/>
  <c r="A16" i="5"/>
  <c r="C15" i="5"/>
  <c r="B15" i="5"/>
  <c r="A15" i="5"/>
  <c r="C14" i="5"/>
  <c r="B14" i="5"/>
  <c r="A14" i="5"/>
  <c r="C13" i="5"/>
  <c r="B13" i="5"/>
  <c r="A13" i="5"/>
  <c r="C12" i="5"/>
  <c r="B12" i="5"/>
  <c r="A12" i="5"/>
  <c r="C11" i="5"/>
  <c r="B11" i="5"/>
  <c r="A11" i="5"/>
  <c r="C10" i="5"/>
  <c r="B10" i="5"/>
  <c r="A10" i="5"/>
  <c r="C9" i="5"/>
  <c r="B9" i="5"/>
  <c r="A9" i="5"/>
  <c r="C8" i="5"/>
  <c r="B8" i="5"/>
  <c r="A8" i="5"/>
  <c r="C7" i="5"/>
  <c r="B7" i="5"/>
  <c r="A7" i="5"/>
  <c r="C6" i="5"/>
  <c r="B6" i="5"/>
  <c r="A6" i="5"/>
  <c r="C5" i="5"/>
  <c r="B5" i="5"/>
  <c r="A5" i="5"/>
  <c r="C4" i="5"/>
  <c r="B4" i="5"/>
  <c r="A4" i="5"/>
  <c r="B227" i="4"/>
  <c r="C227" i="4" s="1"/>
  <c r="B226" i="4"/>
  <c r="B225" i="4"/>
  <c r="C225" i="4" s="1"/>
  <c r="B224" i="4"/>
  <c r="B223" i="4"/>
  <c r="C223" i="4" s="1"/>
  <c r="B222" i="4"/>
  <c r="B221" i="4"/>
  <c r="C221" i="4" s="1"/>
  <c r="B220" i="4"/>
  <c r="B219" i="4"/>
  <c r="C219" i="4" s="1"/>
  <c r="B218" i="4"/>
  <c r="B217" i="4"/>
  <c r="C217" i="4" s="1"/>
  <c r="B216" i="4"/>
  <c r="B215" i="4"/>
  <c r="C215" i="4" s="1"/>
  <c r="B214" i="4"/>
  <c r="B213" i="4"/>
  <c r="C213" i="4" s="1"/>
  <c r="B212" i="4"/>
  <c r="B211" i="4"/>
  <c r="C211" i="4" s="1"/>
  <c r="B210" i="4"/>
  <c r="B209" i="4"/>
  <c r="C209" i="4" s="1"/>
  <c r="B208" i="4"/>
  <c r="B207" i="4"/>
  <c r="C207" i="4" s="1"/>
  <c r="B206" i="4"/>
  <c r="B205" i="4"/>
  <c r="C205" i="4" s="1"/>
  <c r="B204" i="4"/>
  <c r="B203" i="4"/>
  <c r="C203" i="4" s="1"/>
  <c r="B202" i="4"/>
  <c r="B201" i="4"/>
  <c r="C201" i="4" s="1"/>
  <c r="B200" i="4"/>
  <c r="B199" i="4"/>
  <c r="C199" i="4" s="1"/>
  <c r="B198" i="4"/>
  <c r="B197" i="4"/>
  <c r="C197" i="4" s="1"/>
  <c r="B196" i="4"/>
  <c r="B195" i="4"/>
  <c r="C195" i="4" s="1"/>
  <c r="B194" i="4"/>
  <c r="B193" i="4"/>
  <c r="C193" i="4" s="1"/>
  <c r="B192" i="4"/>
  <c r="B191" i="4"/>
  <c r="C191" i="4" s="1"/>
  <c r="B190" i="4"/>
  <c r="B189" i="4"/>
  <c r="C189" i="4" s="1"/>
  <c r="B188" i="4"/>
  <c r="C188" i="4" s="1"/>
  <c r="B187" i="4"/>
  <c r="B186" i="4"/>
  <c r="B185" i="4"/>
  <c r="C185" i="4" s="1"/>
  <c r="B184" i="4"/>
  <c r="C184" i="4" s="1"/>
  <c r="B183" i="4"/>
  <c r="B182" i="4"/>
  <c r="B181" i="4"/>
  <c r="C181" i="4" s="1"/>
  <c r="B180" i="4"/>
  <c r="C180" i="4" s="1"/>
  <c r="B179" i="4"/>
  <c r="B178" i="4"/>
  <c r="B177" i="4"/>
  <c r="C177" i="4" s="1"/>
  <c r="B176" i="4"/>
  <c r="C176" i="4" s="1"/>
  <c r="B175" i="4"/>
  <c r="B174" i="4"/>
  <c r="B173" i="4"/>
  <c r="C173" i="4" s="1"/>
  <c r="B172" i="4"/>
  <c r="C172" i="4" s="1"/>
  <c r="B171" i="4"/>
  <c r="B170" i="4"/>
  <c r="B169" i="4"/>
  <c r="C169" i="4" s="1"/>
  <c r="B168" i="4"/>
  <c r="C168" i="4" s="1"/>
  <c r="B167" i="4"/>
  <c r="B166" i="4"/>
  <c r="B165" i="4"/>
  <c r="C165" i="4" s="1"/>
  <c r="B164" i="4"/>
  <c r="C164" i="4" s="1"/>
  <c r="B163" i="4"/>
  <c r="B162" i="4"/>
  <c r="B161" i="4"/>
  <c r="C161" i="4" s="1"/>
  <c r="B160" i="4"/>
  <c r="C160" i="4" s="1"/>
  <c r="B159" i="4"/>
  <c r="B158" i="4"/>
  <c r="B157" i="4"/>
  <c r="C157" i="4" s="1"/>
  <c r="B156" i="4"/>
  <c r="C156" i="4" s="1"/>
  <c r="B155" i="4"/>
  <c r="B154" i="4"/>
  <c r="B153" i="4"/>
  <c r="C153" i="4" s="1"/>
  <c r="B152" i="4"/>
  <c r="C152" i="4" s="1"/>
  <c r="B151" i="4"/>
  <c r="B150" i="4"/>
  <c r="B149" i="4"/>
  <c r="C149" i="4" s="1"/>
  <c r="B148" i="4"/>
  <c r="C148" i="4" s="1"/>
  <c r="B147" i="4"/>
  <c r="B146" i="4"/>
  <c r="B145" i="4"/>
  <c r="C145" i="4" s="1"/>
  <c r="B144" i="4"/>
  <c r="C144" i="4" s="1"/>
  <c r="B143" i="4"/>
  <c r="B142" i="4"/>
  <c r="B141" i="4"/>
  <c r="C141" i="4" s="1"/>
  <c r="B140" i="4"/>
  <c r="C140" i="4" s="1"/>
  <c r="B139" i="4"/>
  <c r="B138" i="4"/>
  <c r="B137" i="4"/>
  <c r="C137" i="4" s="1"/>
  <c r="B136" i="4"/>
  <c r="C136" i="4" s="1"/>
  <c r="B135" i="4"/>
  <c r="B134" i="4"/>
  <c r="B133" i="4"/>
  <c r="C133" i="4" s="1"/>
  <c r="B132" i="4"/>
  <c r="C132" i="4" s="1"/>
  <c r="B131" i="4"/>
  <c r="C131" i="4" s="1"/>
  <c r="B130" i="4"/>
  <c r="B129" i="4"/>
  <c r="C129" i="4" s="1"/>
  <c r="B128" i="4"/>
  <c r="C128" i="4" s="1"/>
  <c r="B127" i="4"/>
  <c r="C127" i="4" s="1"/>
  <c r="B126" i="4"/>
  <c r="B125" i="4"/>
  <c r="C125" i="4" s="1"/>
  <c r="B124" i="4"/>
  <c r="C124" i="4" s="1"/>
  <c r="B123" i="4"/>
  <c r="C123" i="4" s="1"/>
  <c r="B122" i="4"/>
  <c r="B121" i="4"/>
  <c r="B120" i="4"/>
  <c r="C120" i="4" s="1"/>
  <c r="B119" i="4"/>
  <c r="B118" i="4"/>
  <c r="C118" i="4" s="1"/>
  <c r="B117" i="4"/>
  <c r="B116" i="4"/>
  <c r="C116" i="4" s="1"/>
  <c r="B115" i="4"/>
  <c r="B114" i="4"/>
  <c r="C114" i="4" s="1"/>
  <c r="B113" i="4"/>
  <c r="B112" i="4"/>
  <c r="C112" i="4" s="1"/>
  <c r="B111" i="4"/>
  <c r="B110" i="4"/>
  <c r="C110" i="4" s="1"/>
  <c r="B109" i="4"/>
  <c r="B108" i="4"/>
  <c r="C108" i="4" s="1"/>
  <c r="B107" i="4"/>
  <c r="B106" i="4"/>
  <c r="C106" i="4" s="1"/>
  <c r="B105" i="4"/>
  <c r="B104" i="4"/>
  <c r="C104" i="4" s="1"/>
  <c r="B103" i="4"/>
  <c r="B102" i="4"/>
  <c r="C102" i="4" s="1"/>
  <c r="B101" i="4"/>
  <c r="B100" i="4"/>
  <c r="C100" i="4" s="1"/>
  <c r="B99" i="4"/>
  <c r="B98" i="4"/>
  <c r="C98" i="4" s="1"/>
  <c r="B97" i="4"/>
  <c r="B96" i="4"/>
  <c r="C96" i="4" s="1"/>
  <c r="B95" i="4"/>
  <c r="B94" i="4"/>
  <c r="C94" i="4" s="1"/>
  <c r="B93" i="4"/>
  <c r="B92" i="4"/>
  <c r="C92" i="4" s="1"/>
  <c r="B91" i="4"/>
  <c r="B90" i="4"/>
  <c r="C90" i="4" s="1"/>
  <c r="B89" i="4"/>
  <c r="B88" i="4"/>
  <c r="C88" i="4" s="1"/>
  <c r="B87" i="4"/>
  <c r="B86" i="4"/>
  <c r="C86" i="4" s="1"/>
  <c r="B85" i="4"/>
  <c r="B84" i="4"/>
  <c r="C84" i="4" s="1"/>
  <c r="B83" i="4"/>
  <c r="B82" i="4"/>
  <c r="C82" i="4" s="1"/>
  <c r="B81" i="4"/>
  <c r="B80" i="4"/>
  <c r="C80" i="4" s="1"/>
  <c r="B79" i="4"/>
  <c r="B78" i="4"/>
  <c r="C78" i="4" s="1"/>
  <c r="B77" i="4"/>
  <c r="B76" i="4"/>
  <c r="C76" i="4" s="1"/>
  <c r="B75" i="4"/>
  <c r="C74" i="4"/>
  <c r="B74" i="4"/>
  <c r="B73" i="4"/>
  <c r="B72" i="4"/>
  <c r="C72" i="4" s="1"/>
  <c r="B71" i="4"/>
  <c r="B70" i="4"/>
  <c r="C70" i="4" s="1"/>
  <c r="B69" i="4"/>
  <c r="B68" i="4"/>
  <c r="C68" i="4" s="1"/>
  <c r="B67" i="4"/>
  <c r="B66" i="4"/>
  <c r="C66" i="4" s="1"/>
  <c r="B65" i="4"/>
  <c r="B64" i="4"/>
  <c r="C64" i="4" s="1"/>
  <c r="B63" i="4"/>
  <c r="B62" i="4"/>
  <c r="C62" i="4" s="1"/>
  <c r="B61" i="4"/>
  <c r="B60" i="4"/>
  <c r="C60" i="4" s="1"/>
  <c r="B59" i="4"/>
  <c r="B58" i="4"/>
  <c r="C58" i="4" s="1"/>
  <c r="B57" i="4"/>
  <c r="C57" i="4" s="1"/>
  <c r="B56" i="4"/>
  <c r="C56" i="4" s="1"/>
  <c r="B55" i="4"/>
  <c r="B54" i="4"/>
  <c r="C54" i="4" s="1"/>
  <c r="B53" i="4"/>
  <c r="C53" i="4" s="1"/>
  <c r="B52" i="4"/>
  <c r="C52" i="4" s="1"/>
  <c r="B51" i="4"/>
  <c r="B50" i="4"/>
  <c r="B49" i="4"/>
  <c r="C49" i="4" s="1"/>
  <c r="B48" i="4"/>
  <c r="C48" i="4" s="1"/>
  <c r="B47" i="4"/>
  <c r="B46" i="4"/>
  <c r="B45" i="4"/>
  <c r="C45" i="4" s="1"/>
  <c r="B44" i="4"/>
  <c r="C44" i="4" s="1"/>
  <c r="B43" i="4"/>
  <c r="C43" i="4" s="1"/>
  <c r="B42" i="4"/>
  <c r="B41" i="4"/>
  <c r="C41" i="4" s="1"/>
  <c r="B40" i="4"/>
  <c r="B39" i="4"/>
  <c r="C39" i="4" s="1"/>
  <c r="B38" i="4"/>
  <c r="B37" i="4"/>
  <c r="C37" i="4" s="1"/>
  <c r="B36" i="4"/>
  <c r="B35" i="4"/>
  <c r="C35" i="4" s="1"/>
  <c r="B34" i="4"/>
  <c r="B33" i="4"/>
  <c r="C33" i="4" s="1"/>
  <c r="B32" i="4"/>
  <c r="B31" i="4"/>
  <c r="C31" i="4" s="1"/>
  <c r="B30" i="4"/>
  <c r="B29" i="4"/>
  <c r="C29" i="4" s="1"/>
  <c r="B28" i="4"/>
  <c r="B27" i="4"/>
  <c r="C27" i="4" s="1"/>
  <c r="B26" i="4"/>
  <c r="B25" i="4"/>
  <c r="C25" i="4" s="1"/>
  <c r="B24" i="4"/>
  <c r="C23" i="4"/>
  <c r="B23" i="4"/>
  <c r="B22" i="4"/>
  <c r="B21" i="4"/>
  <c r="C21" i="4" s="1"/>
  <c r="B20" i="4"/>
  <c r="B19" i="4"/>
  <c r="C19" i="4" s="1"/>
  <c r="B18" i="4"/>
  <c r="B17" i="4"/>
  <c r="C17" i="4" s="1"/>
  <c r="B16" i="4"/>
  <c r="B15" i="4"/>
  <c r="B14" i="4"/>
  <c r="B13" i="4"/>
  <c r="C13" i="4" s="1"/>
  <c r="B12" i="4"/>
  <c r="B11" i="4"/>
  <c r="B10" i="4"/>
  <c r="B9" i="4"/>
  <c r="C9" i="4" s="1"/>
  <c r="B8" i="4"/>
  <c r="B7" i="4"/>
  <c r="B6" i="4"/>
  <c r="B5" i="4"/>
  <c r="C5" i="4" s="1"/>
  <c r="B4" i="4"/>
  <c r="F67" i="3"/>
  <c r="D67" i="5" s="1"/>
  <c r="F66" i="3"/>
  <c r="D66" i="5" s="1"/>
  <c r="F65" i="3"/>
  <c r="D65" i="5" s="1"/>
  <c r="F64" i="3"/>
  <c r="D64" i="5" s="1"/>
  <c r="F63" i="3"/>
  <c r="D63" i="5" s="1"/>
  <c r="F62" i="3"/>
  <c r="D62" i="5" s="1"/>
  <c r="F61" i="3"/>
  <c r="D61" i="5" s="1"/>
  <c r="F60" i="3"/>
  <c r="D60" i="5" s="1"/>
  <c r="F59" i="3"/>
  <c r="D59" i="5" s="1"/>
  <c r="F58" i="3"/>
  <c r="D58" i="5" s="1"/>
  <c r="F57" i="3"/>
  <c r="D57" i="5" s="1"/>
  <c r="F56" i="3"/>
  <c r="D56" i="5" s="1"/>
  <c r="F55" i="3"/>
  <c r="D55" i="5" s="1"/>
  <c r="F54" i="3"/>
  <c r="D54" i="5" s="1"/>
  <c r="F53" i="3"/>
  <c r="D53" i="5" s="1"/>
  <c r="F52" i="3"/>
  <c r="D52" i="5" s="1"/>
  <c r="F51" i="3"/>
  <c r="D51" i="5" s="1"/>
  <c r="F50" i="3"/>
  <c r="D50" i="5" s="1"/>
  <c r="F49" i="3"/>
  <c r="D49" i="5" s="1"/>
  <c r="F48" i="3"/>
  <c r="D48" i="5" s="1"/>
  <c r="F47" i="3"/>
  <c r="D47" i="5" s="1"/>
  <c r="F46" i="3"/>
  <c r="D46" i="5" s="1"/>
  <c r="F45" i="3"/>
  <c r="D45" i="5" s="1"/>
  <c r="F44" i="3"/>
  <c r="D44" i="5" s="1"/>
  <c r="F43" i="3"/>
  <c r="D43" i="5" s="1"/>
  <c r="F42" i="3"/>
  <c r="D42" i="5" s="1"/>
  <c r="F41" i="3"/>
  <c r="D41" i="5" s="1"/>
  <c r="F40" i="3"/>
  <c r="D40" i="5" s="1"/>
  <c r="F39" i="3"/>
  <c r="D39" i="5" s="1"/>
  <c r="F38" i="3"/>
  <c r="D38" i="5" s="1"/>
  <c r="F37" i="3"/>
  <c r="D37" i="5" s="1"/>
  <c r="F36" i="3"/>
  <c r="D36" i="5" s="1"/>
  <c r="F35" i="3"/>
  <c r="D35" i="5" s="1"/>
  <c r="F34" i="3"/>
  <c r="D34" i="5" s="1"/>
  <c r="F33" i="3"/>
  <c r="D33" i="5" s="1"/>
  <c r="F32" i="3"/>
  <c r="D32" i="5" s="1"/>
  <c r="F31" i="3"/>
  <c r="D31" i="5" s="1"/>
  <c r="F30" i="3"/>
  <c r="D30" i="5" s="1"/>
  <c r="F29" i="3"/>
  <c r="D29" i="5" s="1"/>
  <c r="F28" i="3"/>
  <c r="D28" i="5" s="1"/>
  <c r="F27" i="3"/>
  <c r="D27" i="5" s="1"/>
  <c r="F26" i="3"/>
  <c r="D26" i="5" s="1"/>
  <c r="F25" i="3"/>
  <c r="D25" i="5" s="1"/>
  <c r="F24" i="3"/>
  <c r="D24" i="5" s="1"/>
  <c r="F23" i="3"/>
  <c r="D23" i="5" s="1"/>
  <c r="F22" i="3"/>
  <c r="D22" i="5" s="1"/>
  <c r="F21" i="3"/>
  <c r="D21" i="5" s="1"/>
  <c r="F20" i="3"/>
  <c r="D20" i="5" s="1"/>
  <c r="F19" i="3"/>
  <c r="D19" i="5" s="1"/>
  <c r="F18" i="3"/>
  <c r="D18" i="5" s="1"/>
  <c r="F17" i="3"/>
  <c r="D17" i="5" s="1"/>
  <c r="F16" i="3"/>
  <c r="D16" i="5" s="1"/>
  <c r="F15" i="3"/>
  <c r="D15" i="5" s="1"/>
  <c r="F14" i="3"/>
  <c r="D14" i="5" s="1"/>
  <c r="F13" i="3"/>
  <c r="D13" i="5" s="1"/>
  <c r="F12" i="3"/>
  <c r="D12" i="5" s="1"/>
  <c r="F11" i="3"/>
  <c r="D11" i="5" s="1"/>
  <c r="F10" i="3"/>
  <c r="D10" i="5" s="1"/>
  <c r="F9" i="3"/>
  <c r="D9" i="5" s="1"/>
  <c r="F8" i="3"/>
  <c r="D8" i="5" s="1"/>
  <c r="F7" i="3"/>
  <c r="D7" i="5" s="1"/>
  <c r="F6" i="3"/>
  <c r="D6" i="5" s="1"/>
  <c r="F5" i="3"/>
  <c r="D5" i="5" s="1"/>
  <c r="F4" i="3"/>
  <c r="D4" i="5" s="1"/>
  <c r="C29" i="2"/>
  <c r="C28" i="2"/>
  <c r="C27" i="2"/>
  <c r="C26" i="2"/>
  <c r="C25" i="2"/>
  <c r="C24" i="2"/>
  <c r="C23" i="2"/>
  <c r="C22" i="2"/>
  <c r="B16" i="2"/>
  <c r="A157" i="9" s="1"/>
  <c r="E4" i="2"/>
  <c r="C6" i="1"/>
  <c r="A6" i="1"/>
  <c r="C10" i="1" l="1"/>
  <c r="N4" i="5"/>
  <c r="J4" i="5"/>
  <c r="F4" i="5"/>
  <c r="M4" i="5"/>
  <c r="I4" i="5"/>
  <c r="E4" i="5"/>
  <c r="L4" i="5"/>
  <c r="H4" i="5"/>
  <c r="O4" i="5"/>
  <c r="K4" i="5"/>
  <c r="G4" i="5"/>
  <c r="N8" i="5"/>
  <c r="J8" i="5"/>
  <c r="F8" i="5"/>
  <c r="M8" i="5"/>
  <c r="I8" i="5"/>
  <c r="E8" i="5"/>
  <c r="L8" i="5"/>
  <c r="H8" i="5"/>
  <c r="O8" i="5"/>
  <c r="K8" i="5"/>
  <c r="G8" i="5"/>
  <c r="N12" i="5"/>
  <c r="J12" i="5"/>
  <c r="F12" i="5"/>
  <c r="M12" i="5"/>
  <c r="I12" i="5"/>
  <c r="E12" i="5"/>
  <c r="L12" i="5"/>
  <c r="H12" i="5"/>
  <c r="O12" i="5"/>
  <c r="K12" i="5"/>
  <c r="G12" i="5"/>
  <c r="N16" i="5"/>
  <c r="J16" i="5"/>
  <c r="F16" i="5"/>
  <c r="M16" i="5"/>
  <c r="I16" i="5"/>
  <c r="E16" i="5"/>
  <c r="L16" i="5"/>
  <c r="H16" i="5"/>
  <c r="O16" i="5"/>
  <c r="K16" i="5"/>
  <c r="G16" i="5"/>
  <c r="N20" i="5"/>
  <c r="J20" i="5"/>
  <c r="F20" i="5"/>
  <c r="M20" i="5"/>
  <c r="I20" i="5"/>
  <c r="E20" i="5"/>
  <c r="L20" i="5"/>
  <c r="H20" i="5"/>
  <c r="O20" i="5"/>
  <c r="K20" i="5"/>
  <c r="G20" i="5"/>
  <c r="N24" i="5"/>
  <c r="J24" i="5"/>
  <c r="F24" i="5"/>
  <c r="M24" i="5"/>
  <c r="I24" i="5"/>
  <c r="E24" i="5"/>
  <c r="L24" i="5"/>
  <c r="H24" i="5"/>
  <c r="O24" i="5"/>
  <c r="K24" i="5"/>
  <c r="G24" i="5"/>
  <c r="N28" i="5"/>
  <c r="J28" i="5"/>
  <c r="F28" i="5"/>
  <c r="M28" i="5"/>
  <c r="I28" i="5"/>
  <c r="E28" i="5"/>
  <c r="L28" i="5"/>
  <c r="H28" i="5"/>
  <c r="O28" i="5"/>
  <c r="K28" i="5"/>
  <c r="G28" i="5"/>
  <c r="N32" i="5"/>
  <c r="J32" i="5"/>
  <c r="F32" i="5"/>
  <c r="M32" i="5"/>
  <c r="I32" i="5"/>
  <c r="E32" i="5"/>
  <c r="L32" i="5"/>
  <c r="H32" i="5"/>
  <c r="O32" i="5"/>
  <c r="K32" i="5"/>
  <c r="G32" i="5"/>
  <c r="N36" i="5"/>
  <c r="J36" i="5"/>
  <c r="F36" i="5"/>
  <c r="M36" i="5"/>
  <c r="I36" i="5"/>
  <c r="E36" i="5"/>
  <c r="L36" i="5"/>
  <c r="H36" i="5"/>
  <c r="O36" i="5"/>
  <c r="K36" i="5"/>
  <c r="G36" i="5"/>
  <c r="L40" i="5"/>
  <c r="H40" i="5"/>
  <c r="N40" i="5"/>
  <c r="J40" i="5"/>
  <c r="F40" i="5"/>
  <c r="I40" i="5"/>
  <c r="O40" i="5"/>
  <c r="G40" i="5"/>
  <c r="M40" i="5"/>
  <c r="E40" i="5"/>
  <c r="K40" i="5"/>
  <c r="L44" i="5"/>
  <c r="H44" i="5"/>
  <c r="N44" i="5"/>
  <c r="J44" i="5"/>
  <c r="F44" i="5"/>
  <c r="I44" i="5"/>
  <c r="O44" i="5"/>
  <c r="G44" i="5"/>
  <c r="M44" i="5"/>
  <c r="E44" i="5"/>
  <c r="K44" i="5"/>
  <c r="L48" i="5"/>
  <c r="H48" i="5"/>
  <c r="O48" i="5"/>
  <c r="N48" i="5"/>
  <c r="J48" i="5"/>
  <c r="F48" i="5"/>
  <c r="I48" i="5"/>
  <c r="G48" i="5"/>
  <c r="M48" i="5"/>
  <c r="E48" i="5"/>
  <c r="K48" i="5"/>
  <c r="L52" i="5"/>
  <c r="H52" i="5"/>
  <c r="O52" i="5"/>
  <c r="K52" i="5"/>
  <c r="G52" i="5"/>
  <c r="N52" i="5"/>
  <c r="J52" i="5"/>
  <c r="F52" i="5"/>
  <c r="E52" i="5"/>
  <c r="M52" i="5"/>
  <c r="I52" i="5"/>
  <c r="L56" i="5"/>
  <c r="H56" i="5"/>
  <c r="O56" i="5"/>
  <c r="K56" i="5"/>
  <c r="G56" i="5"/>
  <c r="N56" i="5"/>
  <c r="J56" i="5"/>
  <c r="F56" i="5"/>
  <c r="E56" i="5"/>
  <c r="M56" i="5"/>
  <c r="I56" i="5"/>
  <c r="L60" i="5"/>
  <c r="H60" i="5"/>
  <c r="O60" i="5"/>
  <c r="K60" i="5"/>
  <c r="G60" i="5"/>
  <c r="N60" i="5"/>
  <c r="J60" i="5"/>
  <c r="F60" i="5"/>
  <c r="E60" i="5"/>
  <c r="M60" i="5"/>
  <c r="I60" i="5"/>
  <c r="L64" i="5"/>
  <c r="H64" i="5"/>
  <c r="O64" i="5"/>
  <c r="K64" i="5"/>
  <c r="G64" i="5"/>
  <c r="N64" i="5"/>
  <c r="J64" i="5"/>
  <c r="F64" i="5"/>
  <c r="E64" i="5"/>
  <c r="M64" i="5"/>
  <c r="I64" i="5"/>
  <c r="A5" i="9"/>
  <c r="B6" i="9"/>
  <c r="A9" i="9"/>
  <c r="B10" i="9"/>
  <c r="A13" i="9"/>
  <c r="B14" i="9"/>
  <c r="A17" i="9"/>
  <c r="B18" i="9"/>
  <c r="A21" i="9"/>
  <c r="B22" i="9"/>
  <c r="A25" i="9"/>
  <c r="B26" i="9"/>
  <c r="A29" i="9"/>
  <c r="B30" i="9"/>
  <c r="A33" i="9"/>
  <c r="B34" i="9"/>
  <c r="A37" i="9"/>
  <c r="B38" i="9"/>
  <c r="A41" i="9"/>
  <c r="B42" i="9"/>
  <c r="A45" i="9"/>
  <c r="B46" i="9"/>
  <c r="A49" i="9"/>
  <c r="B50" i="9"/>
  <c r="A53" i="9"/>
  <c r="B54" i="9"/>
  <c r="A57" i="9"/>
  <c r="B58" i="9"/>
  <c r="A61" i="9"/>
  <c r="B62" i="9"/>
  <c r="A65" i="9"/>
  <c r="B66" i="9"/>
  <c r="A69" i="9"/>
  <c r="B70" i="9"/>
  <c r="A73" i="9"/>
  <c r="B74" i="9"/>
  <c r="A77" i="9"/>
  <c r="B78" i="9"/>
  <c r="A81" i="9"/>
  <c r="B82" i="9"/>
  <c r="A85" i="9"/>
  <c r="B86" i="9"/>
  <c r="A89" i="9"/>
  <c r="B90" i="9"/>
  <c r="A93" i="9"/>
  <c r="B94" i="9"/>
  <c r="A97" i="9"/>
  <c r="B98" i="9"/>
  <c r="A101" i="9"/>
  <c r="G101" i="9"/>
  <c r="B102" i="9"/>
  <c r="A105" i="9"/>
  <c r="B106" i="9"/>
  <c r="D108" i="9"/>
  <c r="A109" i="9"/>
  <c r="B110" i="9"/>
  <c r="C111" i="9"/>
  <c r="D112" i="9"/>
  <c r="A113" i="9"/>
  <c r="B114" i="9"/>
  <c r="C115" i="9"/>
  <c r="A117" i="9"/>
  <c r="B118" i="9"/>
  <c r="A121" i="9"/>
  <c r="G121" i="9"/>
  <c r="B122" i="9"/>
  <c r="A125" i="9"/>
  <c r="B126" i="9"/>
  <c r="A129" i="9"/>
  <c r="B130" i="9"/>
  <c r="A133" i="9"/>
  <c r="B134" i="9"/>
  <c r="A137" i="9"/>
  <c r="B138" i="9"/>
  <c r="A141" i="9"/>
  <c r="B142" i="9"/>
  <c r="A145" i="9"/>
  <c r="B146" i="9"/>
  <c r="A149" i="9"/>
  <c r="B150" i="9"/>
  <c r="A153" i="9"/>
  <c r="B154" i="9"/>
  <c r="D5" i="4"/>
  <c r="C6" i="9" s="1"/>
  <c r="J9" i="4"/>
  <c r="E9" i="4" s="1"/>
  <c r="D21" i="4"/>
  <c r="K23" i="4"/>
  <c r="G23" i="4" s="1"/>
  <c r="D29" i="4"/>
  <c r="K31" i="4"/>
  <c r="G31" i="4" s="1"/>
  <c r="D37" i="4"/>
  <c r="K49" i="4"/>
  <c r="G49" i="4" s="1"/>
  <c r="K52" i="4"/>
  <c r="G52" i="4" s="1"/>
  <c r="C6" i="11"/>
  <c r="D131" i="4"/>
  <c r="D127" i="4"/>
  <c r="D123" i="4"/>
  <c r="K225" i="4"/>
  <c r="G225" i="4" s="1"/>
  <c r="K209" i="4"/>
  <c r="G209" i="4" s="1"/>
  <c r="K193" i="4"/>
  <c r="G193" i="4" s="1"/>
  <c r="G194" i="9" s="1"/>
  <c r="K221" i="4"/>
  <c r="G221" i="4" s="1"/>
  <c r="K181" i="4"/>
  <c r="G181" i="4" s="1"/>
  <c r="D176" i="4"/>
  <c r="K165" i="4"/>
  <c r="G165" i="4" s="1"/>
  <c r="D160" i="4"/>
  <c r="C161" i="9" s="1"/>
  <c r="K149" i="4"/>
  <c r="G149" i="4" s="1"/>
  <c r="D144" i="4"/>
  <c r="K133" i="4"/>
  <c r="G133" i="4" s="1"/>
  <c r="K125" i="4"/>
  <c r="G125" i="4" s="1"/>
  <c r="D188" i="4"/>
  <c r="D172" i="4"/>
  <c r="D156" i="4"/>
  <c r="D140" i="4"/>
  <c r="D128" i="4"/>
  <c r="D184" i="4"/>
  <c r="D168" i="4"/>
  <c r="D152" i="4"/>
  <c r="D136" i="4"/>
  <c r="K205" i="4"/>
  <c r="G205" i="4" s="1"/>
  <c r="K185" i="4"/>
  <c r="G185" i="4" s="1"/>
  <c r="D180" i="4"/>
  <c r="C181" i="9" s="1"/>
  <c r="K169" i="4"/>
  <c r="G169" i="4" s="1"/>
  <c r="D164" i="4"/>
  <c r="K153" i="4"/>
  <c r="G153" i="4" s="1"/>
  <c r="D148" i="4"/>
  <c r="C59" i="9" s="1"/>
  <c r="K102" i="4"/>
  <c r="G102" i="4" s="1"/>
  <c r="D124" i="4"/>
  <c r="K114" i="4"/>
  <c r="G114" i="4" s="1"/>
  <c r="K98" i="4"/>
  <c r="G98" i="4" s="1"/>
  <c r="K137" i="4"/>
  <c r="G137" i="4" s="1"/>
  <c r="D132" i="4"/>
  <c r="B226" i="9"/>
  <c r="A225" i="9"/>
  <c r="B222" i="9"/>
  <c r="A221" i="9"/>
  <c r="B218" i="9"/>
  <c r="A217" i="9"/>
  <c r="B214" i="9"/>
  <c r="A213" i="9"/>
  <c r="B210" i="9"/>
  <c r="A209" i="9"/>
  <c r="B206" i="9"/>
  <c r="A205" i="9"/>
  <c r="B202" i="9"/>
  <c r="A201" i="9"/>
  <c r="B198" i="9"/>
  <c r="A197" i="9"/>
  <c r="B194" i="9"/>
  <c r="A193" i="9"/>
  <c r="B190" i="9"/>
  <c r="A189" i="9"/>
  <c r="B186" i="9"/>
  <c r="G185" i="9"/>
  <c r="A185" i="9"/>
  <c r="B182" i="9"/>
  <c r="A181" i="9"/>
  <c r="B178" i="9"/>
  <c r="A177" i="9"/>
  <c r="B174" i="9"/>
  <c r="A173" i="9"/>
  <c r="B170" i="9"/>
  <c r="A169" i="9"/>
  <c r="B166" i="9"/>
  <c r="A165" i="9"/>
  <c r="B162" i="9"/>
  <c r="A161" i="9"/>
  <c r="B158" i="9"/>
  <c r="D57" i="4"/>
  <c r="B227" i="9"/>
  <c r="G226" i="9"/>
  <c r="A226" i="9"/>
  <c r="B223" i="9"/>
  <c r="G222" i="9"/>
  <c r="A222" i="9"/>
  <c r="B219" i="9"/>
  <c r="A218" i="9"/>
  <c r="C216" i="9"/>
  <c r="B215" i="9"/>
  <c r="A214" i="9"/>
  <c r="C212" i="9"/>
  <c r="B211" i="9"/>
  <c r="G210" i="9"/>
  <c r="A210" i="9"/>
  <c r="B207" i="9"/>
  <c r="G206" i="9"/>
  <c r="A206" i="9"/>
  <c r="B203" i="9"/>
  <c r="A202" i="9"/>
  <c r="B199" i="9"/>
  <c r="A198" i="9"/>
  <c r="B195" i="9"/>
  <c r="A194" i="9"/>
  <c r="B191" i="9"/>
  <c r="A190" i="9"/>
  <c r="B187" i="9"/>
  <c r="G186" i="9"/>
  <c r="A186" i="9"/>
  <c r="C184" i="9"/>
  <c r="B183" i="9"/>
  <c r="G182" i="9"/>
  <c r="A182" i="9"/>
  <c r="D181" i="9"/>
  <c r="B179" i="9"/>
  <c r="A178" i="9"/>
  <c r="B175" i="9"/>
  <c r="A174" i="9"/>
  <c r="B171" i="9"/>
  <c r="G170" i="9"/>
  <c r="A170" i="9"/>
  <c r="B167" i="9"/>
  <c r="G166" i="9"/>
  <c r="A166" i="9"/>
  <c r="B163" i="9"/>
  <c r="A162" i="9"/>
  <c r="B159" i="9"/>
  <c r="A158" i="9"/>
  <c r="D52" i="4"/>
  <c r="D48" i="4"/>
  <c r="D44" i="4"/>
  <c r="B228" i="9"/>
  <c r="A227" i="9"/>
  <c r="D226" i="9"/>
  <c r="B224" i="9"/>
  <c r="A223" i="9"/>
  <c r="B220" i="9"/>
  <c r="A219" i="9"/>
  <c r="B216" i="9"/>
  <c r="A215" i="9"/>
  <c r="B212" i="9"/>
  <c r="A211" i="9"/>
  <c r="B208" i="9"/>
  <c r="A207" i="9"/>
  <c r="B204" i="9"/>
  <c r="A203" i="9"/>
  <c r="B200" i="9"/>
  <c r="A199" i="9"/>
  <c r="B196" i="9"/>
  <c r="A195" i="9"/>
  <c r="B192" i="9"/>
  <c r="A191" i="9"/>
  <c r="C189" i="9"/>
  <c r="B188" i="9"/>
  <c r="A187" i="9"/>
  <c r="C185" i="9"/>
  <c r="B184" i="9"/>
  <c r="A183" i="9"/>
  <c r="B180" i="9"/>
  <c r="A179" i="9"/>
  <c r="C177" i="9"/>
  <c r="B176" i="9"/>
  <c r="A175" i="9"/>
  <c r="C173" i="9"/>
  <c r="B172" i="9"/>
  <c r="A171" i="9"/>
  <c r="D170" i="9"/>
  <c r="C169" i="9"/>
  <c r="B168" i="9"/>
  <c r="A167" i="9"/>
  <c r="C165" i="9"/>
  <c r="B164" i="9"/>
  <c r="A163" i="9"/>
  <c r="B160" i="9"/>
  <c r="A159" i="9"/>
  <c r="D56" i="4"/>
  <c r="A228" i="9"/>
  <c r="C226" i="9"/>
  <c r="B225" i="9"/>
  <c r="A224" i="9"/>
  <c r="B221" i="9"/>
  <c r="A220" i="9"/>
  <c r="B217" i="9"/>
  <c r="G216" i="9"/>
  <c r="A216" i="9"/>
  <c r="B213" i="9"/>
  <c r="A212" i="9"/>
  <c r="B209" i="9"/>
  <c r="A208" i="9"/>
  <c r="B205" i="9"/>
  <c r="A204" i="9"/>
  <c r="B201" i="9"/>
  <c r="A200" i="9"/>
  <c r="B197" i="9"/>
  <c r="A196" i="9"/>
  <c r="C194" i="9"/>
  <c r="B193" i="9"/>
  <c r="A192" i="9"/>
  <c r="C190" i="9"/>
  <c r="B189" i="9"/>
  <c r="A188" i="9"/>
  <c r="B185" i="9"/>
  <c r="A184" i="9"/>
  <c r="B181" i="9"/>
  <c r="A180" i="9"/>
  <c r="B177" i="9"/>
  <c r="A176" i="9"/>
  <c r="D175" i="9"/>
  <c r="B173" i="9"/>
  <c r="A172" i="9"/>
  <c r="B169" i="9"/>
  <c r="A168" i="9"/>
  <c r="B165" i="9"/>
  <c r="A164" i="9"/>
  <c r="C162" i="9"/>
  <c r="B161" i="9"/>
  <c r="A160" i="9"/>
  <c r="E6" i="1"/>
  <c r="H32" i="10"/>
  <c r="N23" i="10"/>
  <c r="B23" i="10"/>
  <c r="P22" i="10"/>
  <c r="D22" i="10"/>
  <c r="N21" i="10"/>
  <c r="J13" i="10"/>
  <c r="D10" i="10"/>
  <c r="D9" i="10"/>
  <c r="Z4" i="10"/>
  <c r="B4" i="10"/>
  <c r="D23" i="10"/>
  <c r="Z21" i="10"/>
  <c r="D18" i="10"/>
  <c r="B17" i="10"/>
  <c r="A17" i="7"/>
  <c r="A13" i="7"/>
  <c r="A11" i="7"/>
  <c r="A9" i="7"/>
  <c r="A7" i="7"/>
  <c r="J32" i="10"/>
  <c r="J31" i="10"/>
  <c r="H30" i="10"/>
  <c r="D27" i="10"/>
  <c r="P23" i="10"/>
  <c r="T4" i="10"/>
  <c r="A29" i="7"/>
  <c r="A26" i="7"/>
  <c r="D35" i="10"/>
  <c r="H31" i="10"/>
  <c r="D28" i="10"/>
  <c r="B27" i="10"/>
  <c r="J14" i="10"/>
  <c r="H12" i="10"/>
  <c r="N4" i="10"/>
  <c r="A23" i="7"/>
  <c r="A22" i="7"/>
  <c r="A16" i="7"/>
  <c r="A12" i="7"/>
  <c r="A10" i="7"/>
  <c r="A8" i="7"/>
  <c r="A6" i="7"/>
  <c r="B22" i="10"/>
  <c r="A18" i="7"/>
  <c r="C8" i="11"/>
  <c r="D36" i="10"/>
  <c r="B21" i="10"/>
  <c r="H14" i="10"/>
  <c r="B9" i="10"/>
  <c r="B35" i="10"/>
  <c r="H13" i="10"/>
  <c r="D17" i="10"/>
  <c r="A19" i="7"/>
  <c r="H4" i="10"/>
  <c r="O5" i="5"/>
  <c r="C12" i="6" s="1"/>
  <c r="K5" i="5"/>
  <c r="G5" i="5"/>
  <c r="N5" i="5"/>
  <c r="J5" i="5"/>
  <c r="F5" i="5"/>
  <c r="M5" i="5"/>
  <c r="I5" i="5"/>
  <c r="E5" i="5"/>
  <c r="L5" i="5"/>
  <c r="H5" i="5"/>
  <c r="O9" i="5"/>
  <c r="K9" i="5"/>
  <c r="G9" i="5"/>
  <c r="N9" i="5"/>
  <c r="J9" i="5"/>
  <c r="F9" i="5"/>
  <c r="M9" i="5"/>
  <c r="I9" i="5"/>
  <c r="E9" i="5"/>
  <c r="L9" i="5"/>
  <c r="H9" i="5"/>
  <c r="O13" i="5"/>
  <c r="K13" i="5"/>
  <c r="G13" i="5"/>
  <c r="N13" i="5"/>
  <c r="J13" i="5"/>
  <c r="F13" i="5"/>
  <c r="M13" i="5"/>
  <c r="I13" i="5"/>
  <c r="E13" i="5"/>
  <c r="L13" i="5"/>
  <c r="H13" i="5"/>
  <c r="O17" i="5"/>
  <c r="K17" i="5"/>
  <c r="G17" i="5"/>
  <c r="N17" i="5"/>
  <c r="J17" i="5"/>
  <c r="F17" i="5"/>
  <c r="M17" i="5"/>
  <c r="I17" i="5"/>
  <c r="E17" i="5"/>
  <c r="L17" i="5"/>
  <c r="H17" i="5"/>
  <c r="O21" i="5"/>
  <c r="K21" i="5"/>
  <c r="G21" i="5"/>
  <c r="N21" i="5"/>
  <c r="J21" i="5"/>
  <c r="F21" i="5"/>
  <c r="M21" i="5"/>
  <c r="I21" i="5"/>
  <c r="E21" i="5"/>
  <c r="L21" i="5"/>
  <c r="H21" i="5"/>
  <c r="O25" i="5"/>
  <c r="K25" i="5"/>
  <c r="G25" i="5"/>
  <c r="N25" i="5"/>
  <c r="J25" i="5"/>
  <c r="F25" i="5"/>
  <c r="M25" i="5"/>
  <c r="I25" i="5"/>
  <c r="E25" i="5"/>
  <c r="L25" i="5"/>
  <c r="H25" i="5"/>
  <c r="O29" i="5"/>
  <c r="K29" i="5"/>
  <c r="G29" i="5"/>
  <c r="N29" i="5"/>
  <c r="J29" i="5"/>
  <c r="F29" i="5"/>
  <c r="M29" i="5"/>
  <c r="I29" i="5"/>
  <c r="E29" i="5"/>
  <c r="L29" i="5"/>
  <c r="H29" i="5"/>
  <c r="O33" i="5"/>
  <c r="K33" i="5"/>
  <c r="G33" i="5"/>
  <c r="N33" i="5"/>
  <c r="J33" i="5"/>
  <c r="F33" i="5"/>
  <c r="M33" i="5"/>
  <c r="I33" i="5"/>
  <c r="E33" i="5"/>
  <c r="L33" i="5"/>
  <c r="H33" i="5"/>
  <c r="O37" i="5"/>
  <c r="K37" i="5"/>
  <c r="G37" i="5"/>
  <c r="N37" i="5"/>
  <c r="J37" i="5"/>
  <c r="F37" i="5"/>
  <c r="M37" i="5"/>
  <c r="I37" i="5"/>
  <c r="E37" i="5"/>
  <c r="L37" i="5"/>
  <c r="H37" i="5"/>
  <c r="M41" i="5"/>
  <c r="I41" i="5"/>
  <c r="E41" i="5"/>
  <c r="O41" i="5"/>
  <c r="K41" i="5"/>
  <c r="G41" i="5"/>
  <c r="N41" i="5"/>
  <c r="F41" i="5"/>
  <c r="L41" i="5"/>
  <c r="J41" i="5"/>
  <c r="H41" i="5"/>
  <c r="M45" i="5"/>
  <c r="I45" i="5"/>
  <c r="E45" i="5"/>
  <c r="O45" i="5"/>
  <c r="K45" i="5"/>
  <c r="G45" i="5"/>
  <c r="N45" i="5"/>
  <c r="F45" i="5"/>
  <c r="L45" i="5"/>
  <c r="J45" i="5"/>
  <c r="H45" i="5"/>
  <c r="M49" i="5"/>
  <c r="I49" i="5"/>
  <c r="E49" i="5"/>
  <c r="L49" i="5"/>
  <c r="H49" i="5"/>
  <c r="O49" i="5"/>
  <c r="K49" i="5"/>
  <c r="G49" i="5"/>
  <c r="N49" i="5"/>
  <c r="J49" i="5"/>
  <c r="F49" i="5"/>
  <c r="M53" i="5"/>
  <c r="I53" i="5"/>
  <c r="E53" i="5"/>
  <c r="L53" i="5"/>
  <c r="H53" i="5"/>
  <c r="O53" i="5"/>
  <c r="K53" i="5"/>
  <c r="G53" i="5"/>
  <c r="N53" i="5"/>
  <c r="J53" i="5"/>
  <c r="F53" i="5"/>
  <c r="M57" i="5"/>
  <c r="I57" i="5"/>
  <c r="E57" i="5"/>
  <c r="L57" i="5"/>
  <c r="H57" i="5"/>
  <c r="O57" i="5"/>
  <c r="K57" i="5"/>
  <c r="G57" i="5"/>
  <c r="N57" i="5"/>
  <c r="J57" i="5"/>
  <c r="F57" i="5"/>
  <c r="M61" i="5"/>
  <c r="I61" i="5"/>
  <c r="E61" i="5"/>
  <c r="L61" i="5"/>
  <c r="H61" i="5"/>
  <c r="O61" i="5"/>
  <c r="K61" i="5"/>
  <c r="G61" i="5"/>
  <c r="N61" i="5"/>
  <c r="J61" i="5"/>
  <c r="F61" i="5"/>
  <c r="M65" i="5"/>
  <c r="I65" i="5"/>
  <c r="E65" i="5"/>
  <c r="L65" i="5"/>
  <c r="H65" i="5"/>
  <c r="O65" i="5"/>
  <c r="K65" i="5"/>
  <c r="G65" i="5"/>
  <c r="N65" i="5"/>
  <c r="J65" i="5"/>
  <c r="F65" i="5"/>
  <c r="B5" i="9"/>
  <c r="A8" i="9"/>
  <c r="B9" i="9"/>
  <c r="A12" i="9"/>
  <c r="B13" i="9"/>
  <c r="A16" i="9"/>
  <c r="B17" i="9"/>
  <c r="A20" i="9"/>
  <c r="B21" i="9"/>
  <c r="A24" i="9"/>
  <c r="B25" i="9"/>
  <c r="A28" i="9"/>
  <c r="B29" i="9"/>
  <c r="A32" i="9"/>
  <c r="B33" i="9"/>
  <c r="A36" i="9"/>
  <c r="B37" i="9"/>
  <c r="A40" i="9"/>
  <c r="B41" i="9"/>
  <c r="A44" i="9"/>
  <c r="B45" i="9"/>
  <c r="A48" i="9"/>
  <c r="B49" i="9"/>
  <c r="A52" i="9"/>
  <c r="B53" i="9"/>
  <c r="A56" i="9"/>
  <c r="B57" i="9"/>
  <c r="A60" i="9"/>
  <c r="B61" i="9"/>
  <c r="A64" i="9"/>
  <c r="B65" i="9"/>
  <c r="A68" i="9"/>
  <c r="B69" i="9"/>
  <c r="A72" i="9"/>
  <c r="B73" i="9"/>
  <c r="A76" i="9"/>
  <c r="B77" i="9"/>
  <c r="A80" i="9"/>
  <c r="B81" i="9"/>
  <c r="A84" i="9"/>
  <c r="B85" i="9"/>
  <c r="A88" i="9"/>
  <c r="B89" i="9"/>
  <c r="A92" i="9"/>
  <c r="B93" i="9"/>
  <c r="A96" i="9"/>
  <c r="B97" i="9"/>
  <c r="A100" i="9"/>
  <c r="B101" i="9"/>
  <c r="D103" i="9"/>
  <c r="A104" i="9"/>
  <c r="B105" i="9"/>
  <c r="C106" i="9"/>
  <c r="D107" i="9"/>
  <c r="A108" i="9"/>
  <c r="B109" i="9"/>
  <c r="C110" i="9"/>
  <c r="D111" i="9"/>
  <c r="A112" i="9"/>
  <c r="B113" i="9"/>
  <c r="A116" i="9"/>
  <c r="B117" i="9"/>
  <c r="A120" i="9"/>
  <c r="B121" i="9"/>
  <c r="C122" i="9"/>
  <c r="A124" i="9"/>
  <c r="B125" i="9"/>
  <c r="C126" i="9"/>
  <c r="A128" i="9"/>
  <c r="G128" i="9"/>
  <c r="B129" i="9"/>
  <c r="A132" i="9"/>
  <c r="G132" i="9"/>
  <c r="B133" i="9"/>
  <c r="A136" i="9"/>
  <c r="B137" i="9"/>
  <c r="A140" i="9"/>
  <c r="B141" i="9"/>
  <c r="A144" i="9"/>
  <c r="B145" i="9"/>
  <c r="A148" i="9"/>
  <c r="B149" i="9"/>
  <c r="A152" i="9"/>
  <c r="B153" i="9"/>
  <c r="A156" i="9"/>
  <c r="B157" i="9"/>
  <c r="D9" i="4"/>
  <c r="C10" i="9" s="1"/>
  <c r="J13" i="4"/>
  <c r="E13" i="4" s="1"/>
  <c r="J19" i="4"/>
  <c r="E19" i="4" s="1"/>
  <c r="K21" i="4"/>
  <c r="G21" i="4" s="1"/>
  <c r="J27" i="4"/>
  <c r="E27" i="4" s="1"/>
  <c r="K29" i="4"/>
  <c r="G29" i="4" s="1"/>
  <c r="J35" i="4"/>
  <c r="E35" i="4" s="1"/>
  <c r="K37" i="4"/>
  <c r="G37" i="4" s="1"/>
  <c r="K43" i="4"/>
  <c r="G43" i="4" s="1"/>
  <c r="D45" i="4"/>
  <c r="J48" i="4"/>
  <c r="E48" i="4" s="1"/>
  <c r="D53" i="4"/>
  <c r="M7" i="5"/>
  <c r="I7" i="5"/>
  <c r="E7" i="5"/>
  <c r="L7" i="5"/>
  <c r="H7" i="5"/>
  <c r="O7" i="5"/>
  <c r="K7" i="5"/>
  <c r="G7" i="5"/>
  <c r="F7" i="5"/>
  <c r="N7" i="5"/>
  <c r="J7" i="5"/>
  <c r="E5" i="2"/>
  <c r="L6" i="5"/>
  <c r="H6" i="5"/>
  <c r="O6" i="5"/>
  <c r="K6" i="5"/>
  <c r="G6" i="5"/>
  <c r="N6" i="5"/>
  <c r="J6" i="5"/>
  <c r="F6" i="5"/>
  <c r="M6" i="5"/>
  <c r="I6" i="5"/>
  <c r="E6" i="5"/>
  <c r="L10" i="5"/>
  <c r="H10" i="5"/>
  <c r="O10" i="5"/>
  <c r="K10" i="5"/>
  <c r="G10" i="5"/>
  <c r="N10" i="5"/>
  <c r="J10" i="5"/>
  <c r="F10" i="5"/>
  <c r="M10" i="5"/>
  <c r="I10" i="5"/>
  <c r="E10" i="5"/>
  <c r="L14" i="5"/>
  <c r="H14" i="5"/>
  <c r="O14" i="5"/>
  <c r="K14" i="5"/>
  <c r="G14" i="5"/>
  <c r="N14" i="5"/>
  <c r="J14" i="5"/>
  <c r="F14" i="5"/>
  <c r="M14" i="5"/>
  <c r="I14" i="5"/>
  <c r="E14" i="5"/>
  <c r="L18" i="5"/>
  <c r="H18" i="5"/>
  <c r="O18" i="5"/>
  <c r="K18" i="5"/>
  <c r="G18" i="5"/>
  <c r="N18" i="5"/>
  <c r="J18" i="5"/>
  <c r="F18" i="5"/>
  <c r="M18" i="5"/>
  <c r="I18" i="5"/>
  <c r="E18" i="5"/>
  <c r="L22" i="5"/>
  <c r="H22" i="5"/>
  <c r="O22" i="5"/>
  <c r="K22" i="5"/>
  <c r="G22" i="5"/>
  <c r="N22" i="5"/>
  <c r="J22" i="5"/>
  <c r="F22" i="5"/>
  <c r="M22" i="5"/>
  <c r="I22" i="5"/>
  <c r="E22" i="5"/>
  <c r="L26" i="5"/>
  <c r="H26" i="5"/>
  <c r="O26" i="5"/>
  <c r="K26" i="5"/>
  <c r="G26" i="5"/>
  <c r="N26" i="5"/>
  <c r="J26" i="5"/>
  <c r="F26" i="5"/>
  <c r="M26" i="5"/>
  <c r="I26" i="5"/>
  <c r="E26" i="5"/>
  <c r="L30" i="5"/>
  <c r="H30" i="5"/>
  <c r="O30" i="5"/>
  <c r="K30" i="5"/>
  <c r="G30" i="5"/>
  <c r="N30" i="5"/>
  <c r="J30" i="5"/>
  <c r="F30" i="5"/>
  <c r="M30" i="5"/>
  <c r="I30" i="5"/>
  <c r="E30" i="5"/>
  <c r="L34" i="5"/>
  <c r="H34" i="5"/>
  <c r="O34" i="5"/>
  <c r="K34" i="5"/>
  <c r="G34" i="5"/>
  <c r="N34" i="5"/>
  <c r="J34" i="5"/>
  <c r="F34" i="5"/>
  <c r="M34" i="5"/>
  <c r="I34" i="5"/>
  <c r="E34" i="5"/>
  <c r="N38" i="5"/>
  <c r="L38" i="5"/>
  <c r="M38" i="5"/>
  <c r="H38" i="5"/>
  <c r="K38" i="5"/>
  <c r="G38" i="5"/>
  <c r="J38" i="5"/>
  <c r="F38" i="5"/>
  <c r="O38" i="5"/>
  <c r="I38" i="5"/>
  <c r="E38" i="5"/>
  <c r="N42" i="5"/>
  <c r="J42" i="5"/>
  <c r="F42" i="5"/>
  <c r="L42" i="5"/>
  <c r="H42" i="5"/>
  <c r="M42" i="5"/>
  <c r="E42" i="5"/>
  <c r="K42" i="5"/>
  <c r="I42" i="5"/>
  <c r="O42" i="5"/>
  <c r="G42" i="5"/>
  <c r="N46" i="5"/>
  <c r="J46" i="5"/>
  <c r="F46" i="5"/>
  <c r="L46" i="5"/>
  <c r="H46" i="5"/>
  <c r="M46" i="5"/>
  <c r="E46" i="5"/>
  <c r="K46" i="5"/>
  <c r="I46" i="5"/>
  <c r="O46" i="5"/>
  <c r="G46" i="5"/>
  <c r="N50" i="5"/>
  <c r="J50" i="5"/>
  <c r="F50" i="5"/>
  <c r="M50" i="5"/>
  <c r="I50" i="5"/>
  <c r="E50" i="5"/>
  <c r="L50" i="5"/>
  <c r="H50" i="5"/>
  <c r="G50" i="5"/>
  <c r="O50" i="5"/>
  <c r="K50" i="5"/>
  <c r="N54" i="5"/>
  <c r="J54" i="5"/>
  <c r="F54" i="5"/>
  <c r="M54" i="5"/>
  <c r="I54" i="5"/>
  <c r="E54" i="5"/>
  <c r="L54" i="5"/>
  <c r="H54" i="5"/>
  <c r="G54" i="5"/>
  <c r="O54" i="5"/>
  <c r="K54" i="5"/>
  <c r="N58" i="5"/>
  <c r="J58" i="5"/>
  <c r="F58" i="5"/>
  <c r="M58" i="5"/>
  <c r="I58" i="5"/>
  <c r="E58" i="5"/>
  <c r="L58" i="5"/>
  <c r="H58" i="5"/>
  <c r="G58" i="5"/>
  <c r="O58" i="5"/>
  <c r="K58" i="5"/>
  <c r="N62" i="5"/>
  <c r="J62" i="5"/>
  <c r="F62" i="5"/>
  <c r="M62" i="5"/>
  <c r="I62" i="5"/>
  <c r="E62" i="5"/>
  <c r="L62" i="5"/>
  <c r="H62" i="5"/>
  <c r="G62" i="5"/>
  <c r="O62" i="5"/>
  <c r="K62" i="5"/>
  <c r="N66" i="5"/>
  <c r="J66" i="5"/>
  <c r="F66" i="5"/>
  <c r="M66" i="5"/>
  <c r="I66" i="5"/>
  <c r="E66" i="5"/>
  <c r="L66" i="5"/>
  <c r="H66" i="5"/>
  <c r="G66" i="5"/>
  <c r="O66" i="5"/>
  <c r="K66" i="5"/>
  <c r="A7" i="9"/>
  <c r="B8" i="9"/>
  <c r="D10" i="9"/>
  <c r="A11" i="9"/>
  <c r="B12" i="9"/>
  <c r="A15" i="9"/>
  <c r="B16" i="9"/>
  <c r="A19" i="9"/>
  <c r="B20" i="9"/>
  <c r="A23" i="9"/>
  <c r="B24" i="9"/>
  <c r="A27" i="9"/>
  <c r="B28" i="9"/>
  <c r="A31" i="9"/>
  <c r="B32" i="9"/>
  <c r="A35" i="9"/>
  <c r="B36" i="9"/>
  <c r="A39" i="9"/>
  <c r="B40" i="9"/>
  <c r="A43" i="9"/>
  <c r="B44" i="9"/>
  <c r="A47" i="9"/>
  <c r="B48" i="9"/>
  <c r="A51" i="9"/>
  <c r="B52" i="9"/>
  <c r="C53" i="9"/>
  <c r="A55" i="9"/>
  <c r="B56" i="9"/>
  <c r="A59" i="9"/>
  <c r="B60" i="9"/>
  <c r="A63" i="9"/>
  <c r="B64" i="9"/>
  <c r="C65" i="9"/>
  <c r="A67" i="9"/>
  <c r="B68" i="9"/>
  <c r="C69" i="9"/>
  <c r="A71" i="9"/>
  <c r="B72" i="9"/>
  <c r="A75" i="9"/>
  <c r="B76" i="9"/>
  <c r="A79" i="9"/>
  <c r="B80" i="9"/>
  <c r="A83" i="9"/>
  <c r="B84" i="9"/>
  <c r="A87" i="9"/>
  <c r="B88" i="9"/>
  <c r="A91" i="9"/>
  <c r="B92" i="9"/>
  <c r="C93" i="9"/>
  <c r="A95" i="9"/>
  <c r="B96" i="9"/>
  <c r="C97" i="9"/>
  <c r="A99" i="9"/>
  <c r="G99" i="9"/>
  <c r="B100" i="9"/>
  <c r="A103" i="9"/>
  <c r="G103" i="9"/>
  <c r="B104" i="9"/>
  <c r="A107" i="9"/>
  <c r="B108" i="9"/>
  <c r="C109" i="9"/>
  <c r="A111" i="9"/>
  <c r="B112" i="9"/>
  <c r="C113" i="9"/>
  <c r="A115" i="9"/>
  <c r="G115" i="9"/>
  <c r="B116" i="9"/>
  <c r="A119" i="9"/>
  <c r="B120" i="9"/>
  <c r="D122" i="9"/>
  <c r="A123" i="9"/>
  <c r="B124" i="9"/>
  <c r="C125" i="9"/>
  <c r="A127" i="9"/>
  <c r="B128" i="9"/>
  <c r="C129" i="9"/>
  <c r="A131" i="9"/>
  <c r="B132" i="9"/>
  <c r="C133" i="9"/>
  <c r="A135" i="9"/>
  <c r="B136" i="9"/>
  <c r="C137" i="9"/>
  <c r="D138" i="9"/>
  <c r="A139" i="9"/>
  <c r="B140" i="9"/>
  <c r="C141" i="9"/>
  <c r="A143" i="9"/>
  <c r="B144" i="9"/>
  <c r="C145" i="9"/>
  <c r="A147" i="9"/>
  <c r="B148" i="9"/>
  <c r="A151" i="9"/>
  <c r="B152" i="9"/>
  <c r="D154" i="9"/>
  <c r="A155" i="9"/>
  <c r="B156" i="9"/>
  <c r="C157" i="9"/>
  <c r="D13" i="4"/>
  <c r="D17" i="4"/>
  <c r="K19" i="4"/>
  <c r="G19" i="4" s="1"/>
  <c r="D25" i="4"/>
  <c r="K27" i="4"/>
  <c r="G27" i="4" s="1"/>
  <c r="D33" i="4"/>
  <c r="K35" i="4"/>
  <c r="G35" i="4" s="1"/>
  <c r="D41" i="4"/>
  <c r="D43" i="4"/>
  <c r="K45" i="4"/>
  <c r="G45" i="4" s="1"/>
  <c r="K48" i="4"/>
  <c r="G48" i="4" s="1"/>
  <c r="K53" i="4"/>
  <c r="G53" i="4" s="1"/>
  <c r="M11" i="5"/>
  <c r="I11" i="5"/>
  <c r="E11" i="5"/>
  <c r="L11" i="5"/>
  <c r="H11" i="5"/>
  <c r="O11" i="5"/>
  <c r="K11" i="5"/>
  <c r="G11" i="5"/>
  <c r="F11" i="5"/>
  <c r="N11" i="5"/>
  <c r="J11" i="5"/>
  <c r="M15" i="5"/>
  <c r="I15" i="5"/>
  <c r="E15" i="5"/>
  <c r="L15" i="5"/>
  <c r="H15" i="5"/>
  <c r="O15" i="5"/>
  <c r="K15" i="5"/>
  <c r="G15" i="5"/>
  <c r="F15" i="5"/>
  <c r="N15" i="5"/>
  <c r="J15" i="5"/>
  <c r="M19" i="5"/>
  <c r="I19" i="5"/>
  <c r="E19" i="5"/>
  <c r="L19" i="5"/>
  <c r="H19" i="5"/>
  <c r="O19" i="5"/>
  <c r="K19" i="5"/>
  <c r="G19" i="5"/>
  <c r="F19" i="5"/>
  <c r="N19" i="5"/>
  <c r="J19" i="5"/>
  <c r="M23" i="5"/>
  <c r="I23" i="5"/>
  <c r="E23" i="5"/>
  <c r="L23" i="5"/>
  <c r="H23" i="5"/>
  <c r="O23" i="5"/>
  <c r="K23" i="5"/>
  <c r="G23" i="5"/>
  <c r="F23" i="5"/>
  <c r="N23" i="5"/>
  <c r="J23" i="5"/>
  <c r="M27" i="5"/>
  <c r="I27" i="5"/>
  <c r="E27" i="5"/>
  <c r="L27" i="5"/>
  <c r="H27" i="5"/>
  <c r="O27" i="5"/>
  <c r="K27" i="5"/>
  <c r="G27" i="5"/>
  <c r="F27" i="5"/>
  <c r="N27" i="5"/>
  <c r="J27" i="5"/>
  <c r="M31" i="5"/>
  <c r="I31" i="5"/>
  <c r="E31" i="5"/>
  <c r="L31" i="5"/>
  <c r="H31" i="5"/>
  <c r="O31" i="5"/>
  <c r="K31" i="5"/>
  <c r="G31" i="5"/>
  <c r="F31" i="5"/>
  <c r="N31" i="5"/>
  <c r="J31" i="5"/>
  <c r="M35" i="5"/>
  <c r="I35" i="5"/>
  <c r="E35" i="5"/>
  <c r="L35" i="5"/>
  <c r="H35" i="5"/>
  <c r="O35" i="5"/>
  <c r="K35" i="5"/>
  <c r="G35" i="5"/>
  <c r="F35" i="5"/>
  <c r="N35" i="5"/>
  <c r="J35" i="5"/>
  <c r="O39" i="5"/>
  <c r="K39" i="5"/>
  <c r="G39" i="5"/>
  <c r="M39" i="5"/>
  <c r="I39" i="5"/>
  <c r="E39" i="5"/>
  <c r="J39" i="5"/>
  <c r="H39" i="5"/>
  <c r="N39" i="5"/>
  <c r="F39" i="5"/>
  <c r="L39" i="5"/>
  <c r="O43" i="5"/>
  <c r="K43" i="5"/>
  <c r="G43" i="5"/>
  <c r="M43" i="5"/>
  <c r="I43" i="5"/>
  <c r="E43" i="5"/>
  <c r="J43" i="5"/>
  <c r="H43" i="5"/>
  <c r="N43" i="5"/>
  <c r="F43" i="5"/>
  <c r="L43" i="5"/>
  <c r="O47" i="5"/>
  <c r="K47" i="5"/>
  <c r="G47" i="5"/>
  <c r="M47" i="5"/>
  <c r="I47" i="5"/>
  <c r="E47" i="5"/>
  <c r="J47" i="5"/>
  <c r="H47" i="5"/>
  <c r="N47" i="5"/>
  <c r="F47" i="5"/>
  <c r="L47" i="5"/>
  <c r="O51" i="5"/>
  <c r="K51" i="5"/>
  <c r="G51" i="5"/>
  <c r="N51" i="5"/>
  <c r="J51" i="5"/>
  <c r="F51" i="5"/>
  <c r="M51" i="5"/>
  <c r="I51" i="5"/>
  <c r="E51" i="5"/>
  <c r="L51" i="5"/>
  <c r="H51" i="5"/>
  <c r="O55" i="5"/>
  <c r="K55" i="5"/>
  <c r="G55" i="5"/>
  <c r="N55" i="5"/>
  <c r="J55" i="5"/>
  <c r="F55" i="5"/>
  <c r="M55" i="5"/>
  <c r="I55" i="5"/>
  <c r="E55" i="5"/>
  <c r="L55" i="5"/>
  <c r="H55" i="5"/>
  <c r="O59" i="5"/>
  <c r="K59" i="5"/>
  <c r="G59" i="5"/>
  <c r="N59" i="5"/>
  <c r="J59" i="5"/>
  <c r="F59" i="5"/>
  <c r="M59" i="5"/>
  <c r="I59" i="5"/>
  <c r="E59" i="5"/>
  <c r="L59" i="5"/>
  <c r="H59" i="5"/>
  <c r="O63" i="5"/>
  <c r="K63" i="5"/>
  <c r="G63" i="5"/>
  <c r="N63" i="5"/>
  <c r="J63" i="5"/>
  <c r="F63" i="5"/>
  <c r="M63" i="5"/>
  <c r="I63" i="5"/>
  <c r="E63" i="5"/>
  <c r="L63" i="5"/>
  <c r="H63" i="5"/>
  <c r="O67" i="5"/>
  <c r="K67" i="5"/>
  <c r="G67" i="5"/>
  <c r="N67" i="5"/>
  <c r="J67" i="5"/>
  <c r="F67" i="5"/>
  <c r="M67" i="5"/>
  <c r="I67" i="5"/>
  <c r="E67" i="5"/>
  <c r="L67" i="5"/>
  <c r="H67" i="5"/>
  <c r="A6" i="9"/>
  <c r="B7" i="9"/>
  <c r="A10" i="9"/>
  <c r="B11" i="9"/>
  <c r="A14" i="9"/>
  <c r="B15" i="9"/>
  <c r="A18" i="9"/>
  <c r="B19" i="9"/>
  <c r="A22" i="9"/>
  <c r="B23" i="9"/>
  <c r="A26" i="9"/>
  <c r="B27" i="9"/>
  <c r="A30" i="9"/>
  <c r="B31" i="9"/>
  <c r="A34" i="9"/>
  <c r="B35" i="9"/>
  <c r="A38" i="9"/>
  <c r="B39" i="9"/>
  <c r="A42" i="9"/>
  <c r="B43" i="9"/>
  <c r="A46" i="9"/>
  <c r="B47" i="9"/>
  <c r="A50" i="9"/>
  <c r="B51" i="9"/>
  <c r="A54" i="9"/>
  <c r="B55" i="9"/>
  <c r="A58" i="9"/>
  <c r="B59" i="9"/>
  <c r="A62" i="9"/>
  <c r="B63" i="9"/>
  <c r="A66" i="9"/>
  <c r="B67" i="9"/>
  <c r="A70" i="9"/>
  <c r="B71" i="9"/>
  <c r="A74" i="9"/>
  <c r="B75" i="9"/>
  <c r="A78" i="9"/>
  <c r="B79" i="9"/>
  <c r="A82" i="9"/>
  <c r="B83" i="9"/>
  <c r="A86" i="9"/>
  <c r="G86" i="9"/>
  <c r="B87" i="9"/>
  <c r="A90" i="9"/>
  <c r="B91" i="9"/>
  <c r="D93" i="9"/>
  <c r="A94" i="9"/>
  <c r="B95" i="9"/>
  <c r="D97" i="9"/>
  <c r="A98" i="9"/>
  <c r="B99" i="9"/>
  <c r="A102" i="9"/>
  <c r="B103" i="9"/>
  <c r="A106" i="9"/>
  <c r="B107" i="9"/>
  <c r="A110" i="9"/>
  <c r="B111" i="9"/>
  <c r="C112" i="9"/>
  <c r="D113" i="9"/>
  <c r="A114" i="9"/>
  <c r="B115" i="9"/>
  <c r="A118" i="9"/>
  <c r="B119" i="9"/>
  <c r="A122" i="9"/>
  <c r="B123" i="9"/>
  <c r="A126" i="9"/>
  <c r="B127" i="9"/>
  <c r="C128" i="9"/>
  <c r="D129" i="9"/>
  <c r="A130" i="9"/>
  <c r="B131" i="9"/>
  <c r="C132" i="9"/>
  <c r="A134" i="9"/>
  <c r="G134" i="9"/>
  <c r="B135" i="9"/>
  <c r="A138" i="9"/>
  <c r="G138" i="9"/>
  <c r="B139" i="9"/>
  <c r="D141" i="9"/>
  <c r="A142" i="9"/>
  <c r="B143" i="9"/>
  <c r="A146" i="9"/>
  <c r="B147" i="9"/>
  <c r="A150" i="9"/>
  <c r="G150" i="9"/>
  <c r="B151" i="9"/>
  <c r="A154" i="9"/>
  <c r="G154" i="9"/>
  <c r="B155" i="9"/>
  <c r="G157" i="9"/>
  <c r="J5" i="4"/>
  <c r="E5" i="4" s="1"/>
  <c r="D6" i="9" s="1"/>
  <c r="K17" i="4"/>
  <c r="G17" i="4" s="1"/>
  <c r="J23" i="4"/>
  <c r="E23" i="4" s="1"/>
  <c r="K25" i="4"/>
  <c r="G25" i="4" s="1"/>
  <c r="J31" i="4"/>
  <c r="E31" i="4" s="1"/>
  <c r="K33" i="4"/>
  <c r="G33" i="4" s="1"/>
  <c r="K39" i="4"/>
  <c r="G39" i="4" s="1"/>
  <c r="K41" i="4"/>
  <c r="G41" i="4" s="1"/>
  <c r="J44" i="4"/>
  <c r="E44" i="4" s="1"/>
  <c r="D49" i="4"/>
  <c r="J52" i="4"/>
  <c r="E52" i="4" s="1"/>
  <c r="D53" i="9" s="1"/>
  <c r="C4" i="4"/>
  <c r="C8" i="4"/>
  <c r="D8" i="4" s="1"/>
  <c r="C9" i="9" s="1"/>
  <c r="C12" i="4"/>
  <c r="D12" i="4" s="1"/>
  <c r="C16" i="4"/>
  <c r="J17" i="4"/>
  <c r="E17" i="4" s="1"/>
  <c r="D19" i="4"/>
  <c r="C20" i="4"/>
  <c r="J21" i="4"/>
  <c r="E21" i="4" s="1"/>
  <c r="D23" i="4"/>
  <c r="C24" i="9" s="1"/>
  <c r="C24" i="4"/>
  <c r="J25" i="4"/>
  <c r="E25" i="4" s="1"/>
  <c r="D27" i="4"/>
  <c r="C28" i="4"/>
  <c r="J29" i="4"/>
  <c r="E29" i="4" s="1"/>
  <c r="D31" i="4"/>
  <c r="C32" i="4"/>
  <c r="J33" i="4"/>
  <c r="E33" i="4" s="1"/>
  <c r="D35" i="4"/>
  <c r="C36" i="4"/>
  <c r="J37" i="4"/>
  <c r="E37" i="4" s="1"/>
  <c r="D39" i="4"/>
  <c r="C40" i="9" s="1"/>
  <c r="C40" i="4"/>
  <c r="J41" i="4"/>
  <c r="E41" i="4" s="1"/>
  <c r="K44" i="4"/>
  <c r="G44" i="4" s="1"/>
  <c r="J45" i="4"/>
  <c r="E45" i="4" s="1"/>
  <c r="J49" i="4"/>
  <c r="E49" i="4" s="1"/>
  <c r="J53" i="4"/>
  <c r="E53" i="4" s="1"/>
  <c r="D54" i="4"/>
  <c r="J57" i="4"/>
  <c r="E57" i="4" s="1"/>
  <c r="J62" i="4"/>
  <c r="E62" i="4" s="1"/>
  <c r="D64" i="4"/>
  <c r="J70" i="4"/>
  <c r="E70" i="4" s="1"/>
  <c r="D71" i="9" s="1"/>
  <c r="D72" i="4"/>
  <c r="C73" i="9" s="1"/>
  <c r="J78" i="4"/>
  <c r="E78" i="4" s="1"/>
  <c r="K80" i="4"/>
  <c r="G80" i="4" s="1"/>
  <c r="K5" i="4"/>
  <c r="G5" i="4" s="1"/>
  <c r="G6" i="9" s="1"/>
  <c r="K9" i="4"/>
  <c r="G9" i="4" s="1"/>
  <c r="G10" i="9" s="1"/>
  <c r="K13" i="4"/>
  <c r="G13" i="4" s="1"/>
  <c r="G14" i="9" s="1"/>
  <c r="J50" i="4"/>
  <c r="E50" i="4" s="1"/>
  <c r="C55" i="4"/>
  <c r="K55" i="4" s="1"/>
  <c r="G55" i="4" s="1"/>
  <c r="K57" i="4"/>
  <c r="G57" i="4" s="1"/>
  <c r="J60" i="4"/>
  <c r="E60" i="4" s="1"/>
  <c r="K62" i="4"/>
  <c r="G62" i="4" s="1"/>
  <c r="J68" i="4"/>
  <c r="E68" i="4" s="1"/>
  <c r="D69" i="9" s="1"/>
  <c r="K70" i="4"/>
  <c r="G70" i="4" s="1"/>
  <c r="J76" i="4"/>
  <c r="E76" i="4" s="1"/>
  <c r="K78" i="4"/>
  <c r="G78" i="4" s="1"/>
  <c r="K86" i="4"/>
  <c r="G86" i="4" s="1"/>
  <c r="G87" i="9" s="1"/>
  <c r="K94" i="4"/>
  <c r="G94" i="4" s="1"/>
  <c r="G95" i="9" s="1"/>
  <c r="K110" i="4"/>
  <c r="G110" i="4" s="1"/>
  <c r="G111" i="9" s="1"/>
  <c r="K118" i="4"/>
  <c r="G118" i="4" s="1"/>
  <c r="C6" i="4"/>
  <c r="D6" i="4" s="1"/>
  <c r="C7" i="9" s="1"/>
  <c r="C10" i="4"/>
  <c r="J10" i="4" s="1"/>
  <c r="E10" i="4" s="1"/>
  <c r="C14" i="4"/>
  <c r="J14" i="4" s="1"/>
  <c r="E14" i="4" s="1"/>
  <c r="C18" i="4"/>
  <c r="D18" i="4" s="1"/>
  <c r="C22" i="4"/>
  <c r="J22" i="4" s="1"/>
  <c r="E22" i="4" s="1"/>
  <c r="C26" i="4"/>
  <c r="D26" i="4" s="1"/>
  <c r="C30" i="4"/>
  <c r="J30" i="4" s="1"/>
  <c r="E30" i="4" s="1"/>
  <c r="C34" i="4"/>
  <c r="C38" i="4"/>
  <c r="D38" i="4" s="1"/>
  <c r="J39" i="4"/>
  <c r="E39" i="4" s="1"/>
  <c r="C42" i="4"/>
  <c r="D42" i="4" s="1"/>
  <c r="J43" i="4"/>
  <c r="E43" i="4" s="1"/>
  <c r="C46" i="4"/>
  <c r="D46" i="4" s="1"/>
  <c r="C50" i="4"/>
  <c r="D50" i="4" s="1"/>
  <c r="K50" i="4"/>
  <c r="G50" i="4" s="1"/>
  <c r="J54" i="4"/>
  <c r="E54" i="4" s="1"/>
  <c r="D55" i="9" s="1"/>
  <c r="J56" i="4"/>
  <c r="E56" i="4" s="1"/>
  <c r="J58" i="4"/>
  <c r="E58" i="4" s="1"/>
  <c r="D60" i="4"/>
  <c r="J66" i="4"/>
  <c r="E66" i="4" s="1"/>
  <c r="D68" i="4"/>
  <c r="J74" i="4"/>
  <c r="E74" i="4" s="1"/>
  <c r="D75" i="9" s="1"/>
  <c r="D76" i="4"/>
  <c r="D79" i="4"/>
  <c r="C7" i="4"/>
  <c r="D7" i="4" s="1"/>
  <c r="C8" i="9" s="1"/>
  <c r="C11" i="4"/>
  <c r="K11" i="4" s="1"/>
  <c r="G11" i="4" s="1"/>
  <c r="C15" i="4"/>
  <c r="D15" i="4" s="1"/>
  <c r="C47" i="4"/>
  <c r="D47" i="4" s="1"/>
  <c r="C51" i="4"/>
  <c r="K54" i="4"/>
  <c r="G54" i="4" s="1"/>
  <c r="K56" i="4"/>
  <c r="G56" i="4" s="1"/>
  <c r="K58" i="4"/>
  <c r="G58" i="4" s="1"/>
  <c r="J64" i="4"/>
  <c r="E64" i="4" s="1"/>
  <c r="D65" i="9" s="1"/>
  <c r="K66" i="4"/>
  <c r="G66" i="4" s="1"/>
  <c r="J72" i="4"/>
  <c r="E72" i="4" s="1"/>
  <c r="K74" i="4"/>
  <c r="G74" i="4" s="1"/>
  <c r="K82" i="4"/>
  <c r="G82" i="4" s="1"/>
  <c r="K90" i="4"/>
  <c r="G90" i="4" s="1"/>
  <c r="G91" i="9" s="1"/>
  <c r="K106" i="4"/>
  <c r="G106" i="4" s="1"/>
  <c r="G107" i="9" s="1"/>
  <c r="D58" i="4"/>
  <c r="C59" i="4"/>
  <c r="J59" i="4" s="1"/>
  <c r="E59" i="4" s="1"/>
  <c r="D62" i="4"/>
  <c r="C63" i="4"/>
  <c r="J63" i="4" s="1"/>
  <c r="E63" i="4" s="1"/>
  <c r="D20" i="9" s="1"/>
  <c r="D66" i="4"/>
  <c r="C67" i="4"/>
  <c r="J67" i="4" s="1"/>
  <c r="E67" i="4" s="1"/>
  <c r="K67" i="4"/>
  <c r="G67" i="4" s="1"/>
  <c r="D70" i="4"/>
  <c r="C71" i="4"/>
  <c r="D74" i="4"/>
  <c r="C75" i="4"/>
  <c r="K75" i="4" s="1"/>
  <c r="G75" i="4" s="1"/>
  <c r="D78" i="4"/>
  <c r="C79" i="4"/>
  <c r="D80" i="4"/>
  <c r="J82" i="4"/>
  <c r="E82" i="4" s="1"/>
  <c r="J86" i="4"/>
  <c r="E86" i="4" s="1"/>
  <c r="D87" i="9" s="1"/>
  <c r="D92" i="4"/>
  <c r="J96" i="4"/>
  <c r="E96" i="4" s="1"/>
  <c r="C99" i="4"/>
  <c r="J99" i="4" s="1"/>
  <c r="E99" i="4" s="1"/>
  <c r="D100" i="9" s="1"/>
  <c r="J102" i="4"/>
  <c r="E102" i="4" s="1"/>
  <c r="D108" i="4"/>
  <c r="J112" i="4"/>
  <c r="E112" i="4" s="1"/>
  <c r="C115" i="4"/>
  <c r="J115" i="4" s="1"/>
  <c r="E115" i="4" s="1"/>
  <c r="D116" i="9" s="1"/>
  <c r="J118" i="4"/>
  <c r="E118" i="4" s="1"/>
  <c r="D31" i="9" s="1"/>
  <c r="K145" i="4"/>
  <c r="G145" i="4" s="1"/>
  <c r="G146" i="9" s="1"/>
  <c r="K161" i="4"/>
  <c r="G161" i="4" s="1"/>
  <c r="G162" i="9" s="1"/>
  <c r="K60" i="4"/>
  <c r="G60" i="4" s="1"/>
  <c r="K64" i="4"/>
  <c r="G64" i="4" s="1"/>
  <c r="D67" i="4"/>
  <c r="K68" i="4"/>
  <c r="G68" i="4" s="1"/>
  <c r="G69" i="9" s="1"/>
  <c r="K72" i="4"/>
  <c r="G72" i="4" s="1"/>
  <c r="K76" i="4"/>
  <c r="G76" i="4" s="1"/>
  <c r="C83" i="4"/>
  <c r="K83" i="4" s="1"/>
  <c r="G83" i="4" s="1"/>
  <c r="G84" i="9" s="1"/>
  <c r="C87" i="4"/>
  <c r="J90" i="4"/>
  <c r="E90" i="4" s="1"/>
  <c r="D91" i="9" s="1"/>
  <c r="D96" i="4"/>
  <c r="C43" i="9" s="1"/>
  <c r="J100" i="4"/>
  <c r="E100" i="4" s="1"/>
  <c r="D101" i="9" s="1"/>
  <c r="C103" i="4"/>
  <c r="J106" i="4"/>
  <c r="E106" i="4" s="1"/>
  <c r="D112" i="4"/>
  <c r="J116" i="4"/>
  <c r="E116" i="4" s="1"/>
  <c r="D117" i="9" s="1"/>
  <c r="C119" i="4"/>
  <c r="J119" i="4" s="1"/>
  <c r="E119" i="4" s="1"/>
  <c r="J123" i="4"/>
  <c r="E123" i="4" s="1"/>
  <c r="J133" i="4"/>
  <c r="E133" i="4" s="1"/>
  <c r="D134" i="9" s="1"/>
  <c r="K136" i="4"/>
  <c r="G136" i="4" s="1"/>
  <c r="G137" i="9" s="1"/>
  <c r="C61" i="4"/>
  <c r="D61" i="4" s="1"/>
  <c r="C65" i="4"/>
  <c r="D65" i="4" s="1"/>
  <c r="C22" i="9" s="1"/>
  <c r="C69" i="4"/>
  <c r="D69" i="4" s="1"/>
  <c r="C73" i="4"/>
  <c r="D73" i="4" s="1"/>
  <c r="C77" i="4"/>
  <c r="D77" i="4" s="1"/>
  <c r="J80" i="4"/>
  <c r="E80" i="4" s="1"/>
  <c r="J84" i="4"/>
  <c r="E84" i="4" s="1"/>
  <c r="D85" i="9" s="1"/>
  <c r="J88" i="4"/>
  <c r="E88" i="4" s="1"/>
  <c r="D89" i="9" s="1"/>
  <c r="C91" i="4"/>
  <c r="J94" i="4"/>
  <c r="E94" i="4" s="1"/>
  <c r="D100" i="4"/>
  <c r="C101" i="9" s="1"/>
  <c r="J104" i="4"/>
  <c r="E104" i="4" s="1"/>
  <c r="D105" i="9" s="1"/>
  <c r="C107" i="4"/>
  <c r="J107" i="4" s="1"/>
  <c r="E107" i="4" s="1"/>
  <c r="J110" i="4"/>
  <c r="E110" i="4" s="1"/>
  <c r="D116" i="4"/>
  <c r="J120" i="4"/>
  <c r="E120" i="4" s="1"/>
  <c r="J140" i="4"/>
  <c r="E140" i="4" s="1"/>
  <c r="K141" i="4"/>
  <c r="G141" i="4" s="1"/>
  <c r="G142" i="9" s="1"/>
  <c r="K157" i="4"/>
  <c r="G157" i="4" s="1"/>
  <c r="G158" i="9" s="1"/>
  <c r="K173" i="4"/>
  <c r="G173" i="4" s="1"/>
  <c r="C81" i="4"/>
  <c r="D81" i="4" s="1"/>
  <c r="D84" i="4"/>
  <c r="C85" i="9" s="1"/>
  <c r="K84" i="4"/>
  <c r="G84" i="4" s="1"/>
  <c r="G85" i="9" s="1"/>
  <c r="C85" i="4"/>
  <c r="K85" i="4" s="1"/>
  <c r="G85" i="4" s="1"/>
  <c r="D88" i="4"/>
  <c r="C89" i="9" s="1"/>
  <c r="J92" i="4"/>
  <c r="E92" i="4" s="1"/>
  <c r="C95" i="4"/>
  <c r="J95" i="4" s="1"/>
  <c r="E95" i="4" s="1"/>
  <c r="J98" i="4"/>
  <c r="E98" i="4" s="1"/>
  <c r="D99" i="9" s="1"/>
  <c r="D104" i="4"/>
  <c r="C105" i="9" s="1"/>
  <c r="J108" i="4"/>
  <c r="E108" i="4" s="1"/>
  <c r="D109" i="9" s="1"/>
  <c r="C111" i="4"/>
  <c r="J111" i="4" s="1"/>
  <c r="E111" i="4" s="1"/>
  <c r="J114" i="4"/>
  <c r="E114" i="4" s="1"/>
  <c r="D115" i="9" s="1"/>
  <c r="D120" i="4"/>
  <c r="C121" i="4"/>
  <c r="J121" i="4" s="1"/>
  <c r="E121" i="4" s="1"/>
  <c r="J125" i="4"/>
  <c r="E125" i="4" s="1"/>
  <c r="D54" i="9" s="1"/>
  <c r="J128" i="4"/>
  <c r="E128" i="4" s="1"/>
  <c r="K129" i="4"/>
  <c r="G129" i="4" s="1"/>
  <c r="G130" i="9" s="1"/>
  <c r="K131" i="4"/>
  <c r="G131" i="4" s="1"/>
  <c r="C146" i="4"/>
  <c r="J149" i="4"/>
  <c r="E149" i="4" s="1"/>
  <c r="K152" i="4"/>
  <c r="G152" i="4" s="1"/>
  <c r="J156" i="4"/>
  <c r="E156" i="4" s="1"/>
  <c r="D157" i="9" s="1"/>
  <c r="C162" i="4"/>
  <c r="J165" i="4"/>
  <c r="E165" i="4" s="1"/>
  <c r="D166" i="9" s="1"/>
  <c r="K168" i="4"/>
  <c r="G168" i="4" s="1"/>
  <c r="G169" i="9" s="1"/>
  <c r="J172" i="4"/>
  <c r="E172" i="4" s="1"/>
  <c r="D173" i="9" s="1"/>
  <c r="D177" i="4"/>
  <c r="C178" i="4"/>
  <c r="D178" i="4" s="1"/>
  <c r="J181" i="4"/>
  <c r="E181" i="4" s="1"/>
  <c r="K184" i="4"/>
  <c r="G184" i="4" s="1"/>
  <c r="J188" i="4"/>
  <c r="E188" i="4" s="1"/>
  <c r="D189" i="9" s="1"/>
  <c r="K197" i="4"/>
  <c r="G197" i="4" s="1"/>
  <c r="G198" i="9" s="1"/>
  <c r="J201" i="4"/>
  <c r="E201" i="4" s="1"/>
  <c r="D202" i="9" s="1"/>
  <c r="D207" i="4"/>
  <c r="C214" i="4"/>
  <c r="K217" i="4"/>
  <c r="G217" i="4" s="1"/>
  <c r="G218" i="9" s="1"/>
  <c r="D227" i="4"/>
  <c r="C228" i="9" s="1"/>
  <c r="D82" i="4"/>
  <c r="C83" i="9" s="1"/>
  <c r="D86" i="4"/>
  <c r="C87" i="9" s="1"/>
  <c r="D90" i="4"/>
  <c r="C91" i="9" s="1"/>
  <c r="D94" i="4"/>
  <c r="D98" i="4"/>
  <c r="C99" i="9" s="1"/>
  <c r="D102" i="4"/>
  <c r="C103" i="9" s="1"/>
  <c r="D106" i="4"/>
  <c r="C107" i="9" s="1"/>
  <c r="D110" i="4"/>
  <c r="D114" i="4"/>
  <c r="D118" i="4"/>
  <c r="C122" i="4"/>
  <c r="K123" i="4"/>
  <c r="G123" i="4" s="1"/>
  <c r="C126" i="4"/>
  <c r="K128" i="4"/>
  <c r="G128" i="4" s="1"/>
  <c r="G129" i="9" s="1"/>
  <c r="C134" i="4"/>
  <c r="J134" i="4" s="1"/>
  <c r="E134" i="4" s="1"/>
  <c r="D135" i="9" s="1"/>
  <c r="J137" i="4"/>
  <c r="E137" i="4" s="1"/>
  <c r="K140" i="4"/>
  <c r="G140" i="4" s="1"/>
  <c r="G141" i="9" s="1"/>
  <c r="J144" i="4"/>
  <c r="E144" i="4" s="1"/>
  <c r="D145" i="9" s="1"/>
  <c r="C150" i="4"/>
  <c r="J153" i="4"/>
  <c r="E153" i="4" s="1"/>
  <c r="K156" i="4"/>
  <c r="G156" i="4" s="1"/>
  <c r="J160" i="4"/>
  <c r="E160" i="4" s="1"/>
  <c r="D161" i="9" s="1"/>
  <c r="C166" i="4"/>
  <c r="J169" i="4"/>
  <c r="E169" i="4" s="1"/>
  <c r="K172" i="4"/>
  <c r="G172" i="4" s="1"/>
  <c r="J176" i="4"/>
  <c r="E176" i="4" s="1"/>
  <c r="D177" i="9" s="1"/>
  <c r="D181" i="4"/>
  <c r="C182" i="4"/>
  <c r="J182" i="4" s="1"/>
  <c r="E182" i="4" s="1"/>
  <c r="D183" i="9" s="1"/>
  <c r="J185" i="4"/>
  <c r="E185" i="4" s="1"/>
  <c r="D186" i="9" s="1"/>
  <c r="K188" i="4"/>
  <c r="G188" i="4" s="1"/>
  <c r="G189" i="9" s="1"/>
  <c r="D191" i="4"/>
  <c r="C192" i="9" s="1"/>
  <c r="C198" i="4"/>
  <c r="K198" i="4" s="1"/>
  <c r="G198" i="4" s="1"/>
  <c r="G199" i="9" s="1"/>
  <c r="J198" i="4"/>
  <c r="E198" i="4" s="1"/>
  <c r="D199" i="9" s="1"/>
  <c r="K201" i="4"/>
  <c r="G201" i="4" s="1"/>
  <c r="J211" i="4"/>
  <c r="E211" i="4" s="1"/>
  <c r="D212" i="9" s="1"/>
  <c r="K88" i="4"/>
  <c r="G88" i="4" s="1"/>
  <c r="G89" i="9" s="1"/>
  <c r="K92" i="4"/>
  <c r="G92" i="4" s="1"/>
  <c r="G93" i="9" s="1"/>
  <c r="K96" i="4"/>
  <c r="G96" i="4" s="1"/>
  <c r="K100" i="4"/>
  <c r="G100" i="4" s="1"/>
  <c r="K104" i="4"/>
  <c r="G104" i="4" s="1"/>
  <c r="G105" i="9" s="1"/>
  <c r="K108" i="4"/>
  <c r="G108" i="4" s="1"/>
  <c r="G109" i="9" s="1"/>
  <c r="K112" i="4"/>
  <c r="G112" i="4" s="1"/>
  <c r="G113" i="9" s="1"/>
  <c r="K116" i="4"/>
  <c r="G116" i="4" s="1"/>
  <c r="K120" i="4"/>
  <c r="G120" i="4" s="1"/>
  <c r="K124" i="4"/>
  <c r="G124" i="4" s="1"/>
  <c r="J127" i="4"/>
  <c r="E127" i="4" s="1"/>
  <c r="D128" i="9" s="1"/>
  <c r="J129" i="4"/>
  <c r="E129" i="4" s="1"/>
  <c r="D130" i="9" s="1"/>
  <c r="J132" i="4"/>
  <c r="E132" i="4" s="1"/>
  <c r="D133" i="9" s="1"/>
  <c r="C138" i="4"/>
  <c r="J141" i="4"/>
  <c r="E141" i="4" s="1"/>
  <c r="D142" i="9" s="1"/>
  <c r="K144" i="4"/>
  <c r="G144" i="4" s="1"/>
  <c r="J148" i="4"/>
  <c r="E148" i="4" s="1"/>
  <c r="D149" i="9" s="1"/>
  <c r="C154" i="4"/>
  <c r="J154" i="4" s="1"/>
  <c r="E154" i="4" s="1"/>
  <c r="D155" i="9" s="1"/>
  <c r="J157" i="4"/>
  <c r="E157" i="4" s="1"/>
  <c r="D158" i="9" s="1"/>
  <c r="K160" i="4"/>
  <c r="G160" i="4" s="1"/>
  <c r="G161" i="9" s="1"/>
  <c r="J164" i="4"/>
  <c r="E164" i="4" s="1"/>
  <c r="D165" i="9" s="1"/>
  <c r="C170" i="4"/>
  <c r="J170" i="4" s="1"/>
  <c r="E170" i="4" s="1"/>
  <c r="D171" i="9" s="1"/>
  <c r="J173" i="4"/>
  <c r="E173" i="4" s="1"/>
  <c r="D174" i="9" s="1"/>
  <c r="K176" i="4"/>
  <c r="G176" i="4" s="1"/>
  <c r="G177" i="9" s="1"/>
  <c r="K177" i="4"/>
  <c r="G177" i="4" s="1"/>
  <c r="J178" i="4"/>
  <c r="E178" i="4" s="1"/>
  <c r="D179" i="9" s="1"/>
  <c r="J180" i="4"/>
  <c r="E180" i="4" s="1"/>
  <c r="D185" i="4"/>
  <c r="C186" i="9" s="1"/>
  <c r="C186" i="4"/>
  <c r="J186" i="4" s="1"/>
  <c r="E186" i="4" s="1"/>
  <c r="D187" i="9" s="1"/>
  <c r="D195" i="4"/>
  <c r="C196" i="9" s="1"/>
  <c r="S23" i="6"/>
  <c r="Q43" i="6"/>
  <c r="C89" i="4"/>
  <c r="D89" i="4" s="1"/>
  <c r="C90" i="9" s="1"/>
  <c r="C93" i="4"/>
  <c r="D93" i="4" s="1"/>
  <c r="C94" i="9" s="1"/>
  <c r="C97" i="4"/>
  <c r="C101" i="4"/>
  <c r="D101" i="4" s="1"/>
  <c r="C102" i="9" s="1"/>
  <c r="C105" i="4"/>
  <c r="D105" i="4" s="1"/>
  <c r="C109" i="4"/>
  <c r="D109" i="4" s="1"/>
  <c r="C113" i="4"/>
  <c r="C117" i="4"/>
  <c r="D117" i="4" s="1"/>
  <c r="K127" i="4"/>
  <c r="G127" i="4" s="1"/>
  <c r="C130" i="4"/>
  <c r="D130" i="4" s="1"/>
  <c r="C131" i="9" s="1"/>
  <c r="K132" i="4"/>
  <c r="G132" i="4" s="1"/>
  <c r="G133" i="9" s="1"/>
  <c r="J136" i="4"/>
  <c r="E136" i="4" s="1"/>
  <c r="D137" i="9" s="1"/>
  <c r="C142" i="4"/>
  <c r="J145" i="4"/>
  <c r="E145" i="4" s="1"/>
  <c r="K148" i="4"/>
  <c r="G148" i="4" s="1"/>
  <c r="G149" i="9" s="1"/>
  <c r="J152" i="4"/>
  <c r="E152" i="4" s="1"/>
  <c r="C158" i="4"/>
  <c r="J158" i="4" s="1"/>
  <c r="E158" i="4" s="1"/>
  <c r="D159" i="9" s="1"/>
  <c r="J161" i="4"/>
  <c r="E161" i="4" s="1"/>
  <c r="D162" i="9" s="1"/>
  <c r="K164" i="4"/>
  <c r="G164" i="4" s="1"/>
  <c r="G165" i="9" s="1"/>
  <c r="J168" i="4"/>
  <c r="E168" i="4" s="1"/>
  <c r="D169" i="9" s="1"/>
  <c r="C174" i="4"/>
  <c r="J174" i="4" s="1"/>
  <c r="E174" i="4" s="1"/>
  <c r="J177" i="4"/>
  <c r="E177" i="4" s="1"/>
  <c r="K180" i="4"/>
  <c r="G180" i="4" s="1"/>
  <c r="J184" i="4"/>
  <c r="E184" i="4" s="1"/>
  <c r="D185" i="9" s="1"/>
  <c r="K189" i="4"/>
  <c r="G189" i="4" s="1"/>
  <c r="G190" i="9" s="1"/>
  <c r="K213" i="4"/>
  <c r="G213" i="4" s="1"/>
  <c r="G214" i="9" s="1"/>
  <c r="J217" i="4"/>
  <c r="E217" i="4" s="1"/>
  <c r="D218" i="9" s="1"/>
  <c r="K223" i="4"/>
  <c r="G223" i="4" s="1"/>
  <c r="G224" i="9" s="1"/>
  <c r="D125" i="4"/>
  <c r="C54" i="9" s="1"/>
  <c r="D129" i="4"/>
  <c r="C130" i="9" s="1"/>
  <c r="J131" i="4"/>
  <c r="E131" i="4" s="1"/>
  <c r="D132" i="9" s="1"/>
  <c r="D133" i="4"/>
  <c r="C134" i="9" s="1"/>
  <c r="D137" i="4"/>
  <c r="C138" i="9" s="1"/>
  <c r="D141" i="4"/>
  <c r="C142" i="9" s="1"/>
  <c r="D145" i="4"/>
  <c r="D149" i="4"/>
  <c r="D153" i="4"/>
  <c r="C154" i="9" s="1"/>
  <c r="D157" i="4"/>
  <c r="C158" i="9" s="1"/>
  <c r="D161" i="4"/>
  <c r="D165" i="4"/>
  <c r="C166" i="9" s="1"/>
  <c r="D169" i="4"/>
  <c r="C170" i="9" s="1"/>
  <c r="D173" i="4"/>
  <c r="C66" i="9" s="1"/>
  <c r="J189" i="4"/>
  <c r="E189" i="4" s="1"/>
  <c r="D190" i="9" s="1"/>
  <c r="K195" i="4"/>
  <c r="G195" i="4" s="1"/>
  <c r="G196" i="9" s="1"/>
  <c r="D199" i="4"/>
  <c r="C200" i="9" s="1"/>
  <c r="C202" i="4"/>
  <c r="D202" i="4" s="1"/>
  <c r="J205" i="4"/>
  <c r="E205" i="4" s="1"/>
  <c r="D206" i="9" s="1"/>
  <c r="D211" i="4"/>
  <c r="D215" i="4"/>
  <c r="C218" i="4"/>
  <c r="K218" i="4" s="1"/>
  <c r="G218" i="4" s="1"/>
  <c r="G219" i="9" s="1"/>
  <c r="J221" i="4"/>
  <c r="E221" i="4" s="1"/>
  <c r="D222" i="9" s="1"/>
  <c r="K227" i="4"/>
  <c r="G227" i="4" s="1"/>
  <c r="G228" i="9" s="1"/>
  <c r="P45" i="6"/>
  <c r="J124" i="4"/>
  <c r="E124" i="4" s="1"/>
  <c r="D125" i="9" s="1"/>
  <c r="C135" i="4"/>
  <c r="C139" i="4"/>
  <c r="D139" i="4" s="1"/>
  <c r="C140" i="9" s="1"/>
  <c r="C143" i="4"/>
  <c r="D143" i="4" s="1"/>
  <c r="C144" i="9" s="1"/>
  <c r="C147" i="4"/>
  <c r="D147" i="4" s="1"/>
  <c r="C58" i="9" s="1"/>
  <c r="C151" i="4"/>
  <c r="C155" i="4"/>
  <c r="D155" i="4" s="1"/>
  <c r="C156" i="9" s="1"/>
  <c r="C159" i="4"/>
  <c r="D159" i="4" s="1"/>
  <c r="C160" i="9" s="1"/>
  <c r="C163" i="4"/>
  <c r="D163" i="4" s="1"/>
  <c r="C164" i="9" s="1"/>
  <c r="C167" i="4"/>
  <c r="C171" i="4"/>
  <c r="J171" i="4" s="1"/>
  <c r="E171" i="4" s="1"/>
  <c r="D172" i="9" s="1"/>
  <c r="C175" i="4"/>
  <c r="D175" i="4" s="1"/>
  <c r="C179" i="4"/>
  <c r="D179" i="4" s="1"/>
  <c r="C180" i="9" s="1"/>
  <c r="C183" i="4"/>
  <c r="D183" i="4" s="1"/>
  <c r="C187" i="4"/>
  <c r="D187" i="4" s="1"/>
  <c r="C188" i="9" s="1"/>
  <c r="C190" i="4"/>
  <c r="J190" i="4" s="1"/>
  <c r="E190" i="4" s="1"/>
  <c r="D191" i="9" s="1"/>
  <c r="J193" i="4"/>
  <c r="E193" i="4" s="1"/>
  <c r="D194" i="9" s="1"/>
  <c r="K199" i="4"/>
  <c r="G199" i="4" s="1"/>
  <c r="G200" i="9" s="1"/>
  <c r="J203" i="4"/>
  <c r="E203" i="4" s="1"/>
  <c r="C206" i="4"/>
  <c r="J209" i="4"/>
  <c r="E209" i="4" s="1"/>
  <c r="K215" i="4"/>
  <c r="G215" i="4" s="1"/>
  <c r="D219" i="4"/>
  <c r="C220" i="9" s="1"/>
  <c r="D221" i="4"/>
  <c r="C222" i="9" s="1"/>
  <c r="C222" i="4"/>
  <c r="J225" i="4"/>
  <c r="E225" i="4" s="1"/>
  <c r="V51" i="6"/>
  <c r="J191" i="4"/>
  <c r="E191" i="4" s="1"/>
  <c r="D192" i="9" s="1"/>
  <c r="C194" i="4"/>
  <c r="J194" i="4" s="1"/>
  <c r="E194" i="4" s="1"/>
  <c r="D195" i="9" s="1"/>
  <c r="J197" i="4"/>
  <c r="E197" i="4" s="1"/>
  <c r="D198" i="9" s="1"/>
  <c r="D203" i="4"/>
  <c r="J207" i="4"/>
  <c r="E207" i="4" s="1"/>
  <c r="D208" i="9" s="1"/>
  <c r="C210" i="4"/>
  <c r="J210" i="4" s="1"/>
  <c r="E210" i="4" s="1"/>
  <c r="D211" i="9" s="1"/>
  <c r="J213" i="4"/>
  <c r="E213" i="4" s="1"/>
  <c r="D214" i="9" s="1"/>
  <c r="K219" i="4"/>
  <c r="G219" i="4" s="1"/>
  <c r="G220" i="9" s="1"/>
  <c r="D223" i="4"/>
  <c r="C224" i="9" s="1"/>
  <c r="D225" i="4"/>
  <c r="C226" i="4"/>
  <c r="J226" i="4" s="1"/>
  <c r="E226" i="4" s="1"/>
  <c r="D227" i="9" s="1"/>
  <c r="D189" i="4"/>
  <c r="D193" i="4"/>
  <c r="J195" i="4"/>
  <c r="E195" i="4" s="1"/>
  <c r="D196" i="9" s="1"/>
  <c r="D197" i="4"/>
  <c r="C198" i="9" s="1"/>
  <c r="J199" i="4"/>
  <c r="E199" i="4" s="1"/>
  <c r="D200" i="9" s="1"/>
  <c r="D201" i="4"/>
  <c r="D205" i="4"/>
  <c r="D209" i="4"/>
  <c r="D213" i="4"/>
  <c r="C214" i="9" s="1"/>
  <c r="J215" i="4"/>
  <c r="E215" i="4" s="1"/>
  <c r="D216" i="9" s="1"/>
  <c r="D217" i="4"/>
  <c r="C218" i="9" s="1"/>
  <c r="J219" i="4"/>
  <c r="E219" i="4" s="1"/>
  <c r="D220" i="9" s="1"/>
  <c r="J223" i="4"/>
  <c r="E223" i="4" s="1"/>
  <c r="D224" i="9" s="1"/>
  <c r="J227" i="4"/>
  <c r="E227" i="4" s="1"/>
  <c r="D228" i="9" s="1"/>
  <c r="F13" i="6"/>
  <c r="B33" i="6"/>
  <c r="K191" i="4"/>
  <c r="G191" i="4" s="1"/>
  <c r="G192" i="9" s="1"/>
  <c r="J200" i="4"/>
  <c r="E200" i="4" s="1"/>
  <c r="D201" i="9" s="1"/>
  <c r="K203" i="4"/>
  <c r="G203" i="4" s="1"/>
  <c r="G204" i="9" s="1"/>
  <c r="K207" i="4"/>
  <c r="G207" i="4" s="1"/>
  <c r="K211" i="4"/>
  <c r="G211" i="4" s="1"/>
  <c r="G212" i="9" s="1"/>
  <c r="J216" i="4"/>
  <c r="E216" i="4" s="1"/>
  <c r="D217" i="9" s="1"/>
  <c r="N22" i="6"/>
  <c r="S40" i="6"/>
  <c r="N44" i="6"/>
  <c r="C192" i="4"/>
  <c r="D192" i="4" s="1"/>
  <c r="C193" i="9" s="1"/>
  <c r="C196" i="4"/>
  <c r="D196" i="4" s="1"/>
  <c r="C197" i="9" s="1"/>
  <c r="C200" i="4"/>
  <c r="C204" i="4"/>
  <c r="D204" i="4" s="1"/>
  <c r="C208" i="4"/>
  <c r="D208" i="4" s="1"/>
  <c r="C209" i="9" s="1"/>
  <c r="C212" i="4"/>
  <c r="D212" i="4" s="1"/>
  <c r="C213" i="9" s="1"/>
  <c r="C216" i="4"/>
  <c r="C220" i="4"/>
  <c r="C224" i="4"/>
  <c r="D224" i="4" s="1"/>
  <c r="C225" i="9" s="1"/>
  <c r="D34" i="6"/>
  <c r="Q44" i="6"/>
  <c r="D22" i="6"/>
  <c r="P33" i="6"/>
  <c r="D45" i="6"/>
  <c r="N42" i="10"/>
  <c r="P41" i="10"/>
  <c r="Q13" i="6"/>
  <c r="Q29" i="6"/>
  <c r="I43" i="6"/>
  <c r="I51" i="6"/>
  <c r="R12" i="6"/>
  <c r="R35" i="6"/>
  <c r="B51" i="6"/>
  <c r="N22" i="11"/>
  <c r="J61" i="4" l="1"/>
  <c r="E61" i="4" s="1"/>
  <c r="J11" i="6"/>
  <c r="D170" i="4"/>
  <c r="C171" i="9" s="1"/>
  <c r="J6" i="4"/>
  <c r="E6" i="4" s="1"/>
  <c r="D7" i="9" s="1"/>
  <c r="J23" i="6"/>
  <c r="J55" i="4"/>
  <c r="E55" i="4" s="1"/>
  <c r="F24" i="6"/>
  <c r="D218" i="4"/>
  <c r="C219" i="9" s="1"/>
  <c r="J183" i="4"/>
  <c r="E183" i="4" s="1"/>
  <c r="D184" i="9" s="1"/>
  <c r="D83" i="4"/>
  <c r="J77" i="4"/>
  <c r="E77" i="4" s="1"/>
  <c r="K18" i="4"/>
  <c r="G18" i="4" s="1"/>
  <c r="J7" i="4"/>
  <c r="E7" i="4" s="1"/>
  <c r="D8" i="9" s="1"/>
  <c r="J46" i="4"/>
  <c r="E46" i="4" s="1"/>
  <c r="C20" i="11"/>
  <c r="K186" i="4"/>
  <c r="G186" i="4" s="1"/>
  <c r="G187" i="9" s="1"/>
  <c r="K182" i="4"/>
  <c r="G182" i="4" s="1"/>
  <c r="G183" i="9" s="1"/>
  <c r="D121" i="4"/>
  <c r="C34" i="9" s="1"/>
  <c r="D111" i="4"/>
  <c r="K81" i="4"/>
  <c r="G81" i="4" s="1"/>
  <c r="K46" i="4"/>
  <c r="G46" i="4" s="1"/>
  <c r="K26" i="4"/>
  <c r="G26" i="4" s="1"/>
  <c r="K6" i="4"/>
  <c r="G6" i="4" s="1"/>
  <c r="G7" i="9" s="1"/>
  <c r="D14" i="9"/>
  <c r="G73" i="9"/>
  <c r="G181" i="9"/>
  <c r="T43" i="6"/>
  <c r="P23" i="6"/>
  <c r="D126" i="9"/>
  <c r="O33" i="11"/>
  <c r="N33" i="11"/>
  <c r="C32" i="11"/>
  <c r="B45" i="6"/>
  <c r="R33" i="6"/>
  <c r="F22" i="6"/>
  <c r="B33" i="11"/>
  <c r="I45" i="6"/>
  <c r="Q34" i="6"/>
  <c r="E23" i="6"/>
  <c r="Q11" i="6"/>
  <c r="D51" i="6"/>
  <c r="P35" i="6"/>
  <c r="D24" i="6"/>
  <c r="P12" i="6"/>
  <c r="F34" i="6"/>
  <c r="Q22" i="6"/>
  <c r="O46" i="6"/>
  <c r="S44" i="6"/>
  <c r="O24" i="6"/>
  <c r="S22" i="6"/>
  <c r="C35" i="6"/>
  <c r="G33" i="6"/>
  <c r="D13" i="6"/>
  <c r="H11" i="6"/>
  <c r="C80" i="9"/>
  <c r="C206" i="9"/>
  <c r="T41" i="6"/>
  <c r="C78" i="9"/>
  <c r="C204" i="9"/>
  <c r="Q51" i="6"/>
  <c r="T51" i="6"/>
  <c r="R45" i="6"/>
  <c r="N23" i="6"/>
  <c r="D84" i="9"/>
  <c r="D210" i="9"/>
  <c r="C150" i="9"/>
  <c r="D63" i="9"/>
  <c r="D153" i="9"/>
  <c r="C30" i="9"/>
  <c r="C118" i="9"/>
  <c r="G70" i="9"/>
  <c r="G178" i="9"/>
  <c r="G53" i="9"/>
  <c r="G125" i="9"/>
  <c r="C119" i="9"/>
  <c r="C70" i="9"/>
  <c r="C178" i="9"/>
  <c r="C45" i="9"/>
  <c r="C117" i="9"/>
  <c r="O23" i="6"/>
  <c r="U23" i="6"/>
  <c r="S45" i="6"/>
  <c r="N45" i="6"/>
  <c r="S51" i="6"/>
  <c r="N51" i="6"/>
  <c r="G11" i="6"/>
  <c r="B11" i="6"/>
  <c r="C13" i="6"/>
  <c r="H33" i="6"/>
  <c r="J33" i="6"/>
  <c r="D35" i="6"/>
  <c r="F35" i="6"/>
  <c r="T22" i="6"/>
  <c r="V22" i="6"/>
  <c r="P24" i="6"/>
  <c r="R24" i="6"/>
  <c r="T44" i="6"/>
  <c r="V44" i="6"/>
  <c r="P46" i="6"/>
  <c r="R46" i="6"/>
  <c r="C31" i="11"/>
  <c r="D12" i="6"/>
  <c r="F12" i="6"/>
  <c r="I33" i="6"/>
  <c r="C34" i="6"/>
  <c r="I35" i="6"/>
  <c r="P11" i="6"/>
  <c r="P13" i="6"/>
  <c r="D23" i="6"/>
  <c r="P30" i="6"/>
  <c r="P34" i="6"/>
  <c r="D44" i="6"/>
  <c r="D46" i="6"/>
  <c r="Q12" i="6"/>
  <c r="E22" i="6"/>
  <c r="E24" i="6"/>
  <c r="Q33" i="6"/>
  <c r="Q35" i="6"/>
  <c r="I44" i="6"/>
  <c r="I46" i="6"/>
  <c r="B22" i="11"/>
  <c r="R11" i="6"/>
  <c r="R13" i="6"/>
  <c r="F23" i="6"/>
  <c r="N32" i="6"/>
  <c r="R34" i="6"/>
  <c r="B44" i="6"/>
  <c r="B46" i="6"/>
  <c r="C21" i="11"/>
  <c r="N20" i="11"/>
  <c r="N31" i="11"/>
  <c r="I22" i="6"/>
  <c r="U35" i="6"/>
  <c r="E51" i="6"/>
  <c r="N12" i="6"/>
  <c r="B22" i="6"/>
  <c r="N33" i="6"/>
  <c r="F44" i="6"/>
  <c r="F46" i="6"/>
  <c r="N21" i="11"/>
  <c r="V13" i="6"/>
  <c r="O32" i="11"/>
  <c r="T23" i="6"/>
  <c r="V23" i="6"/>
  <c r="Q23" i="6"/>
  <c r="O45" i="6"/>
  <c r="U45" i="6"/>
  <c r="S39" i="6"/>
  <c r="O51" i="6"/>
  <c r="U51" i="6"/>
  <c r="C11" i="6"/>
  <c r="H13" i="6"/>
  <c r="J13" i="6"/>
  <c r="D33" i="6"/>
  <c r="F33" i="6"/>
  <c r="G35" i="6"/>
  <c r="B35" i="6"/>
  <c r="P22" i="6"/>
  <c r="R22" i="6"/>
  <c r="S24" i="6"/>
  <c r="N24" i="6"/>
  <c r="P44" i="6"/>
  <c r="R44" i="6"/>
  <c r="S46" i="6"/>
  <c r="N46" i="6"/>
  <c r="B31" i="11"/>
  <c r="G12" i="6"/>
  <c r="B12" i="6"/>
  <c r="H34" i="6"/>
  <c r="J34" i="6"/>
  <c r="Q40" i="6"/>
  <c r="T11" i="6"/>
  <c r="T13" i="6"/>
  <c r="H23" i="6"/>
  <c r="T32" i="6"/>
  <c r="T34" i="6"/>
  <c r="H44" i="6"/>
  <c r="H46" i="6"/>
  <c r="U12" i="6"/>
  <c r="I24" i="6"/>
  <c r="U33" i="6"/>
  <c r="E45" i="6"/>
  <c r="C33" i="11"/>
  <c r="B24" i="6"/>
  <c r="N35" i="6"/>
  <c r="B21" i="11"/>
  <c r="N32" i="11"/>
  <c r="I13" i="6"/>
  <c r="K22" i="11"/>
  <c r="K33" i="11"/>
  <c r="E13" i="6"/>
  <c r="B32" i="11"/>
  <c r="F45" i="6"/>
  <c r="N34" i="6"/>
  <c r="B23" i="6"/>
  <c r="N11" i="6"/>
  <c r="E46" i="6"/>
  <c r="U34" i="6"/>
  <c r="I23" i="6"/>
  <c r="U11" i="6"/>
  <c r="H51" i="6"/>
  <c r="T35" i="6"/>
  <c r="H24" i="6"/>
  <c r="T12" i="6"/>
  <c r="B34" i="6"/>
  <c r="Q24" i="6"/>
  <c r="H12" i="6"/>
  <c r="V46" i="6"/>
  <c r="O44" i="6"/>
  <c r="V24" i="6"/>
  <c r="O22" i="6"/>
  <c r="J35" i="6"/>
  <c r="C33" i="6"/>
  <c r="G13" i="6"/>
  <c r="D11" i="6"/>
  <c r="C84" i="9"/>
  <c r="C210" i="9"/>
  <c r="Q41" i="6"/>
  <c r="P51" i="6"/>
  <c r="C68" i="9"/>
  <c r="C176" i="9"/>
  <c r="Q45" i="6"/>
  <c r="T45" i="6"/>
  <c r="C77" i="9"/>
  <c r="C203" i="9"/>
  <c r="C36" i="9"/>
  <c r="C146" i="9"/>
  <c r="N26" i="11"/>
  <c r="F51" i="6"/>
  <c r="F43" i="6"/>
  <c r="R29" i="6"/>
  <c r="N13" i="6"/>
  <c r="C22" i="11"/>
  <c r="E44" i="6"/>
  <c r="U31" i="6"/>
  <c r="U13" i="6"/>
  <c r="H45" i="6"/>
  <c r="T33" i="6"/>
  <c r="H22" i="6"/>
  <c r="Q46" i="6"/>
  <c r="G34" i="6"/>
  <c r="J12" i="6"/>
  <c r="B20" i="11"/>
  <c r="T46" i="6"/>
  <c r="O42" i="6"/>
  <c r="T24" i="6"/>
  <c r="H35" i="6"/>
  <c r="B13" i="6"/>
  <c r="F11" i="6"/>
  <c r="R51" i="6"/>
  <c r="V45" i="6"/>
  <c r="R23" i="6"/>
  <c r="G97" i="9"/>
  <c r="G76" i="9"/>
  <c r="G202" i="9"/>
  <c r="C74" i="9"/>
  <c r="C182" i="9"/>
  <c r="C71" i="9"/>
  <c r="C179" i="9"/>
  <c r="D60" i="9"/>
  <c r="D150" i="9"/>
  <c r="C121" i="9"/>
  <c r="G174" i="9"/>
  <c r="D121" i="9"/>
  <c r="D120" i="9"/>
  <c r="D18" i="9"/>
  <c r="C148" i="9"/>
  <c r="G119" i="9"/>
  <c r="D119" i="9"/>
  <c r="C24" i="6"/>
  <c r="C63" i="9"/>
  <c r="C79" i="9"/>
  <c r="C205" i="9"/>
  <c r="G82" i="9"/>
  <c r="G208" i="9"/>
  <c r="C202" i="9"/>
  <c r="D78" i="9"/>
  <c r="D204" i="9"/>
  <c r="D178" i="9"/>
  <c r="D56" i="9"/>
  <c r="G65" i="9"/>
  <c r="G173" i="9"/>
  <c r="C82" i="9"/>
  <c r="C208" i="9"/>
  <c r="D95" i="9"/>
  <c r="D32" i="9"/>
  <c r="C124" i="9"/>
  <c r="C153" i="9"/>
  <c r="U22" i="6"/>
  <c r="O21" i="11"/>
  <c r="U44" i="6"/>
  <c r="U24" i="6"/>
  <c r="J46" i="6"/>
  <c r="O20" i="11"/>
  <c r="C45" i="6"/>
  <c r="K31" i="11"/>
  <c r="O12" i="6"/>
  <c r="S12" i="6"/>
  <c r="V35" i="6"/>
  <c r="G31" i="11"/>
  <c r="K20" i="11"/>
  <c r="I34" i="6"/>
  <c r="G32" i="11"/>
  <c r="J21" i="11"/>
  <c r="K32" i="11"/>
  <c r="F32" i="11"/>
  <c r="E34" i="6"/>
  <c r="C22" i="6"/>
  <c r="C51" i="6"/>
  <c r="O13" i="6"/>
  <c r="G24" i="6"/>
  <c r="J32" i="11"/>
  <c r="J51" i="6"/>
  <c r="G54" i="9"/>
  <c r="D67" i="9"/>
  <c r="D73" i="9"/>
  <c r="G145" i="9"/>
  <c r="G117" i="9"/>
  <c r="D64" i="9"/>
  <c r="G124" i="9"/>
  <c r="C95" i="9"/>
  <c r="G63" i="9"/>
  <c r="D42" i="9"/>
  <c r="D96" i="9"/>
  <c r="D124" i="9"/>
  <c r="G56" i="9"/>
  <c r="G126" i="9"/>
  <c r="C16" i="9"/>
  <c r="C149" i="9"/>
  <c r="D146" i="9"/>
  <c r="C174" i="9"/>
  <c r="D182" i="9"/>
  <c r="G153" i="9"/>
  <c r="G46" i="6"/>
  <c r="E12" i="6"/>
  <c r="G23" i="6"/>
  <c r="J31" i="11"/>
  <c r="V34" i="6"/>
  <c r="P39" i="6"/>
  <c r="C55" i="9"/>
  <c r="S33" i="6"/>
  <c r="G22" i="11"/>
  <c r="F22" i="11"/>
  <c r="K21" i="11"/>
  <c r="U46" i="6"/>
  <c r="G51" i="6"/>
  <c r="F31" i="11"/>
  <c r="G45" i="6"/>
  <c r="S11" i="6"/>
  <c r="S13" i="6"/>
  <c r="O35" i="6"/>
  <c r="G44" i="6"/>
  <c r="C44" i="6"/>
  <c r="O31" i="11"/>
  <c r="J45" i="6"/>
  <c r="J22" i="6"/>
  <c r="J44" i="6"/>
  <c r="V12" i="6"/>
  <c r="J22" i="11"/>
  <c r="S34" i="6"/>
  <c r="V11" i="6"/>
  <c r="G21" i="11"/>
  <c r="J24" i="6"/>
  <c r="C46" i="6"/>
  <c r="O33" i="6"/>
  <c r="F20" i="11"/>
  <c r="S35" i="6"/>
  <c r="E11" i="6"/>
  <c r="O11" i="6"/>
  <c r="O34" i="6"/>
  <c r="F33" i="11"/>
  <c r="G22" i="6"/>
  <c r="O22" i="11"/>
  <c r="E35" i="6"/>
  <c r="I12" i="6"/>
  <c r="E33" i="6"/>
  <c r="G20" i="11"/>
  <c r="J33" i="11"/>
  <c r="F21" i="11"/>
  <c r="V33" i="6"/>
  <c r="G33" i="11"/>
  <c r="J20" i="11"/>
  <c r="I11" i="6"/>
  <c r="C23" i="6"/>
  <c r="J206" i="4"/>
  <c r="E206" i="4" s="1"/>
  <c r="D206" i="4"/>
  <c r="D122" i="4"/>
  <c r="K122" i="4"/>
  <c r="G122" i="4" s="1"/>
  <c r="K91" i="4"/>
  <c r="G91" i="4" s="1"/>
  <c r="G92" i="9" s="1"/>
  <c r="J91" i="4"/>
  <c r="E91" i="4" s="1"/>
  <c r="D92" i="9" s="1"/>
  <c r="D91" i="4"/>
  <c r="O29" i="6"/>
  <c r="O32" i="6"/>
  <c r="S29" i="6"/>
  <c r="V30" i="6"/>
  <c r="R31" i="6"/>
  <c r="B20" i="6"/>
  <c r="Q28" i="6"/>
  <c r="H42" i="6"/>
  <c r="P32" i="6"/>
  <c r="T6" i="6"/>
  <c r="T42" i="6"/>
  <c r="I8" i="6"/>
  <c r="U43" i="6"/>
  <c r="V10" i="6"/>
  <c r="K28" i="11"/>
  <c r="O30" i="6"/>
  <c r="J27" i="11"/>
  <c r="U40" i="6"/>
  <c r="O26" i="11"/>
  <c r="O27" i="11"/>
  <c r="O31" i="6"/>
  <c r="O29" i="11"/>
  <c r="S32" i="6"/>
  <c r="P43" i="6"/>
  <c r="R43" i="6"/>
  <c r="O39" i="6"/>
  <c r="U39" i="6"/>
  <c r="O21" i="6"/>
  <c r="S41" i="6"/>
  <c r="N41" i="6"/>
  <c r="T40" i="6"/>
  <c r="V40" i="6"/>
  <c r="P42" i="6"/>
  <c r="R42" i="6"/>
  <c r="H32" i="6"/>
  <c r="Q42" i="6"/>
  <c r="T29" i="6"/>
  <c r="T31" i="6"/>
  <c r="B30" i="11"/>
  <c r="E20" i="6"/>
  <c r="U28" i="6"/>
  <c r="U30" i="6"/>
  <c r="U32" i="6"/>
  <c r="R10" i="6"/>
  <c r="N29" i="6"/>
  <c r="N31" i="6"/>
  <c r="N28" i="11"/>
  <c r="H10" i="6"/>
  <c r="U42" i="6"/>
  <c r="K27" i="11"/>
  <c r="V28" i="6"/>
  <c r="J29" i="11"/>
  <c r="O30" i="11"/>
  <c r="S28" i="6"/>
  <c r="S43" i="6"/>
  <c r="N43" i="6"/>
  <c r="T39" i="6"/>
  <c r="V39" i="6"/>
  <c r="Q39" i="6"/>
  <c r="U21" i="6"/>
  <c r="O41" i="6"/>
  <c r="U41" i="6"/>
  <c r="T20" i="6"/>
  <c r="P40" i="6"/>
  <c r="R40" i="6"/>
  <c r="S42" i="6"/>
  <c r="N42" i="6"/>
  <c r="J32" i="6"/>
  <c r="K29" i="11"/>
  <c r="K26" i="11"/>
  <c r="S31" i="6"/>
  <c r="O28" i="11"/>
  <c r="O28" i="6"/>
  <c r="J30" i="11"/>
  <c r="V32" i="6"/>
  <c r="N29" i="11"/>
  <c r="R30" i="6"/>
  <c r="N28" i="6"/>
  <c r="Q30" i="6"/>
  <c r="U10" i="6"/>
  <c r="P31" i="6"/>
  <c r="T28" i="6"/>
  <c r="H21" i="6"/>
  <c r="N40" i="6"/>
  <c r="V41" i="6"/>
  <c r="N39" i="6"/>
  <c r="K183" i="4"/>
  <c r="G183" i="4" s="1"/>
  <c r="G184" i="9" s="1"/>
  <c r="V43" i="6"/>
  <c r="K146" i="4"/>
  <c r="G146" i="4" s="1"/>
  <c r="G147" i="9" s="1"/>
  <c r="J146" i="4"/>
  <c r="E146" i="4" s="1"/>
  <c r="D146" i="4"/>
  <c r="C147" i="9" s="1"/>
  <c r="J83" i="4"/>
  <c r="E83" i="4" s="1"/>
  <c r="F83" i="4" s="1"/>
  <c r="K63" i="4"/>
  <c r="G63" i="4" s="1"/>
  <c r="D51" i="4"/>
  <c r="C52" i="9" s="1"/>
  <c r="J51" i="4"/>
  <c r="E51" i="4" s="1"/>
  <c r="D52" i="9" s="1"/>
  <c r="T21" i="6"/>
  <c r="J28" i="11"/>
  <c r="V29" i="6"/>
  <c r="K30" i="11"/>
  <c r="J26" i="11"/>
  <c r="N30" i="11"/>
  <c r="R28" i="6"/>
  <c r="Q31" i="6"/>
  <c r="P29" i="6"/>
  <c r="R41" i="6"/>
  <c r="J175" i="4"/>
  <c r="E175" i="4" s="1"/>
  <c r="K175" i="4"/>
  <c r="G175" i="4" s="1"/>
  <c r="J126" i="4"/>
  <c r="E126" i="4" s="1"/>
  <c r="D127" i="9" s="1"/>
  <c r="D126" i="4"/>
  <c r="C127" i="9" s="1"/>
  <c r="K214" i="4"/>
  <c r="G214" i="4" s="1"/>
  <c r="G215" i="9" s="1"/>
  <c r="J214" i="4"/>
  <c r="E214" i="4" s="1"/>
  <c r="D215" i="9" s="1"/>
  <c r="C49" i="9"/>
  <c r="N27" i="11"/>
  <c r="R32" i="6"/>
  <c r="N30" i="6"/>
  <c r="Q32" i="6"/>
  <c r="U29" i="6"/>
  <c r="T30" i="6"/>
  <c r="P28" i="6"/>
  <c r="J10" i="6"/>
  <c r="V42" i="6"/>
  <c r="O40" i="6"/>
  <c r="J29" i="6"/>
  <c r="P41" i="6"/>
  <c r="R39" i="6"/>
  <c r="O43" i="6"/>
  <c r="J150" i="4"/>
  <c r="E150" i="4" s="1"/>
  <c r="D150" i="4"/>
  <c r="J122" i="4"/>
  <c r="E122" i="4" s="1"/>
  <c r="D85" i="4"/>
  <c r="C86" i="9" s="1"/>
  <c r="J85" i="4"/>
  <c r="E85" i="4" s="1"/>
  <c r="D86" i="9" s="1"/>
  <c r="S30" i="6"/>
  <c r="V31" i="6"/>
  <c r="C47" i="9"/>
  <c r="J224" i="4"/>
  <c r="E224" i="4" s="1"/>
  <c r="D225" i="9" s="1"/>
  <c r="D210" i="4"/>
  <c r="C211" i="9" s="1"/>
  <c r="K158" i="4"/>
  <c r="G158" i="4" s="1"/>
  <c r="D134" i="4"/>
  <c r="C135" i="9" s="1"/>
  <c r="C18" i="9"/>
  <c r="C21" i="6"/>
  <c r="I10" i="6"/>
  <c r="S10" i="6"/>
  <c r="I32" i="6"/>
  <c r="N19" i="11"/>
  <c r="B43" i="6"/>
  <c r="B18" i="6"/>
  <c r="N10" i="6"/>
  <c r="E43" i="6"/>
  <c r="E18" i="6"/>
  <c r="Q10" i="6"/>
  <c r="C30" i="11"/>
  <c r="H39" i="6"/>
  <c r="D21" i="6"/>
  <c r="T10" i="6"/>
  <c r="C32" i="6"/>
  <c r="J30" i="6"/>
  <c r="C10" i="6"/>
  <c r="B8" i="6"/>
  <c r="P18" i="6"/>
  <c r="N21" i="6"/>
  <c r="S21" i="6"/>
  <c r="C14" i="9"/>
  <c r="D49" i="9"/>
  <c r="G49" i="9"/>
  <c r="O19" i="11"/>
  <c r="J21" i="6"/>
  <c r="G55" i="9"/>
  <c r="B42" i="6"/>
  <c r="N9" i="6"/>
  <c r="E42" i="6"/>
  <c r="B19" i="11"/>
  <c r="H43" i="6"/>
  <c r="D19" i="6"/>
  <c r="G32" i="6"/>
  <c r="Q18" i="6"/>
  <c r="G10" i="6"/>
  <c r="P21" i="6"/>
  <c r="D26" i="9"/>
  <c r="D45" i="9"/>
  <c r="O19" i="6"/>
  <c r="C57" i="9"/>
  <c r="G47" i="9"/>
  <c r="C50" i="9"/>
  <c r="D47" i="9"/>
  <c r="G45" i="9"/>
  <c r="F30" i="11"/>
  <c r="C43" i="6"/>
  <c r="G43" i="6"/>
  <c r="E32" i="6"/>
  <c r="E10" i="6"/>
  <c r="G30" i="11"/>
  <c r="O10" i="6"/>
  <c r="J43" i="6"/>
  <c r="G19" i="11"/>
  <c r="G12" i="9"/>
  <c r="N17" i="11"/>
  <c r="F21" i="6"/>
  <c r="I21" i="6"/>
  <c r="Q9" i="6"/>
  <c r="P10" i="6"/>
  <c r="B32" i="6"/>
  <c r="B28" i="6"/>
  <c r="B10" i="6"/>
  <c r="D8" i="6"/>
  <c r="R21" i="6"/>
  <c r="G27" i="9"/>
  <c r="C16" i="11"/>
  <c r="B40" i="6"/>
  <c r="B21" i="6"/>
  <c r="N7" i="6"/>
  <c r="E40" i="6"/>
  <c r="E21" i="6"/>
  <c r="Q7" i="6"/>
  <c r="C19" i="11"/>
  <c r="D43" i="6"/>
  <c r="T9" i="6"/>
  <c r="F32" i="6"/>
  <c r="D32" i="6"/>
  <c r="H28" i="6"/>
  <c r="F10" i="6"/>
  <c r="D10" i="6"/>
  <c r="G6" i="6"/>
  <c r="R20" i="6"/>
  <c r="F31" i="6"/>
  <c r="B7" i="6"/>
  <c r="Q21" i="6"/>
  <c r="V21" i="6"/>
  <c r="C38" i="9"/>
  <c r="C27" i="9"/>
  <c r="G59" i="9"/>
  <c r="D50" i="9"/>
  <c r="D59" i="9"/>
  <c r="C46" i="9"/>
  <c r="O17" i="6"/>
  <c r="C39" i="9"/>
  <c r="G57" i="9"/>
  <c r="K19" i="11"/>
  <c r="J19" i="11"/>
  <c r="F19" i="11"/>
  <c r="G21" i="6"/>
  <c r="D20" i="4"/>
  <c r="C21" i="9" s="1"/>
  <c r="J20" i="4"/>
  <c r="E20" i="4" s="1"/>
  <c r="K20" i="4"/>
  <c r="G20" i="4" s="1"/>
  <c r="B18" i="11"/>
  <c r="F41" i="6"/>
  <c r="F17" i="6"/>
  <c r="R6" i="6"/>
  <c r="I39" i="6"/>
  <c r="I19" i="6"/>
  <c r="U8" i="6"/>
  <c r="B26" i="11"/>
  <c r="H41" i="6"/>
  <c r="H18" i="6"/>
  <c r="P6" i="6"/>
  <c r="C30" i="6"/>
  <c r="F8" i="6"/>
  <c r="D6" i="6"/>
  <c r="V20" i="6"/>
  <c r="T18" i="6"/>
  <c r="J9" i="6"/>
  <c r="D40" i="4"/>
  <c r="K40" i="4"/>
  <c r="G40" i="4" s="1"/>
  <c r="G41" i="9" s="1"/>
  <c r="D24" i="4"/>
  <c r="C25" i="9" s="1"/>
  <c r="K24" i="4"/>
  <c r="G24" i="4" s="1"/>
  <c r="G25" i="9" s="1"/>
  <c r="T17" i="6"/>
  <c r="V17" i="6"/>
  <c r="Q17" i="6"/>
  <c r="T19" i="6"/>
  <c r="V19" i="6"/>
  <c r="Q19" i="6"/>
  <c r="C7" i="6"/>
  <c r="P17" i="6"/>
  <c r="R17" i="6"/>
  <c r="I6" i="6"/>
  <c r="P19" i="6"/>
  <c r="R19" i="6"/>
  <c r="H7" i="6"/>
  <c r="J7" i="6"/>
  <c r="D9" i="6"/>
  <c r="F9" i="6"/>
  <c r="J17" i="6"/>
  <c r="G29" i="6"/>
  <c r="B29" i="6"/>
  <c r="C31" i="6"/>
  <c r="S18" i="6"/>
  <c r="N18" i="6"/>
  <c r="O20" i="6"/>
  <c r="C27" i="11"/>
  <c r="C6" i="6"/>
  <c r="H8" i="6"/>
  <c r="J8" i="6"/>
  <c r="Q20" i="6"/>
  <c r="D28" i="6"/>
  <c r="F28" i="6"/>
  <c r="G30" i="6"/>
  <c r="B30" i="6"/>
  <c r="P7" i="6"/>
  <c r="P9" i="6"/>
  <c r="D18" i="6"/>
  <c r="D20" i="6"/>
  <c r="D40" i="6"/>
  <c r="D42" i="6"/>
  <c r="C17" i="11"/>
  <c r="S17" i="6"/>
  <c r="N17" i="6"/>
  <c r="S19" i="6"/>
  <c r="N19" i="6"/>
  <c r="D7" i="6"/>
  <c r="F7" i="6"/>
  <c r="G9" i="6"/>
  <c r="B9" i="6"/>
  <c r="J19" i="6"/>
  <c r="C29" i="6"/>
  <c r="H31" i="6"/>
  <c r="J31" i="6"/>
  <c r="O18" i="11"/>
  <c r="J15" i="11"/>
  <c r="O7" i="6"/>
  <c r="D36" i="4"/>
  <c r="C37" i="9" s="1"/>
  <c r="K36" i="4"/>
  <c r="G36" i="4" s="1"/>
  <c r="G37" i="9" s="1"/>
  <c r="C40" i="6"/>
  <c r="N16" i="11"/>
  <c r="B28" i="11"/>
  <c r="F39" i="6"/>
  <c r="F19" i="6"/>
  <c r="R8" i="6"/>
  <c r="B29" i="11"/>
  <c r="I41" i="6"/>
  <c r="I17" i="6"/>
  <c r="U6" i="6"/>
  <c r="B17" i="11"/>
  <c r="D39" i="6"/>
  <c r="T8" i="6"/>
  <c r="J28" i="6"/>
  <c r="J18" i="6"/>
  <c r="B6" i="6"/>
  <c r="D216" i="4"/>
  <c r="C217" i="9" s="1"/>
  <c r="K216" i="4"/>
  <c r="G216" i="4" s="1"/>
  <c r="D200" i="4"/>
  <c r="K200" i="4"/>
  <c r="G200" i="4" s="1"/>
  <c r="G201" i="9" s="1"/>
  <c r="R18" i="6"/>
  <c r="G31" i="6"/>
  <c r="D29" i="6"/>
  <c r="G7" i="6"/>
  <c r="U17" i="6"/>
  <c r="D142" i="4"/>
  <c r="C143" i="9" s="1"/>
  <c r="K142" i="4"/>
  <c r="G142" i="4" s="1"/>
  <c r="G143" i="9" s="1"/>
  <c r="J142" i="4"/>
  <c r="E142" i="4" s="1"/>
  <c r="J47" i="4"/>
  <c r="E47" i="4" s="1"/>
  <c r="D48" i="9" s="1"/>
  <c r="N15" i="11"/>
  <c r="C28" i="11"/>
  <c r="C18" i="11"/>
  <c r="B41" i="6"/>
  <c r="B39" i="6"/>
  <c r="B19" i="6"/>
  <c r="B17" i="6"/>
  <c r="N8" i="6"/>
  <c r="N6" i="6"/>
  <c r="C29" i="11"/>
  <c r="E41" i="6"/>
  <c r="E39" i="6"/>
  <c r="E19" i="6"/>
  <c r="E17" i="6"/>
  <c r="Q8" i="6"/>
  <c r="Q6" i="6"/>
  <c r="C26" i="11"/>
  <c r="B15" i="11"/>
  <c r="D41" i="6"/>
  <c r="H20" i="6"/>
  <c r="H17" i="6"/>
  <c r="P8" i="6"/>
  <c r="I31" i="6"/>
  <c r="D30" i="6"/>
  <c r="C28" i="6"/>
  <c r="C8" i="6"/>
  <c r="F6" i="6"/>
  <c r="H6" i="6"/>
  <c r="B27" i="11"/>
  <c r="S20" i="6"/>
  <c r="V18" i="6"/>
  <c r="D31" i="6"/>
  <c r="H29" i="6"/>
  <c r="C9" i="6"/>
  <c r="U19" i="6"/>
  <c r="J167" i="4"/>
  <c r="E167" i="4" s="1"/>
  <c r="D168" i="9" s="1"/>
  <c r="K167" i="4"/>
  <c r="G167" i="4" s="1"/>
  <c r="G168" i="9" s="1"/>
  <c r="D167" i="4"/>
  <c r="C168" i="9" s="1"/>
  <c r="D151" i="4"/>
  <c r="K151" i="4"/>
  <c r="G151" i="4" s="1"/>
  <c r="D135" i="4"/>
  <c r="C136" i="9" s="1"/>
  <c r="K135" i="4"/>
  <c r="G135" i="4" s="1"/>
  <c r="G136" i="9" s="1"/>
  <c r="J103" i="4"/>
  <c r="E103" i="4" s="1"/>
  <c r="D104" i="9" s="1"/>
  <c r="D103" i="4"/>
  <c r="C104" i="9" s="1"/>
  <c r="K103" i="4"/>
  <c r="G103" i="4" s="1"/>
  <c r="G104" i="9" s="1"/>
  <c r="J87" i="4"/>
  <c r="E87" i="4" s="1"/>
  <c r="D88" i="9" s="1"/>
  <c r="D87" i="4"/>
  <c r="C88" i="9" s="1"/>
  <c r="K87" i="4"/>
  <c r="G87" i="4" s="1"/>
  <c r="G88" i="9" s="1"/>
  <c r="K79" i="4"/>
  <c r="G79" i="4" s="1"/>
  <c r="J79" i="4"/>
  <c r="E79" i="4" s="1"/>
  <c r="J71" i="4"/>
  <c r="E71" i="4" s="1"/>
  <c r="D71" i="4"/>
  <c r="C72" i="9" s="1"/>
  <c r="D28" i="4"/>
  <c r="C29" i="9" s="1"/>
  <c r="K28" i="4"/>
  <c r="G28" i="4" s="1"/>
  <c r="G29" i="9" s="1"/>
  <c r="D4" i="4"/>
  <c r="C5" i="9" s="1"/>
  <c r="K4" i="4"/>
  <c r="G4" i="4" s="1"/>
  <c r="G5" i="9" s="1"/>
  <c r="J28" i="4"/>
  <c r="E28" i="4" s="1"/>
  <c r="D29" i="9" s="1"/>
  <c r="V7" i="6"/>
  <c r="S9" i="6"/>
  <c r="E31" i="6"/>
  <c r="D220" i="4"/>
  <c r="C221" i="9" s="1"/>
  <c r="J220" i="4"/>
  <c r="E220" i="4" s="1"/>
  <c r="D221" i="9" s="1"/>
  <c r="J222" i="4"/>
  <c r="E222" i="4" s="1"/>
  <c r="D223" i="9" s="1"/>
  <c r="D222" i="4"/>
  <c r="C223" i="9" s="1"/>
  <c r="J138" i="4"/>
  <c r="E138" i="4" s="1"/>
  <c r="D139" i="9" s="1"/>
  <c r="D138" i="4"/>
  <c r="C139" i="9" s="1"/>
  <c r="D34" i="4"/>
  <c r="C13" i="9" s="1"/>
  <c r="K34" i="4"/>
  <c r="G34" i="4" s="1"/>
  <c r="G35" i="9" s="1"/>
  <c r="J34" i="4"/>
  <c r="E34" i="4" s="1"/>
  <c r="N18" i="11"/>
  <c r="B16" i="11"/>
  <c r="F42" i="6"/>
  <c r="F40" i="6"/>
  <c r="F20" i="6"/>
  <c r="F18" i="6"/>
  <c r="R9" i="6"/>
  <c r="R7" i="6"/>
  <c r="I42" i="6"/>
  <c r="I40" i="6"/>
  <c r="I20" i="6"/>
  <c r="I18" i="6"/>
  <c r="U9" i="6"/>
  <c r="U7" i="6"/>
  <c r="C15" i="11"/>
  <c r="H40" i="6"/>
  <c r="H19" i="6"/>
  <c r="D17" i="6"/>
  <c r="T7" i="6"/>
  <c r="F30" i="6"/>
  <c r="H30" i="6"/>
  <c r="G28" i="6"/>
  <c r="J20" i="6"/>
  <c r="G8" i="6"/>
  <c r="J6" i="6"/>
  <c r="N20" i="6"/>
  <c r="P20" i="6"/>
  <c r="O18" i="6"/>
  <c r="B31" i="6"/>
  <c r="F29" i="6"/>
  <c r="H9" i="6"/>
  <c r="D113" i="4"/>
  <c r="C114" i="9" s="1"/>
  <c r="J113" i="4"/>
  <c r="E113" i="4" s="1"/>
  <c r="D114" i="9" s="1"/>
  <c r="D97" i="4"/>
  <c r="J97" i="4"/>
  <c r="E97" i="4" s="1"/>
  <c r="J166" i="4"/>
  <c r="E166" i="4" s="1"/>
  <c r="D167" i="9" s="1"/>
  <c r="K166" i="4"/>
  <c r="G166" i="4" s="1"/>
  <c r="G167" i="9" s="1"/>
  <c r="J162" i="4"/>
  <c r="E162" i="4" s="1"/>
  <c r="K162" i="4"/>
  <c r="G162" i="4" s="1"/>
  <c r="G163" i="9" s="1"/>
  <c r="D32" i="4"/>
  <c r="C33" i="9" s="1"/>
  <c r="K32" i="4"/>
  <c r="G32" i="4" s="1"/>
  <c r="G33" i="9" s="1"/>
  <c r="D16" i="4"/>
  <c r="K16" i="4"/>
  <c r="G16" i="4" s="1"/>
  <c r="I30" i="6"/>
  <c r="G28" i="11"/>
  <c r="J155" i="4"/>
  <c r="E155" i="4" s="1"/>
  <c r="D156" i="9" s="1"/>
  <c r="K93" i="4"/>
  <c r="G93" i="4" s="1"/>
  <c r="G94" i="9" s="1"/>
  <c r="F29" i="11"/>
  <c r="G26" i="11"/>
  <c r="K15" i="11"/>
  <c r="G42" i="6"/>
  <c r="G41" i="6"/>
  <c r="E29" i="6"/>
  <c r="U18" i="6"/>
  <c r="G29" i="11"/>
  <c r="F28" i="11"/>
  <c r="K16" i="11"/>
  <c r="I29" i="6"/>
  <c r="U20" i="6"/>
  <c r="F26" i="11"/>
  <c r="K18" i="11"/>
  <c r="C42" i="6"/>
  <c r="J16" i="11"/>
  <c r="S8" i="6"/>
  <c r="V8" i="6"/>
  <c r="F27" i="11"/>
  <c r="J18" i="11"/>
  <c r="C39" i="6"/>
  <c r="J40" i="6"/>
  <c r="E30" i="6"/>
  <c r="K17" i="11"/>
  <c r="D194" i="4"/>
  <c r="C195" i="9" s="1"/>
  <c r="J139" i="4"/>
  <c r="E139" i="4" s="1"/>
  <c r="D140" i="9" s="1"/>
  <c r="D154" i="4"/>
  <c r="C155" i="9" s="1"/>
  <c r="D198" i="4"/>
  <c r="C199" i="9" s="1"/>
  <c r="K150" i="4"/>
  <c r="G150" i="4" s="1"/>
  <c r="D214" i="4"/>
  <c r="C215" i="9" s="1"/>
  <c r="K178" i="4"/>
  <c r="G178" i="4" s="1"/>
  <c r="G179" i="9" s="1"/>
  <c r="K121" i="4"/>
  <c r="G121" i="4" s="1"/>
  <c r="K107" i="4"/>
  <c r="G107" i="4" s="1"/>
  <c r="K109" i="4"/>
  <c r="G109" i="4" s="1"/>
  <c r="G110" i="9" s="1"/>
  <c r="J65" i="4"/>
  <c r="E65" i="4" s="1"/>
  <c r="D66" i="9" s="1"/>
  <c r="D115" i="4"/>
  <c r="C116" i="9" s="1"/>
  <c r="K61" i="4"/>
  <c r="G61" i="4" s="1"/>
  <c r="G18" i="9" s="1"/>
  <c r="O15" i="11"/>
  <c r="C41" i="6"/>
  <c r="S6" i="6"/>
  <c r="V6" i="6"/>
  <c r="O16" i="11"/>
  <c r="J42" i="6"/>
  <c r="V9" i="6"/>
  <c r="S7" i="6"/>
  <c r="G39" i="6"/>
  <c r="K119" i="4"/>
  <c r="G119" i="4" s="1"/>
  <c r="J18" i="4"/>
  <c r="E18" i="4" s="1"/>
  <c r="H18" i="4" s="1"/>
  <c r="J39" i="6"/>
  <c r="O17" i="11"/>
  <c r="G40" i="6"/>
  <c r="E28" i="6"/>
  <c r="J17" i="11"/>
  <c r="J41" i="6"/>
  <c r="I28" i="6"/>
  <c r="O9" i="6"/>
  <c r="O6" i="6"/>
  <c r="G27" i="11"/>
  <c r="O8" i="6"/>
  <c r="F158" i="4"/>
  <c r="H175" i="4"/>
  <c r="F175" i="4"/>
  <c r="J208" i="4"/>
  <c r="E208" i="4" s="1"/>
  <c r="J196" i="4"/>
  <c r="E196" i="4" s="1"/>
  <c r="D197" i="9" s="1"/>
  <c r="K226" i="4"/>
  <c r="G226" i="4" s="1"/>
  <c r="G227" i="9" s="1"/>
  <c r="K192" i="4"/>
  <c r="G192" i="4" s="1"/>
  <c r="G193" i="9" s="1"/>
  <c r="J179" i="4"/>
  <c r="E179" i="4" s="1"/>
  <c r="F184" i="4"/>
  <c r="H184" i="4"/>
  <c r="K174" i="4"/>
  <c r="G174" i="4" s="1"/>
  <c r="F145" i="4"/>
  <c r="H145" i="4"/>
  <c r="K139" i="4"/>
  <c r="G139" i="4" s="1"/>
  <c r="G140" i="9" s="1"/>
  <c r="K130" i="4"/>
  <c r="G130" i="4" s="1"/>
  <c r="G131" i="9" s="1"/>
  <c r="D186" i="4"/>
  <c r="C187" i="9" s="1"/>
  <c r="F164" i="4"/>
  <c r="H164" i="4"/>
  <c r="F148" i="4"/>
  <c r="H148" i="4"/>
  <c r="F132" i="4"/>
  <c r="H132" i="4"/>
  <c r="D182" i="4"/>
  <c r="C183" i="9" s="1"/>
  <c r="D166" i="4"/>
  <c r="C167" i="9" s="1"/>
  <c r="F153" i="4"/>
  <c r="I153" i="4" s="1"/>
  <c r="H153" i="4"/>
  <c r="K147" i="4"/>
  <c r="G147" i="4" s="1"/>
  <c r="G148" i="9" s="1"/>
  <c r="K204" i="4"/>
  <c r="G204" i="4" s="1"/>
  <c r="D162" i="4"/>
  <c r="C163" i="9" s="1"/>
  <c r="F149" i="4"/>
  <c r="H149" i="4"/>
  <c r="K143" i="4"/>
  <c r="G143" i="4" s="1"/>
  <c r="G144" i="9" s="1"/>
  <c r="K95" i="4"/>
  <c r="G95" i="4" s="1"/>
  <c r="G96" i="9" s="1"/>
  <c r="H85" i="4"/>
  <c r="F85" i="4"/>
  <c r="K113" i="4"/>
  <c r="G113" i="4" s="1"/>
  <c r="D107" i="4"/>
  <c r="C108" i="9" s="1"/>
  <c r="F94" i="4"/>
  <c r="H94" i="4"/>
  <c r="H88" i="4"/>
  <c r="F88" i="4"/>
  <c r="F80" i="4"/>
  <c r="H80" i="4"/>
  <c r="J130" i="4"/>
  <c r="E130" i="4" s="1"/>
  <c r="D131" i="9" s="1"/>
  <c r="D119" i="4"/>
  <c r="C120" i="9" s="1"/>
  <c r="F106" i="4"/>
  <c r="H106" i="4"/>
  <c r="H100" i="4"/>
  <c r="F100" i="4"/>
  <c r="D75" i="4"/>
  <c r="C76" i="9" s="1"/>
  <c r="J69" i="4"/>
  <c r="E69" i="4" s="1"/>
  <c r="D34" i="9" s="1"/>
  <c r="D59" i="4"/>
  <c r="C60" i="9" s="1"/>
  <c r="K99" i="4"/>
  <c r="G99" i="4" s="1"/>
  <c r="G100" i="9" s="1"/>
  <c r="K89" i="4"/>
  <c r="G89" i="4" s="1"/>
  <c r="G90" i="9" s="1"/>
  <c r="K69" i="4"/>
  <c r="G69" i="4" s="1"/>
  <c r="F66" i="4"/>
  <c r="H66" i="4"/>
  <c r="F56" i="4"/>
  <c r="H56" i="4"/>
  <c r="F39" i="4"/>
  <c r="H39" i="4"/>
  <c r="J11" i="4"/>
  <c r="E11" i="4" s="1"/>
  <c r="D12" i="9" s="1"/>
  <c r="H76" i="4"/>
  <c r="F76" i="4"/>
  <c r="K65" i="4"/>
  <c r="G65" i="4" s="1"/>
  <c r="H65" i="4" s="1"/>
  <c r="J42" i="4"/>
  <c r="E42" i="4" s="1"/>
  <c r="D43" i="9" s="1"/>
  <c r="J26" i="4"/>
  <c r="E26" i="4" s="1"/>
  <c r="D27" i="9" s="1"/>
  <c r="F78" i="4"/>
  <c r="H78" i="4"/>
  <c r="F67" i="4"/>
  <c r="H67" i="4"/>
  <c r="F57" i="4"/>
  <c r="H57" i="4"/>
  <c r="H45" i="4"/>
  <c r="F45" i="4"/>
  <c r="D11" i="4"/>
  <c r="C12" i="9" s="1"/>
  <c r="J36" i="4"/>
  <c r="E36" i="4" s="1"/>
  <c r="D19" i="9" s="1"/>
  <c r="D14" i="4"/>
  <c r="D22" i="4"/>
  <c r="D10" i="4"/>
  <c r="J40" i="4"/>
  <c r="E40" i="4" s="1"/>
  <c r="D23" i="9" s="1"/>
  <c r="F19" i="4"/>
  <c r="H19" i="4"/>
  <c r="B48" i="7"/>
  <c r="D45" i="7"/>
  <c r="B44" i="7"/>
  <c r="D41" i="7"/>
  <c r="J38" i="11"/>
  <c r="D47" i="7"/>
  <c r="B46" i="7"/>
  <c r="D44" i="7"/>
  <c r="B41" i="7"/>
  <c r="C6" i="7"/>
  <c r="B47" i="7"/>
  <c r="D42" i="7"/>
  <c r="B6" i="7"/>
  <c r="D48" i="7"/>
  <c r="B45" i="7"/>
  <c r="D43" i="7"/>
  <c r="B42" i="7"/>
  <c r="G6" i="7"/>
  <c r="P38" i="11" s="1"/>
  <c r="E6" i="7"/>
  <c r="D46" i="7"/>
  <c r="B43" i="7"/>
  <c r="B16" i="7"/>
  <c r="H8" i="10" s="1"/>
  <c r="J46" i="11"/>
  <c r="G16" i="7"/>
  <c r="P46" i="11" s="1"/>
  <c r="J41" i="11"/>
  <c r="G9" i="7"/>
  <c r="P41" i="11" s="1"/>
  <c r="E9" i="7"/>
  <c r="B20" i="10" s="1"/>
  <c r="C9" i="7"/>
  <c r="B19" i="10" s="1"/>
  <c r="H9" i="7"/>
  <c r="M41" i="11" s="1"/>
  <c r="B9" i="7"/>
  <c r="B18" i="10" s="1"/>
  <c r="K15" i="4"/>
  <c r="G15" i="4" s="1"/>
  <c r="G16" i="9" s="1"/>
  <c r="H195" i="4"/>
  <c r="F195" i="4"/>
  <c r="K190" i="4"/>
  <c r="G190" i="4" s="1"/>
  <c r="G191" i="9" s="1"/>
  <c r="K202" i="4"/>
  <c r="G202" i="4" s="1"/>
  <c r="F217" i="4"/>
  <c r="H217" i="4"/>
  <c r="D158" i="4"/>
  <c r="C159" i="9" s="1"/>
  <c r="J212" i="4"/>
  <c r="E212" i="4" s="1"/>
  <c r="D213" i="9" s="1"/>
  <c r="J204" i="4"/>
  <c r="E204" i="4" s="1"/>
  <c r="J192" i="4"/>
  <c r="E192" i="4" s="1"/>
  <c r="D193" i="9" s="1"/>
  <c r="H227" i="4"/>
  <c r="F227" i="4"/>
  <c r="H215" i="4"/>
  <c r="F215" i="4"/>
  <c r="D226" i="4"/>
  <c r="C227" i="9" s="1"/>
  <c r="J218" i="4"/>
  <c r="E218" i="4" s="1"/>
  <c r="D219" i="9" s="1"/>
  <c r="K210" i="4"/>
  <c r="G210" i="4" s="1"/>
  <c r="G211" i="9" s="1"/>
  <c r="J202" i="4"/>
  <c r="E202" i="4" s="1"/>
  <c r="K194" i="4"/>
  <c r="G194" i="4" s="1"/>
  <c r="G195" i="9" s="1"/>
  <c r="K222" i="4"/>
  <c r="G222" i="4" s="1"/>
  <c r="G223" i="9" s="1"/>
  <c r="K206" i="4"/>
  <c r="G206" i="4" s="1"/>
  <c r="G207" i="9" s="1"/>
  <c r="K196" i="4"/>
  <c r="G196" i="4" s="1"/>
  <c r="G197" i="9" s="1"/>
  <c r="D190" i="4"/>
  <c r="C191" i="9" s="1"/>
  <c r="K208" i="4"/>
  <c r="G208" i="4" s="1"/>
  <c r="F189" i="4"/>
  <c r="H189" i="4"/>
  <c r="J159" i="4"/>
  <c r="E159" i="4" s="1"/>
  <c r="D160" i="9" s="1"/>
  <c r="J151" i="4"/>
  <c r="E151" i="4" s="1"/>
  <c r="J143" i="4"/>
  <c r="E143" i="4" s="1"/>
  <c r="D144" i="9" s="1"/>
  <c r="J135" i="4"/>
  <c r="E135" i="4" s="1"/>
  <c r="D136" i="9" s="1"/>
  <c r="D174" i="4"/>
  <c r="F161" i="4"/>
  <c r="H161" i="4"/>
  <c r="K155" i="4"/>
  <c r="G155" i="4" s="1"/>
  <c r="G156" i="9" s="1"/>
  <c r="F136" i="4"/>
  <c r="H136" i="4"/>
  <c r="K170" i="4"/>
  <c r="G170" i="4" s="1"/>
  <c r="G171" i="9" s="1"/>
  <c r="K154" i="4"/>
  <c r="G154" i="4" s="1"/>
  <c r="K138" i="4"/>
  <c r="G138" i="4" s="1"/>
  <c r="G139" i="9" s="1"/>
  <c r="F129" i="4"/>
  <c r="H129" i="4"/>
  <c r="J117" i="4"/>
  <c r="E117" i="4" s="1"/>
  <c r="D118" i="9" s="1"/>
  <c r="J109" i="4"/>
  <c r="E109" i="4" s="1"/>
  <c r="D110" i="9" s="1"/>
  <c r="J101" i="4"/>
  <c r="E101" i="4" s="1"/>
  <c r="D102" i="9" s="1"/>
  <c r="J93" i="4"/>
  <c r="E93" i="4" s="1"/>
  <c r="H211" i="4"/>
  <c r="F211" i="4"/>
  <c r="F185" i="4"/>
  <c r="H185" i="4"/>
  <c r="F169" i="4"/>
  <c r="H169" i="4"/>
  <c r="K163" i="4"/>
  <c r="G163" i="4" s="1"/>
  <c r="G164" i="9" s="1"/>
  <c r="F144" i="4"/>
  <c r="H144" i="4"/>
  <c r="I144" i="4" s="1"/>
  <c r="K134" i="4"/>
  <c r="G134" i="4" s="1"/>
  <c r="G135" i="9" s="1"/>
  <c r="K126" i="4"/>
  <c r="G126" i="4" s="1"/>
  <c r="G127" i="9" s="1"/>
  <c r="F201" i="4"/>
  <c r="H201" i="4"/>
  <c r="I201" i="4" s="1"/>
  <c r="F181" i="4"/>
  <c r="H181" i="4"/>
  <c r="F165" i="4"/>
  <c r="H165" i="4"/>
  <c r="K159" i="4"/>
  <c r="G159" i="4" s="1"/>
  <c r="G160" i="9" s="1"/>
  <c r="K111" i="4"/>
  <c r="G111" i="4" s="1"/>
  <c r="K101" i="4"/>
  <c r="G101" i="4" s="1"/>
  <c r="G102" i="9" s="1"/>
  <c r="D95" i="4"/>
  <c r="J81" i="4"/>
  <c r="E81" i="4" s="1"/>
  <c r="D82" i="9" s="1"/>
  <c r="F140" i="4"/>
  <c r="I140" i="4" s="1"/>
  <c r="H141" i="9" s="1"/>
  <c r="H140" i="4"/>
  <c r="F110" i="4"/>
  <c r="H110" i="4"/>
  <c r="H104" i="4"/>
  <c r="F104" i="4"/>
  <c r="H123" i="4"/>
  <c r="F123" i="4"/>
  <c r="H116" i="4"/>
  <c r="F116" i="4"/>
  <c r="J73" i="4"/>
  <c r="E73" i="4" s="1"/>
  <c r="D74" i="9" s="1"/>
  <c r="D63" i="4"/>
  <c r="K115" i="4"/>
  <c r="G115" i="4" s="1"/>
  <c r="G116" i="9" s="1"/>
  <c r="K105" i="4"/>
  <c r="G105" i="4" s="1"/>
  <c r="G106" i="9" s="1"/>
  <c r="D99" i="4"/>
  <c r="C100" i="9" s="1"/>
  <c r="F86" i="4"/>
  <c r="H86" i="4"/>
  <c r="K71" i="4"/>
  <c r="G71" i="4" s="1"/>
  <c r="K77" i="4"/>
  <c r="G77" i="4" s="1"/>
  <c r="F74" i="4"/>
  <c r="H74" i="4"/>
  <c r="D55" i="4"/>
  <c r="C56" i="9" s="1"/>
  <c r="F43" i="4"/>
  <c r="H43" i="4"/>
  <c r="K38" i="4"/>
  <c r="G38" i="4" s="1"/>
  <c r="G39" i="9" s="1"/>
  <c r="K30" i="4"/>
  <c r="G30" i="4" s="1"/>
  <c r="K22" i="4"/>
  <c r="G22" i="4" s="1"/>
  <c r="J15" i="4"/>
  <c r="E15" i="4" s="1"/>
  <c r="D16" i="9" s="1"/>
  <c r="K10" i="4"/>
  <c r="G10" i="4" s="1"/>
  <c r="H10" i="4" s="1"/>
  <c r="K73" i="4"/>
  <c r="G73" i="4" s="1"/>
  <c r="G74" i="9" s="1"/>
  <c r="J38" i="4"/>
  <c r="E38" i="4" s="1"/>
  <c r="J75" i="4"/>
  <c r="E75" i="4" s="1"/>
  <c r="D76" i="9" s="1"/>
  <c r="K8" i="4"/>
  <c r="G8" i="4" s="1"/>
  <c r="G9" i="9" s="1"/>
  <c r="F44" i="4"/>
  <c r="H44" i="4"/>
  <c r="F23" i="4"/>
  <c r="H23" i="4"/>
  <c r="K51" i="4"/>
  <c r="G51" i="4" s="1"/>
  <c r="G52" i="9" s="1"/>
  <c r="D30" i="4"/>
  <c r="C31" i="9" s="1"/>
  <c r="K7" i="4"/>
  <c r="G7" i="4" s="1"/>
  <c r="G8" i="9" s="1"/>
  <c r="F48" i="4"/>
  <c r="H48" i="4"/>
  <c r="F27" i="4"/>
  <c r="H27" i="4"/>
  <c r="J16" i="4"/>
  <c r="E16" i="4" s="1"/>
  <c r="B18" i="7"/>
  <c r="H26" i="10" s="1"/>
  <c r="J48" i="11"/>
  <c r="G18" i="7"/>
  <c r="P48" i="11" s="1"/>
  <c r="K40" i="11"/>
  <c r="J40" i="11"/>
  <c r="L40" i="11"/>
  <c r="C8" i="7"/>
  <c r="B15" i="10" s="1"/>
  <c r="B8" i="7"/>
  <c r="G8" i="7"/>
  <c r="P40" i="11" s="1"/>
  <c r="E8" i="7"/>
  <c r="B22" i="7"/>
  <c r="K50" i="11" s="1"/>
  <c r="J50" i="11"/>
  <c r="G22" i="7"/>
  <c r="P50" i="11" s="1"/>
  <c r="J43" i="11"/>
  <c r="G11" i="7"/>
  <c r="P43" i="11" s="1"/>
  <c r="K43" i="11"/>
  <c r="E11" i="7"/>
  <c r="N43" i="11" s="1"/>
  <c r="C11" i="7"/>
  <c r="B11" i="7"/>
  <c r="B28" i="10" s="1"/>
  <c r="J12" i="4"/>
  <c r="E12" i="4" s="1"/>
  <c r="G18" i="11"/>
  <c r="G17" i="11"/>
  <c r="G16" i="11"/>
  <c r="G15" i="11"/>
  <c r="F17" i="11"/>
  <c r="F15" i="11"/>
  <c r="F18" i="11"/>
  <c r="F16" i="11"/>
  <c r="G19" i="6"/>
  <c r="G17" i="6"/>
  <c r="I9" i="6"/>
  <c r="I7" i="6"/>
  <c r="C19" i="6"/>
  <c r="C17" i="6"/>
  <c r="E9" i="6"/>
  <c r="E7" i="6"/>
  <c r="G20" i="6"/>
  <c r="G18" i="6"/>
  <c r="C18" i="6"/>
  <c r="E6" i="6"/>
  <c r="C20" i="6"/>
  <c r="E8" i="6"/>
  <c r="H223" i="4"/>
  <c r="F223" i="4"/>
  <c r="H199" i="4"/>
  <c r="F199" i="4"/>
  <c r="K212" i="4"/>
  <c r="G212" i="4" s="1"/>
  <c r="G213" i="9" s="1"/>
  <c r="F193" i="4"/>
  <c r="H193" i="4"/>
  <c r="K187" i="4"/>
  <c r="G187" i="4" s="1"/>
  <c r="G188" i="9" s="1"/>
  <c r="K179" i="4"/>
  <c r="G179" i="4" s="1"/>
  <c r="K171" i="4"/>
  <c r="G171" i="4" s="1"/>
  <c r="F124" i="4"/>
  <c r="H124" i="4"/>
  <c r="K224" i="4"/>
  <c r="G224" i="4" s="1"/>
  <c r="G225" i="9" s="1"/>
  <c r="F205" i="4"/>
  <c r="H205" i="4"/>
  <c r="J187" i="4"/>
  <c r="E187" i="4" s="1"/>
  <c r="D188" i="9" s="1"/>
  <c r="F177" i="4"/>
  <c r="I177" i="4" s="1"/>
  <c r="H177" i="4"/>
  <c r="D171" i="4"/>
  <c r="C172" i="9" s="1"/>
  <c r="F152" i="4"/>
  <c r="H152" i="4"/>
  <c r="H127" i="4"/>
  <c r="F127" i="4"/>
  <c r="H182" i="4"/>
  <c r="F182" i="4"/>
  <c r="I182" i="4" s="1"/>
  <c r="H183" i="9" s="1"/>
  <c r="F160" i="4"/>
  <c r="H160" i="4"/>
  <c r="F156" i="4"/>
  <c r="H156" i="4"/>
  <c r="F128" i="4"/>
  <c r="H128" i="4"/>
  <c r="K117" i="4"/>
  <c r="G117" i="4" s="1"/>
  <c r="G118" i="9" s="1"/>
  <c r="F98" i="4"/>
  <c r="H98" i="4"/>
  <c r="H92" i="4"/>
  <c r="F92" i="4"/>
  <c r="H120" i="4"/>
  <c r="F120" i="4"/>
  <c r="H84" i="4"/>
  <c r="F84" i="4"/>
  <c r="H77" i="4"/>
  <c r="H61" i="4"/>
  <c r="F61" i="4"/>
  <c r="F102" i="4"/>
  <c r="H102" i="4"/>
  <c r="H96" i="4"/>
  <c r="F96" i="4"/>
  <c r="F82" i="4"/>
  <c r="H82" i="4"/>
  <c r="K59" i="4"/>
  <c r="G59" i="4" s="1"/>
  <c r="G60" i="9" s="1"/>
  <c r="H64" i="4"/>
  <c r="F64" i="4"/>
  <c r="H55" i="4"/>
  <c r="F55" i="4"/>
  <c r="H54" i="4"/>
  <c r="F54" i="4"/>
  <c r="K42" i="4"/>
  <c r="G42" i="4" s="1"/>
  <c r="G43" i="9" s="1"/>
  <c r="K14" i="4"/>
  <c r="G14" i="4" s="1"/>
  <c r="F14" i="4" s="1"/>
  <c r="H60" i="4"/>
  <c r="F60" i="4"/>
  <c r="H50" i="4"/>
  <c r="F50" i="4"/>
  <c r="H91" i="4"/>
  <c r="F91" i="4"/>
  <c r="F62" i="4"/>
  <c r="H62" i="4"/>
  <c r="H53" i="4"/>
  <c r="F53" i="4"/>
  <c r="H41" i="4"/>
  <c r="F41" i="4"/>
  <c r="H37" i="4"/>
  <c r="F37" i="4"/>
  <c r="H33" i="4"/>
  <c r="F33" i="4"/>
  <c r="H29" i="4"/>
  <c r="F29" i="4"/>
  <c r="H25" i="4"/>
  <c r="F25" i="4"/>
  <c r="H21" i="4"/>
  <c r="F21" i="4"/>
  <c r="H17" i="4"/>
  <c r="F17" i="4"/>
  <c r="K12" i="4"/>
  <c r="G12" i="4" s="1"/>
  <c r="F52" i="4"/>
  <c r="H52" i="4"/>
  <c r="F31" i="4"/>
  <c r="H31" i="4"/>
  <c r="F20" i="4"/>
  <c r="H20" i="4"/>
  <c r="J8" i="4"/>
  <c r="E8" i="4" s="1"/>
  <c r="J4" i="4"/>
  <c r="E4" i="4" s="1"/>
  <c r="C9" i="11"/>
  <c r="B2" i="10"/>
  <c r="D2" i="7"/>
  <c r="F35" i="4"/>
  <c r="H35" i="4"/>
  <c r="J24" i="4"/>
  <c r="E24" i="4" s="1"/>
  <c r="D25" i="9" s="1"/>
  <c r="H13" i="4"/>
  <c r="F13" i="4"/>
  <c r="P49" i="11"/>
  <c r="J49" i="11"/>
  <c r="G19" i="7"/>
  <c r="B19" i="7"/>
  <c r="H34" i="10" s="1"/>
  <c r="K42" i="11"/>
  <c r="C10" i="7"/>
  <c r="B25" i="10" s="1"/>
  <c r="J42" i="11"/>
  <c r="B10" i="7"/>
  <c r="B24" i="10" s="1"/>
  <c r="G10" i="7"/>
  <c r="P42" i="11" s="1"/>
  <c r="E10" i="7"/>
  <c r="B26" i="10" s="1"/>
  <c r="J51" i="11"/>
  <c r="B23" i="7"/>
  <c r="K51" i="11" s="1"/>
  <c r="G23" i="7"/>
  <c r="P51" i="11" s="1"/>
  <c r="K52" i="11"/>
  <c r="B26" i="7"/>
  <c r="J52" i="11"/>
  <c r="G26" i="7"/>
  <c r="P52" i="11" s="1"/>
  <c r="J45" i="11"/>
  <c r="G13" i="7"/>
  <c r="P45" i="11" s="1"/>
  <c r="E13" i="7"/>
  <c r="C13" i="7"/>
  <c r="B37" i="10" s="1"/>
  <c r="B13" i="7"/>
  <c r="K47" i="4"/>
  <c r="G47" i="4" s="1"/>
  <c r="H9" i="4"/>
  <c r="F9" i="4"/>
  <c r="H219" i="4"/>
  <c r="I219" i="4" s="1"/>
  <c r="H220" i="9" s="1"/>
  <c r="F219" i="4"/>
  <c r="H226" i="4"/>
  <c r="F226" i="4"/>
  <c r="F213" i="4"/>
  <c r="H213" i="4"/>
  <c r="H207" i="4"/>
  <c r="F207" i="4"/>
  <c r="F197" i="4"/>
  <c r="H197" i="4"/>
  <c r="H191" i="4"/>
  <c r="F191" i="4"/>
  <c r="F225" i="4"/>
  <c r="H225" i="4"/>
  <c r="F209" i="4"/>
  <c r="H209" i="4"/>
  <c r="H203" i="4"/>
  <c r="F203" i="4"/>
  <c r="F221" i="4"/>
  <c r="H221" i="4"/>
  <c r="H183" i="4"/>
  <c r="F183" i="4"/>
  <c r="I183" i="4" s="1"/>
  <c r="H184" i="9" s="1"/>
  <c r="C217" i="11" s="1"/>
  <c r="J163" i="4"/>
  <c r="E163" i="4" s="1"/>
  <c r="D164" i="9" s="1"/>
  <c r="F155" i="4"/>
  <c r="J147" i="4"/>
  <c r="E147" i="4" s="1"/>
  <c r="D148" i="9" s="1"/>
  <c r="H139" i="4"/>
  <c r="F139" i="4"/>
  <c r="H131" i="4"/>
  <c r="F131" i="4"/>
  <c r="K220" i="4"/>
  <c r="G220" i="4" s="1"/>
  <c r="F168" i="4"/>
  <c r="H168" i="4"/>
  <c r="F180" i="4"/>
  <c r="H180" i="4"/>
  <c r="F173" i="4"/>
  <c r="H173" i="4"/>
  <c r="F157" i="4"/>
  <c r="H157" i="4"/>
  <c r="F141" i="4"/>
  <c r="H141" i="4"/>
  <c r="H113" i="4"/>
  <c r="J105" i="4"/>
  <c r="E105" i="4" s="1"/>
  <c r="D106" i="9" s="1"/>
  <c r="J89" i="4"/>
  <c r="E89" i="4" s="1"/>
  <c r="H198" i="4"/>
  <c r="F198" i="4"/>
  <c r="F176" i="4"/>
  <c r="H176" i="4"/>
  <c r="F137" i="4"/>
  <c r="H137" i="4"/>
  <c r="H214" i="4"/>
  <c r="F214" i="4"/>
  <c r="F188" i="4"/>
  <c r="H188" i="4"/>
  <c r="F172" i="4"/>
  <c r="H172" i="4"/>
  <c r="F142" i="4"/>
  <c r="F125" i="4"/>
  <c r="H125" i="4"/>
  <c r="F114" i="4"/>
  <c r="H114" i="4"/>
  <c r="H108" i="4"/>
  <c r="F108" i="4"/>
  <c r="K97" i="4"/>
  <c r="G97" i="4" s="1"/>
  <c r="G98" i="9" s="1"/>
  <c r="F133" i="4"/>
  <c r="H133" i="4"/>
  <c r="F90" i="4"/>
  <c r="H90" i="4"/>
  <c r="F118" i="4"/>
  <c r="H118" i="4"/>
  <c r="H112" i="4"/>
  <c r="F112" i="4"/>
  <c r="H99" i="4"/>
  <c r="H72" i="4"/>
  <c r="F72" i="4"/>
  <c r="F58" i="4"/>
  <c r="H58" i="4"/>
  <c r="H68" i="4"/>
  <c r="F68" i="4"/>
  <c r="H46" i="4"/>
  <c r="F46" i="4"/>
  <c r="H6" i="4"/>
  <c r="F70" i="4"/>
  <c r="H70" i="4"/>
  <c r="H49" i="4"/>
  <c r="F49" i="4"/>
  <c r="F28" i="4"/>
  <c r="H28" i="4"/>
  <c r="H5" i="4"/>
  <c r="F5" i="4"/>
  <c r="J32" i="4"/>
  <c r="E32" i="4" s="1"/>
  <c r="D33" i="9" s="1"/>
  <c r="N44" i="11"/>
  <c r="J44" i="11"/>
  <c r="C12" i="7"/>
  <c r="B33" i="10" s="1"/>
  <c r="B12" i="7"/>
  <c r="K44" i="11" s="1"/>
  <c r="G12" i="7"/>
  <c r="P44" i="11" s="1"/>
  <c r="E12" i="7"/>
  <c r="B34" i="10" s="1"/>
  <c r="P53" i="11"/>
  <c r="L53" i="11"/>
  <c r="E29" i="7"/>
  <c r="O53" i="11"/>
  <c r="K53" i="11"/>
  <c r="N53" i="11"/>
  <c r="J53" i="11"/>
  <c r="B29" i="7"/>
  <c r="H29" i="7"/>
  <c r="G29" i="7"/>
  <c r="M53" i="11"/>
  <c r="C29" i="7"/>
  <c r="J39" i="11"/>
  <c r="G7" i="7"/>
  <c r="P39" i="11" s="1"/>
  <c r="E7" i="7"/>
  <c r="N39" i="11" s="1"/>
  <c r="C7" i="7"/>
  <c r="B11" i="10" s="1"/>
  <c r="B7" i="7"/>
  <c r="B10" i="10" s="1"/>
  <c r="J47" i="11"/>
  <c r="G17" i="7"/>
  <c r="P47" i="11" s="1"/>
  <c r="B17" i="7"/>
  <c r="H16" i="10" s="1"/>
  <c r="G217" i="11"/>
  <c r="F217" i="11"/>
  <c r="B217" i="11"/>
  <c r="E217" i="11"/>
  <c r="A217" i="11"/>
  <c r="I184" i="9"/>
  <c r="H217" i="11" s="1"/>
  <c r="G174" i="11"/>
  <c r="C174" i="11"/>
  <c r="F174" i="11"/>
  <c r="A174" i="11"/>
  <c r="E174" i="11"/>
  <c r="D174" i="11"/>
  <c r="B174" i="11"/>
  <c r="I141" i="9"/>
  <c r="H174" i="11" s="1"/>
  <c r="H7" i="4" l="1"/>
  <c r="F190" i="4"/>
  <c r="F186" i="4"/>
  <c r="I124" i="4"/>
  <c r="D41" i="9"/>
  <c r="D217" i="11"/>
  <c r="I28" i="4"/>
  <c r="I70" i="4"/>
  <c r="F7" i="4"/>
  <c r="H83" i="4"/>
  <c r="I198" i="4"/>
  <c r="H199" i="9" s="1"/>
  <c r="I199" i="9" s="1"/>
  <c r="H190" i="4"/>
  <c r="I35" i="4"/>
  <c r="H186" i="4"/>
  <c r="F6" i="4"/>
  <c r="F99" i="4"/>
  <c r="I203" i="4"/>
  <c r="I67" i="4"/>
  <c r="D17" i="9"/>
  <c r="D253" i="11"/>
  <c r="A253" i="11"/>
  <c r="G253" i="11"/>
  <c r="C253" i="11"/>
  <c r="I220" i="9"/>
  <c r="H253" i="11" s="1"/>
  <c r="E253" i="11"/>
  <c r="B253" i="11"/>
  <c r="F253" i="11"/>
  <c r="H12" i="7"/>
  <c r="H204" i="9"/>
  <c r="B216" i="11"/>
  <c r="A216" i="11"/>
  <c r="G216" i="11"/>
  <c r="H216" i="11"/>
  <c r="I183" i="9"/>
  <c r="D216" i="11"/>
  <c r="E216" i="11"/>
  <c r="H125" i="9"/>
  <c r="D79" i="9"/>
  <c r="D205" i="9"/>
  <c r="H232" i="11"/>
  <c r="I6" i="4"/>
  <c r="H7" i="9" s="1"/>
  <c r="I68" i="4"/>
  <c r="I176" i="4"/>
  <c r="D24" i="9"/>
  <c r="D90" i="9"/>
  <c r="I139" i="4"/>
  <c r="H140" i="9" s="1"/>
  <c r="I37" i="4"/>
  <c r="I53" i="4"/>
  <c r="I60" i="4"/>
  <c r="I82" i="4"/>
  <c r="F171" i="4"/>
  <c r="G172" i="9"/>
  <c r="F216" i="11"/>
  <c r="B8" i="10"/>
  <c r="N38" i="11"/>
  <c r="H220" i="4"/>
  <c r="G221" i="9"/>
  <c r="H178" i="9"/>
  <c r="G72" i="9"/>
  <c r="G180" i="9"/>
  <c r="C20" i="9"/>
  <c r="C64" i="9"/>
  <c r="C216" i="11"/>
  <c r="E232" i="11"/>
  <c r="F232" i="11"/>
  <c r="C232" i="11"/>
  <c r="B232" i="11"/>
  <c r="G232" i="11"/>
  <c r="A232" i="11"/>
  <c r="I190" i="4"/>
  <c r="H191" i="9" s="1"/>
  <c r="N42" i="11"/>
  <c r="I33" i="4"/>
  <c r="I50" i="4"/>
  <c r="D232" i="11"/>
  <c r="D21" i="9"/>
  <c r="D39" i="9"/>
  <c r="F77" i="4"/>
  <c r="G78" i="9"/>
  <c r="C42" i="9"/>
  <c r="C96" i="9"/>
  <c r="H202" i="9"/>
  <c r="H145" i="9"/>
  <c r="H154" i="4"/>
  <c r="G155" i="9"/>
  <c r="D77" i="9"/>
  <c r="D203" i="9"/>
  <c r="I88" i="4"/>
  <c r="H89" i="9" s="1"/>
  <c r="F113" i="4"/>
  <c r="G114" i="9"/>
  <c r="D83" i="9"/>
  <c r="D209" i="9"/>
  <c r="D37" i="9"/>
  <c r="D51" i="9"/>
  <c r="D123" i="9"/>
  <c r="G20" i="9"/>
  <c r="F63" i="4"/>
  <c r="H63" i="4"/>
  <c r="G64" i="9"/>
  <c r="D80" i="9"/>
  <c r="F79" i="4"/>
  <c r="C75" i="9"/>
  <c r="C201" i="9"/>
  <c r="C61" i="9"/>
  <c r="C151" i="9"/>
  <c r="F107" i="4"/>
  <c r="G108" i="9"/>
  <c r="H107" i="4"/>
  <c r="G61" i="9"/>
  <c r="G151" i="9"/>
  <c r="F150" i="4"/>
  <c r="H79" i="4"/>
  <c r="I79" i="4" s="1"/>
  <c r="G80" i="9"/>
  <c r="F216" i="4"/>
  <c r="G217" i="9"/>
  <c r="H216" i="4"/>
  <c r="G23" i="9"/>
  <c r="D35" i="9"/>
  <c r="G22" i="9"/>
  <c r="G66" i="9"/>
  <c r="H154" i="9"/>
  <c r="D57" i="9"/>
  <c r="D147" i="9"/>
  <c r="H146" i="4"/>
  <c r="F146" i="4"/>
  <c r="D81" i="9"/>
  <c r="D207" i="9"/>
  <c r="H30" i="4"/>
  <c r="G31" i="9"/>
  <c r="D62" i="9"/>
  <c r="D152" i="9"/>
  <c r="G83" i="9"/>
  <c r="G209" i="9"/>
  <c r="G77" i="9"/>
  <c r="G203" i="9"/>
  <c r="I19" i="4"/>
  <c r="O19" i="4" s="1"/>
  <c r="G67" i="9"/>
  <c r="G175" i="9"/>
  <c r="D61" i="9"/>
  <c r="D151" i="9"/>
  <c r="G68" i="9"/>
  <c r="G176" i="9"/>
  <c r="C26" i="9"/>
  <c r="C92" i="9"/>
  <c r="C51" i="9"/>
  <c r="C123" i="9"/>
  <c r="G21" i="9"/>
  <c r="F111" i="4"/>
  <c r="G112" i="9"/>
  <c r="I181" i="4"/>
  <c r="D28" i="9"/>
  <c r="D94" i="9"/>
  <c r="C67" i="9"/>
  <c r="C175" i="9"/>
  <c r="G48" i="9"/>
  <c r="G120" i="9"/>
  <c r="F162" i="4"/>
  <c r="D163" i="9"/>
  <c r="C44" i="9"/>
  <c r="C98" i="9"/>
  <c r="C62" i="9"/>
  <c r="C152" i="9"/>
  <c r="H142" i="4"/>
  <c r="D143" i="9"/>
  <c r="C35" i="9"/>
  <c r="G159" i="9"/>
  <c r="H158" i="4"/>
  <c r="G79" i="9"/>
  <c r="G205" i="9"/>
  <c r="D72" i="9"/>
  <c r="D180" i="9"/>
  <c r="G50" i="9"/>
  <c r="G122" i="9"/>
  <c r="D44" i="9"/>
  <c r="D98" i="9"/>
  <c r="G62" i="9"/>
  <c r="G152" i="9"/>
  <c r="C23" i="9"/>
  <c r="D68" i="9"/>
  <c r="D176" i="9"/>
  <c r="C81" i="9"/>
  <c r="C207" i="9"/>
  <c r="C41" i="9"/>
  <c r="D70" i="9"/>
  <c r="H122" i="4"/>
  <c r="G123" i="9"/>
  <c r="D33" i="10"/>
  <c r="D34" i="10"/>
  <c r="M44" i="11"/>
  <c r="O44" i="11"/>
  <c r="B29" i="10"/>
  <c r="H11" i="7"/>
  <c r="L43" i="11"/>
  <c r="L44" i="11"/>
  <c r="I221" i="4"/>
  <c r="H222" i="9" s="1"/>
  <c r="K49" i="11"/>
  <c r="I152" i="4"/>
  <c r="K48" i="11"/>
  <c r="B7" i="10"/>
  <c r="H6" i="7"/>
  <c r="D20" i="10"/>
  <c r="D19" i="10"/>
  <c r="B36" i="10"/>
  <c r="K45" i="11"/>
  <c r="H10" i="7"/>
  <c r="C19" i="7"/>
  <c r="O41" i="11"/>
  <c r="B6" i="10"/>
  <c r="K38" i="11"/>
  <c r="D22" i="9"/>
  <c r="F65" i="4"/>
  <c r="I65" i="4" s="1"/>
  <c r="G71" i="9"/>
  <c r="H178" i="4"/>
  <c r="F178" i="4"/>
  <c r="H155" i="4"/>
  <c r="I155" i="4" s="1"/>
  <c r="G75" i="9"/>
  <c r="F200" i="4"/>
  <c r="L39" i="11"/>
  <c r="B38" i="10"/>
  <c r="H13" i="7"/>
  <c r="B16" i="10"/>
  <c r="N40" i="11"/>
  <c r="G51" i="9"/>
  <c r="F122" i="4"/>
  <c r="E17" i="7"/>
  <c r="K47" i="11"/>
  <c r="H7" i="7"/>
  <c r="K39" i="11"/>
  <c r="N45" i="11"/>
  <c r="L42" i="11"/>
  <c r="I205" i="4"/>
  <c r="Q205" i="4" s="1"/>
  <c r="H8" i="7"/>
  <c r="L38" i="11"/>
  <c r="I72" i="4"/>
  <c r="M72" i="4" s="1"/>
  <c r="I112" i="4"/>
  <c r="H113" i="9" s="1"/>
  <c r="I90" i="4"/>
  <c r="L45" i="11"/>
  <c r="H21" i="10"/>
  <c r="T21" i="10"/>
  <c r="B30" i="10"/>
  <c r="N30" i="10"/>
  <c r="I96" i="4"/>
  <c r="I61" i="4"/>
  <c r="R61" i="4" s="1"/>
  <c r="I92" i="4"/>
  <c r="H93" i="9" s="1"/>
  <c r="H224" i="4"/>
  <c r="I223" i="4"/>
  <c r="I189" i="4"/>
  <c r="H190" i="9" s="1"/>
  <c r="H206" i="4"/>
  <c r="G81" i="9"/>
  <c r="L41" i="11"/>
  <c r="I94" i="4"/>
  <c r="H95" i="9" s="1"/>
  <c r="I158" i="4"/>
  <c r="H159" i="9" s="1"/>
  <c r="N41" i="11"/>
  <c r="K46" i="11"/>
  <c r="I49" i="4"/>
  <c r="M49" i="4" s="1"/>
  <c r="I141" i="4"/>
  <c r="H142" i="9" s="1"/>
  <c r="I173" i="4"/>
  <c r="I168" i="4"/>
  <c r="I20" i="4"/>
  <c r="P20" i="4" s="1"/>
  <c r="I127" i="4"/>
  <c r="H128" i="9" s="1"/>
  <c r="B12" i="10"/>
  <c r="N12" i="10"/>
  <c r="I27" i="4"/>
  <c r="Q27" i="4" s="1"/>
  <c r="F51" i="4"/>
  <c r="H150" i="4"/>
  <c r="I150" i="4" s="1"/>
  <c r="I185" i="4"/>
  <c r="I129" i="4"/>
  <c r="H130" i="9" s="1"/>
  <c r="K41" i="11"/>
  <c r="I85" i="4"/>
  <c r="H86" i="9" s="1"/>
  <c r="I184" i="4"/>
  <c r="H162" i="4"/>
  <c r="I162" i="4" s="1"/>
  <c r="H163" i="9" s="1"/>
  <c r="G13" i="9"/>
  <c r="G28" i="9"/>
  <c r="G40" i="9"/>
  <c r="F87" i="4"/>
  <c r="H87" i="4"/>
  <c r="H167" i="4"/>
  <c r="F167" i="4"/>
  <c r="G24" i="9"/>
  <c r="G36" i="9"/>
  <c r="H51" i="4"/>
  <c r="I51" i="4" s="1"/>
  <c r="P51" i="4" s="1"/>
  <c r="F97" i="4"/>
  <c r="G44" i="9"/>
  <c r="G17" i="9"/>
  <c r="F18" i="4"/>
  <c r="F47" i="4"/>
  <c r="I25" i="4"/>
  <c r="R25" i="4" s="1"/>
  <c r="I62" i="4"/>
  <c r="I54" i="4"/>
  <c r="H55" i="9" s="1"/>
  <c r="I64" i="4"/>
  <c r="Q64" i="4" s="1"/>
  <c r="G30" i="9"/>
  <c r="G46" i="9"/>
  <c r="I156" i="4"/>
  <c r="H157" i="9" s="1"/>
  <c r="I199" i="4"/>
  <c r="H200" i="9" s="1"/>
  <c r="I23" i="4"/>
  <c r="Q23" i="4" s="1"/>
  <c r="I74" i="4"/>
  <c r="I86" i="4"/>
  <c r="H87" i="9" s="1"/>
  <c r="D30" i="9"/>
  <c r="D46" i="9"/>
  <c r="I57" i="4"/>
  <c r="G15" i="9"/>
  <c r="D36" i="9"/>
  <c r="G26" i="9"/>
  <c r="I125" i="4"/>
  <c r="H126" i="9" s="1"/>
  <c r="I172" i="4"/>
  <c r="I113" i="4"/>
  <c r="H114" i="9" s="1"/>
  <c r="I197" i="4"/>
  <c r="P197" i="4" s="1"/>
  <c r="I84" i="4"/>
  <c r="I193" i="4"/>
  <c r="H194" i="9" s="1"/>
  <c r="I123" i="4"/>
  <c r="I110" i="4"/>
  <c r="H111" i="9" s="1"/>
  <c r="I136" i="4"/>
  <c r="H137" i="9" s="1"/>
  <c r="I227" i="4"/>
  <c r="H228" i="9" s="1"/>
  <c r="I66" i="4"/>
  <c r="M66" i="4" s="1"/>
  <c r="H95" i="4"/>
  <c r="G42" i="9"/>
  <c r="G38" i="9"/>
  <c r="G58" i="9"/>
  <c r="I216" i="4"/>
  <c r="G11" i="9"/>
  <c r="C15" i="9"/>
  <c r="C19" i="9"/>
  <c r="G19" i="9"/>
  <c r="I58" i="4"/>
  <c r="I118" i="4"/>
  <c r="H119" i="9" s="1"/>
  <c r="I83" i="4"/>
  <c r="I133" i="4"/>
  <c r="R133" i="4" s="1"/>
  <c r="I142" i="4"/>
  <c r="H143" i="9" s="1"/>
  <c r="I137" i="4"/>
  <c r="H138" i="9" s="1"/>
  <c r="D38" i="9"/>
  <c r="D58" i="9"/>
  <c r="I209" i="4"/>
  <c r="I207" i="4"/>
  <c r="I9" i="4"/>
  <c r="I29" i="4"/>
  <c r="R29" i="4" s="1"/>
  <c r="I55" i="4"/>
  <c r="I102" i="4"/>
  <c r="I120" i="4"/>
  <c r="I128" i="4"/>
  <c r="H129" i="9" s="1"/>
  <c r="I44" i="4"/>
  <c r="I104" i="4"/>
  <c r="H105" i="9" s="1"/>
  <c r="I195" i="4"/>
  <c r="I45" i="4"/>
  <c r="M45" i="4" s="1"/>
  <c r="I100" i="4"/>
  <c r="H101" i="9" s="1"/>
  <c r="C32" i="9"/>
  <c r="C48" i="9"/>
  <c r="C11" i="9"/>
  <c r="F166" i="4"/>
  <c r="C17" i="9"/>
  <c r="D40" i="9"/>
  <c r="C28" i="9"/>
  <c r="D13" i="9"/>
  <c r="H34" i="4"/>
  <c r="F34" i="4"/>
  <c r="I7" i="4"/>
  <c r="N7" i="4" s="1"/>
  <c r="I114" i="4"/>
  <c r="H115" i="9" s="1"/>
  <c r="I131" i="4"/>
  <c r="I225" i="4"/>
  <c r="H226" i="9" s="1"/>
  <c r="I213" i="4"/>
  <c r="O213" i="4" s="1"/>
  <c r="I56" i="4"/>
  <c r="N56" i="4" s="1"/>
  <c r="I5" i="4"/>
  <c r="I99" i="4"/>
  <c r="I226" i="4"/>
  <c r="I46" i="4"/>
  <c r="I214" i="4"/>
  <c r="I157" i="4"/>
  <c r="H166" i="4"/>
  <c r="I166" i="4" s="1"/>
  <c r="R166" i="4" s="1"/>
  <c r="G32" i="9"/>
  <c r="H119" i="4"/>
  <c r="F119" i="4"/>
  <c r="G34" i="9"/>
  <c r="H121" i="4"/>
  <c r="F121" i="4"/>
  <c r="H103" i="4"/>
  <c r="F103" i="4"/>
  <c r="H200" i="4"/>
  <c r="I200" i="4" s="1"/>
  <c r="H201" i="9" s="1"/>
  <c r="I13" i="4"/>
  <c r="I31" i="4"/>
  <c r="N31" i="4" s="1"/>
  <c r="I17" i="4"/>
  <c r="H18" i="9" s="1"/>
  <c r="I91" i="4"/>
  <c r="H92" i="9" s="1"/>
  <c r="I77" i="4"/>
  <c r="H78" i="9" s="1"/>
  <c r="I160" i="4"/>
  <c r="H161" i="9" s="1"/>
  <c r="I48" i="4"/>
  <c r="N48" i="4" s="1"/>
  <c r="I43" i="4"/>
  <c r="P43" i="4" s="1"/>
  <c r="I116" i="4"/>
  <c r="H117" i="9" s="1"/>
  <c r="I211" i="4"/>
  <c r="I146" i="4"/>
  <c r="H147" i="9" s="1"/>
  <c r="I161" i="4"/>
  <c r="H162" i="9" s="1"/>
  <c r="I106" i="4"/>
  <c r="H107" i="9" s="1"/>
  <c r="I80" i="4"/>
  <c r="L80" i="4" s="1"/>
  <c r="I149" i="4"/>
  <c r="H150" i="9" s="1"/>
  <c r="I122" i="4"/>
  <c r="I132" i="4"/>
  <c r="H133" i="9" s="1"/>
  <c r="I164" i="4"/>
  <c r="I145" i="4"/>
  <c r="H146" i="9" s="1"/>
  <c r="I63" i="4"/>
  <c r="H64" i="9" s="1"/>
  <c r="I175" i="4"/>
  <c r="F71" i="4"/>
  <c r="I108" i="4"/>
  <c r="H109" i="9" s="1"/>
  <c r="I188" i="4"/>
  <c r="I180" i="4"/>
  <c r="I191" i="4"/>
  <c r="I52" i="4"/>
  <c r="H53" i="9" s="1"/>
  <c r="I21" i="4"/>
  <c r="I41" i="4"/>
  <c r="I18" i="4"/>
  <c r="N18" i="4" s="1"/>
  <c r="I98" i="4"/>
  <c r="H99" i="9" s="1"/>
  <c r="I186" i="4"/>
  <c r="I165" i="4"/>
  <c r="H166" i="9" s="1"/>
  <c r="I169" i="4"/>
  <c r="I215" i="4"/>
  <c r="H216" i="9" s="1"/>
  <c r="I217" i="4"/>
  <c r="H218" i="9" s="1"/>
  <c r="I78" i="4"/>
  <c r="I76" i="4"/>
  <c r="L76" i="4" s="1"/>
  <c r="I39" i="4"/>
  <c r="N39" i="4" s="1"/>
  <c r="I148" i="4"/>
  <c r="H149" i="9" s="1"/>
  <c r="R83" i="4"/>
  <c r="P83" i="4"/>
  <c r="L214" i="4"/>
  <c r="R141" i="4"/>
  <c r="N141" i="4"/>
  <c r="Q141" i="4"/>
  <c r="M141" i="4"/>
  <c r="P141" i="4"/>
  <c r="L141" i="4"/>
  <c r="O141" i="4"/>
  <c r="L9" i="4"/>
  <c r="O9" i="4"/>
  <c r="O35" i="4"/>
  <c r="R35" i="4"/>
  <c r="N35" i="4"/>
  <c r="Q35" i="4"/>
  <c r="M35" i="4"/>
  <c r="P35" i="4"/>
  <c r="L35" i="4"/>
  <c r="H14" i="9"/>
  <c r="Q37" i="4"/>
  <c r="M37" i="4"/>
  <c r="P37" i="4"/>
  <c r="L37" i="4"/>
  <c r="O37" i="4"/>
  <c r="R37" i="4"/>
  <c r="N37" i="4"/>
  <c r="O62" i="4"/>
  <c r="R62" i="4"/>
  <c r="N62" i="4"/>
  <c r="Q62" i="4"/>
  <c r="M62" i="4"/>
  <c r="P62" i="4"/>
  <c r="L62" i="4"/>
  <c r="R82" i="4"/>
  <c r="N82" i="4"/>
  <c r="P82" i="4"/>
  <c r="L82" i="4"/>
  <c r="O82" i="4"/>
  <c r="M82" i="4"/>
  <c r="Q82" i="4"/>
  <c r="R102" i="4"/>
  <c r="N102" i="4"/>
  <c r="Q102" i="4"/>
  <c r="P102" i="4"/>
  <c r="L102" i="4"/>
  <c r="O102" i="4"/>
  <c r="P92" i="4"/>
  <c r="L92" i="4"/>
  <c r="O92" i="4"/>
  <c r="R92" i="4"/>
  <c r="N92" i="4"/>
  <c r="M92" i="4"/>
  <c r="Q92" i="4"/>
  <c r="O156" i="4"/>
  <c r="R156" i="4"/>
  <c r="M156" i="4"/>
  <c r="P156" i="4"/>
  <c r="Q193" i="4"/>
  <c r="M193" i="4"/>
  <c r="O193" i="4"/>
  <c r="R86" i="4"/>
  <c r="N86" i="4"/>
  <c r="O86" i="4"/>
  <c r="M86" i="4"/>
  <c r="O140" i="4"/>
  <c r="R140" i="4"/>
  <c r="N140" i="4"/>
  <c r="Q140" i="4"/>
  <c r="M140" i="4"/>
  <c r="P140" i="4"/>
  <c r="L140" i="4"/>
  <c r="R181" i="4"/>
  <c r="N181" i="4"/>
  <c r="Q181" i="4"/>
  <c r="M181" i="4"/>
  <c r="P181" i="4"/>
  <c r="L181" i="4"/>
  <c r="O181" i="4"/>
  <c r="L189" i="4"/>
  <c r="O66" i="4"/>
  <c r="P66" i="4"/>
  <c r="O85" i="4"/>
  <c r="Q85" i="4"/>
  <c r="M85" i="4"/>
  <c r="R85" i="4"/>
  <c r="P85" i="4"/>
  <c r="N85" i="4"/>
  <c r="L85" i="4"/>
  <c r="Q184" i="4"/>
  <c r="Q162" i="4"/>
  <c r="Q99" i="4"/>
  <c r="M99" i="4"/>
  <c r="P99" i="4"/>
  <c r="O99" i="4"/>
  <c r="N99" i="4"/>
  <c r="R99" i="4"/>
  <c r="O65" i="4"/>
  <c r="R65" i="4"/>
  <c r="M65" i="4"/>
  <c r="R90" i="4"/>
  <c r="N90" i="4"/>
  <c r="Q90" i="4"/>
  <c r="M90" i="4"/>
  <c r="P90" i="4"/>
  <c r="L90" i="4"/>
  <c r="O90" i="4"/>
  <c r="M142" i="4"/>
  <c r="P142" i="4"/>
  <c r="R142" i="4"/>
  <c r="N142" i="4"/>
  <c r="Q157" i="4"/>
  <c r="M157" i="4"/>
  <c r="P168" i="4"/>
  <c r="Q13" i="4"/>
  <c r="M13" i="4"/>
  <c r="P13" i="4"/>
  <c r="L13" i="4"/>
  <c r="O13" i="4"/>
  <c r="R13" i="4"/>
  <c r="N13" i="4"/>
  <c r="R31" i="4"/>
  <c r="P31" i="4"/>
  <c r="L31" i="4"/>
  <c r="Q91" i="4"/>
  <c r="L91" i="4"/>
  <c r="P77" i="4"/>
  <c r="L77" i="4"/>
  <c r="O77" i="4"/>
  <c r="R77" i="4"/>
  <c r="N77" i="4"/>
  <c r="Q77" i="4"/>
  <c r="M77" i="4"/>
  <c r="N160" i="4"/>
  <c r="Q160" i="4"/>
  <c r="L160" i="4"/>
  <c r="R43" i="4"/>
  <c r="L43" i="4"/>
  <c r="P116" i="4"/>
  <c r="L116" i="4"/>
  <c r="O116" i="4"/>
  <c r="R116" i="4"/>
  <c r="N116" i="4"/>
  <c r="Q116" i="4"/>
  <c r="M116" i="4"/>
  <c r="P211" i="4"/>
  <c r="N211" i="4"/>
  <c r="M146" i="4"/>
  <c r="Q161" i="4"/>
  <c r="M161" i="4"/>
  <c r="R106" i="4"/>
  <c r="N106" i="4"/>
  <c r="Q106" i="4"/>
  <c r="M106" i="4"/>
  <c r="P106" i="4"/>
  <c r="L106" i="4"/>
  <c r="O106" i="4"/>
  <c r="R80" i="4"/>
  <c r="N80" i="4"/>
  <c r="P80" i="4"/>
  <c r="O122" i="4"/>
  <c r="O132" i="4"/>
  <c r="R132" i="4"/>
  <c r="N132" i="4"/>
  <c r="Q132" i="4"/>
  <c r="M132" i="4"/>
  <c r="P132" i="4"/>
  <c r="L132" i="4"/>
  <c r="R164" i="4"/>
  <c r="N164" i="4"/>
  <c r="P164" i="4"/>
  <c r="Q63" i="4"/>
  <c r="L63" i="4"/>
  <c r="P175" i="4"/>
  <c r="L175" i="4"/>
  <c r="R175" i="4"/>
  <c r="N175" i="4"/>
  <c r="M175" i="4"/>
  <c r="P114" i="4"/>
  <c r="R137" i="4"/>
  <c r="N137" i="4"/>
  <c r="Q137" i="4"/>
  <c r="M137" i="4"/>
  <c r="P137" i="4"/>
  <c r="L137" i="4"/>
  <c r="O137" i="4"/>
  <c r="O113" i="4"/>
  <c r="R113" i="4"/>
  <c r="N113" i="4"/>
  <c r="Q113" i="4"/>
  <c r="M113" i="4"/>
  <c r="P113" i="4"/>
  <c r="L113" i="4"/>
  <c r="R209" i="4"/>
  <c r="M209" i="4"/>
  <c r="P209" i="4"/>
  <c r="M25" i="4"/>
  <c r="Q33" i="4"/>
  <c r="M33" i="4"/>
  <c r="P33" i="4"/>
  <c r="L33" i="4"/>
  <c r="O33" i="4"/>
  <c r="R33" i="4"/>
  <c r="N33" i="4"/>
  <c r="Q60" i="4"/>
  <c r="M60" i="4"/>
  <c r="P60" i="4"/>
  <c r="L60" i="4"/>
  <c r="O60" i="4"/>
  <c r="R60" i="4"/>
  <c r="N60" i="4"/>
  <c r="O55" i="4"/>
  <c r="R55" i="4"/>
  <c r="M55" i="4"/>
  <c r="R128" i="4"/>
  <c r="Q44" i="4"/>
  <c r="M44" i="4"/>
  <c r="O44" i="4"/>
  <c r="R201" i="4"/>
  <c r="N201" i="4"/>
  <c r="Q201" i="4"/>
  <c r="M201" i="4"/>
  <c r="P201" i="4"/>
  <c r="L201" i="4"/>
  <c r="O201" i="4"/>
  <c r="O144" i="4"/>
  <c r="R144" i="4"/>
  <c r="N144" i="4"/>
  <c r="Q144" i="4"/>
  <c r="M144" i="4"/>
  <c r="P144" i="4"/>
  <c r="L144" i="4"/>
  <c r="P129" i="4"/>
  <c r="N136" i="4"/>
  <c r="Q136" i="4"/>
  <c r="P136" i="4"/>
  <c r="P227" i="4"/>
  <c r="L227" i="4"/>
  <c r="O227" i="4"/>
  <c r="R227" i="4"/>
  <c r="N227" i="4"/>
  <c r="Q227" i="4"/>
  <c r="M227" i="4"/>
  <c r="M57" i="4"/>
  <c r="L100" i="4"/>
  <c r="O100" i="4"/>
  <c r="Q100" i="4"/>
  <c r="M100" i="4"/>
  <c r="Q158" i="4"/>
  <c r="M158" i="4"/>
  <c r="P158" i="4"/>
  <c r="L158" i="4"/>
  <c r="O158" i="4"/>
  <c r="R158" i="4"/>
  <c r="N158" i="4"/>
  <c r="O70" i="4"/>
  <c r="R70" i="4"/>
  <c r="N70" i="4"/>
  <c r="Q70" i="4"/>
  <c r="M70" i="4"/>
  <c r="P70" i="4"/>
  <c r="L70" i="4"/>
  <c r="M188" i="4"/>
  <c r="N188" i="4"/>
  <c r="O180" i="4"/>
  <c r="R180" i="4"/>
  <c r="N180" i="4"/>
  <c r="Q180" i="4"/>
  <c r="M180" i="4"/>
  <c r="P180" i="4"/>
  <c r="L180" i="4"/>
  <c r="R191" i="4"/>
  <c r="Q191" i="4"/>
  <c r="P21" i="4"/>
  <c r="Q41" i="4"/>
  <c r="M41" i="4"/>
  <c r="P41" i="4"/>
  <c r="L41" i="4"/>
  <c r="O41" i="4"/>
  <c r="R41" i="4"/>
  <c r="N41" i="4"/>
  <c r="P18" i="4"/>
  <c r="R18" i="4"/>
  <c r="L98" i="4"/>
  <c r="O186" i="4"/>
  <c r="R165" i="4"/>
  <c r="N165" i="4"/>
  <c r="Q165" i="4"/>
  <c r="M165" i="4"/>
  <c r="P165" i="4"/>
  <c r="L165" i="4"/>
  <c r="O165" i="4"/>
  <c r="N169" i="4"/>
  <c r="Q169" i="4"/>
  <c r="L169" i="4"/>
  <c r="Q217" i="4"/>
  <c r="L217" i="4"/>
  <c r="O78" i="4"/>
  <c r="R78" i="4"/>
  <c r="N78" i="4"/>
  <c r="Q78" i="4"/>
  <c r="M78" i="4"/>
  <c r="P78" i="4"/>
  <c r="L78" i="4"/>
  <c r="P76" i="4"/>
  <c r="N76" i="4"/>
  <c r="O148" i="4"/>
  <c r="R148" i="4"/>
  <c r="N148" i="4"/>
  <c r="Q148" i="4"/>
  <c r="M148" i="4"/>
  <c r="P148" i="4"/>
  <c r="L148" i="4"/>
  <c r="F40" i="11"/>
  <c r="B40" i="11"/>
  <c r="E40" i="11"/>
  <c r="A40" i="11"/>
  <c r="D40" i="11"/>
  <c r="G40" i="11"/>
  <c r="C40" i="11"/>
  <c r="I7" i="9"/>
  <c r="H40" i="11" s="1"/>
  <c r="F89" i="4"/>
  <c r="H89" i="4"/>
  <c r="F105" i="4"/>
  <c r="H105" i="4"/>
  <c r="Q131" i="4"/>
  <c r="P203" i="4"/>
  <c r="L203" i="4"/>
  <c r="O203" i="4"/>
  <c r="R203" i="4"/>
  <c r="N203" i="4"/>
  <c r="Q203" i="4"/>
  <c r="M203" i="4"/>
  <c r="P219" i="4"/>
  <c r="L219" i="4"/>
  <c r="O219" i="4"/>
  <c r="R219" i="4"/>
  <c r="N219" i="4"/>
  <c r="Q219" i="4"/>
  <c r="M219" i="4"/>
  <c r="P50" i="4"/>
  <c r="L50" i="4"/>
  <c r="O50" i="4"/>
  <c r="R50" i="4"/>
  <c r="N50" i="4"/>
  <c r="Q50" i="4"/>
  <c r="M50" i="4"/>
  <c r="H47" i="4"/>
  <c r="M96" i="4"/>
  <c r="P127" i="4"/>
  <c r="L127" i="4"/>
  <c r="O127" i="4"/>
  <c r="R127" i="4"/>
  <c r="N127" i="4"/>
  <c r="Q127" i="4"/>
  <c r="M127" i="4"/>
  <c r="P199" i="4"/>
  <c r="L199" i="4"/>
  <c r="O199" i="4"/>
  <c r="R199" i="4"/>
  <c r="N199" i="4"/>
  <c r="Q199" i="4"/>
  <c r="M199" i="4"/>
  <c r="F224" i="4"/>
  <c r="I224" i="4" s="1"/>
  <c r="H225" i="9" s="1"/>
  <c r="P123" i="4"/>
  <c r="L123" i="4"/>
  <c r="O123" i="4"/>
  <c r="R123" i="4"/>
  <c r="N123" i="4"/>
  <c r="Q123" i="4"/>
  <c r="M123" i="4"/>
  <c r="H81" i="4"/>
  <c r="F81" i="4"/>
  <c r="F93" i="4"/>
  <c r="H93" i="4"/>
  <c r="H159" i="4"/>
  <c r="F159" i="4"/>
  <c r="H218" i="4"/>
  <c r="F218" i="4"/>
  <c r="F192" i="4"/>
  <c r="H192" i="4"/>
  <c r="F210" i="4"/>
  <c r="F36" i="4"/>
  <c r="H36" i="4"/>
  <c r="D15" i="9"/>
  <c r="F11" i="4"/>
  <c r="H11" i="4"/>
  <c r="F134" i="4"/>
  <c r="F138" i="4"/>
  <c r="F170" i="4"/>
  <c r="H179" i="4"/>
  <c r="F179" i="4"/>
  <c r="H14" i="4"/>
  <c r="I14" i="4" s="1"/>
  <c r="H111" i="4"/>
  <c r="I111" i="4" s="1"/>
  <c r="H112" i="9" s="1"/>
  <c r="H171" i="4"/>
  <c r="F22" i="4"/>
  <c r="F59" i="4"/>
  <c r="H97" i="4"/>
  <c r="F220" i="4"/>
  <c r="I220" i="4" s="1"/>
  <c r="H221" i="9" s="1"/>
  <c r="F8" i="4"/>
  <c r="H8" i="4"/>
  <c r="D9" i="9"/>
  <c r="H187" i="4"/>
  <c r="F187" i="4"/>
  <c r="F12" i="4"/>
  <c r="H12" i="4"/>
  <c r="F16" i="4"/>
  <c r="H16" i="4"/>
  <c r="F75" i="4"/>
  <c r="H75" i="4"/>
  <c r="F15" i="4"/>
  <c r="H15" i="4"/>
  <c r="H73" i="4"/>
  <c r="F73" i="4"/>
  <c r="F101" i="4"/>
  <c r="H101" i="4"/>
  <c r="H135" i="4"/>
  <c r="F135" i="4"/>
  <c r="F204" i="4"/>
  <c r="H204" i="4"/>
  <c r="F222" i="4"/>
  <c r="H210" i="4"/>
  <c r="F40" i="4"/>
  <c r="H40" i="4"/>
  <c r="R67" i="4"/>
  <c r="N67" i="4"/>
  <c r="Q67" i="4"/>
  <c r="M67" i="4"/>
  <c r="P67" i="4"/>
  <c r="L67" i="4"/>
  <c r="O67" i="4"/>
  <c r="L56" i="4"/>
  <c r="F115" i="4"/>
  <c r="H69" i="4"/>
  <c r="F69" i="4"/>
  <c r="H130" i="4"/>
  <c r="F130" i="4"/>
  <c r="P88" i="4"/>
  <c r="L88" i="4"/>
  <c r="O88" i="4"/>
  <c r="R88" i="4"/>
  <c r="N88" i="4"/>
  <c r="Q88" i="4"/>
  <c r="M88" i="4"/>
  <c r="M94" i="4"/>
  <c r="F126" i="4"/>
  <c r="H134" i="4"/>
  <c r="R153" i="4"/>
  <c r="N153" i="4"/>
  <c r="Q153" i="4"/>
  <c r="M153" i="4"/>
  <c r="P153" i="4"/>
  <c r="L153" i="4"/>
  <c r="O153" i="4"/>
  <c r="H138" i="4"/>
  <c r="H170" i="4"/>
  <c r="F194" i="4"/>
  <c r="F196" i="4"/>
  <c r="H196" i="4"/>
  <c r="F208" i="4"/>
  <c r="H208" i="4"/>
  <c r="F10" i="4"/>
  <c r="I10" i="4" s="1"/>
  <c r="H22" i="4"/>
  <c r="H71" i="4"/>
  <c r="I71" i="4" s="1"/>
  <c r="F174" i="4"/>
  <c r="H147" i="4"/>
  <c r="F147" i="4"/>
  <c r="H163" i="4"/>
  <c r="F163" i="4"/>
  <c r="F24" i="4"/>
  <c r="H24" i="4"/>
  <c r="H38" i="4"/>
  <c r="F38" i="4"/>
  <c r="F109" i="4"/>
  <c r="H109" i="4"/>
  <c r="H143" i="4"/>
  <c r="F143" i="4"/>
  <c r="H202" i="4"/>
  <c r="F202" i="4"/>
  <c r="F212" i="4"/>
  <c r="H212" i="4"/>
  <c r="H222" i="4"/>
  <c r="H26" i="4"/>
  <c r="F26" i="4"/>
  <c r="H115" i="4"/>
  <c r="H126" i="4"/>
  <c r="F154" i="4"/>
  <c r="I154" i="4" s="1"/>
  <c r="H155" i="9" s="1"/>
  <c r="F206" i="4"/>
  <c r="I206" i="4" s="1"/>
  <c r="H194" i="4"/>
  <c r="I171" i="4"/>
  <c r="H172" i="9" s="1"/>
  <c r="F30" i="4"/>
  <c r="H59" i="4"/>
  <c r="F95" i="4"/>
  <c r="H174" i="4"/>
  <c r="F32" i="4"/>
  <c r="H32" i="4"/>
  <c r="D11" i="9"/>
  <c r="R28" i="4"/>
  <c r="N28" i="4"/>
  <c r="Q28" i="4"/>
  <c r="M28" i="4"/>
  <c r="P28" i="4"/>
  <c r="L28" i="4"/>
  <c r="O28" i="4"/>
  <c r="R49" i="4"/>
  <c r="P6" i="4"/>
  <c r="L6" i="4"/>
  <c r="O6" i="4"/>
  <c r="R6" i="4"/>
  <c r="N6" i="4"/>
  <c r="Q6" i="4"/>
  <c r="M6" i="4"/>
  <c r="Q68" i="4"/>
  <c r="M68" i="4"/>
  <c r="P68" i="4"/>
  <c r="L68" i="4"/>
  <c r="O68" i="4"/>
  <c r="R68" i="4"/>
  <c r="N68" i="4"/>
  <c r="O58" i="4"/>
  <c r="R58" i="4"/>
  <c r="N58" i="4"/>
  <c r="Q58" i="4"/>
  <c r="M58" i="4"/>
  <c r="P58" i="4"/>
  <c r="L58" i="4"/>
  <c r="R72" i="4"/>
  <c r="O112" i="4"/>
  <c r="R118" i="4"/>
  <c r="N118" i="4"/>
  <c r="Q118" i="4"/>
  <c r="M118" i="4"/>
  <c r="P118" i="4"/>
  <c r="L118" i="4"/>
  <c r="O118" i="4"/>
  <c r="O172" i="4"/>
  <c r="R172" i="4"/>
  <c r="N172" i="4"/>
  <c r="Q172" i="4"/>
  <c r="M172" i="4"/>
  <c r="P172" i="4"/>
  <c r="L172" i="4"/>
  <c r="O176" i="4"/>
  <c r="R176" i="4"/>
  <c r="N176" i="4"/>
  <c r="Q176" i="4"/>
  <c r="M176" i="4"/>
  <c r="P176" i="4"/>
  <c r="L176" i="4"/>
  <c r="Q198" i="4"/>
  <c r="M198" i="4"/>
  <c r="P198" i="4"/>
  <c r="L198" i="4"/>
  <c r="O198" i="4"/>
  <c r="N198" i="4"/>
  <c r="R198" i="4"/>
  <c r="R173" i="4"/>
  <c r="N173" i="4"/>
  <c r="Q173" i="4"/>
  <c r="M173" i="4"/>
  <c r="P173" i="4"/>
  <c r="L173" i="4"/>
  <c r="O173" i="4"/>
  <c r="P139" i="4"/>
  <c r="L139" i="4"/>
  <c r="O139" i="4"/>
  <c r="R139" i="4"/>
  <c r="N139" i="4"/>
  <c r="Q139" i="4"/>
  <c r="M139" i="4"/>
  <c r="P183" i="4"/>
  <c r="L183" i="4"/>
  <c r="O183" i="4"/>
  <c r="R183" i="4"/>
  <c r="N183" i="4"/>
  <c r="Q183" i="4"/>
  <c r="M183" i="4"/>
  <c r="P221" i="4"/>
  <c r="Q190" i="4"/>
  <c r="M190" i="4"/>
  <c r="P190" i="4"/>
  <c r="L190" i="4"/>
  <c r="O190" i="4"/>
  <c r="R190" i="4"/>
  <c r="N190" i="4"/>
  <c r="R225" i="4"/>
  <c r="N225" i="4"/>
  <c r="Q225" i="4"/>
  <c r="M225" i="4"/>
  <c r="P225" i="4"/>
  <c r="L225" i="4"/>
  <c r="O225" i="4"/>
  <c r="P207" i="4"/>
  <c r="L207" i="4"/>
  <c r="O207" i="4"/>
  <c r="R207" i="4"/>
  <c r="N207" i="4"/>
  <c r="M207" i="4"/>
  <c r="Q207" i="4"/>
  <c r="N226" i="4"/>
  <c r="F4" i="4"/>
  <c r="H4" i="4"/>
  <c r="D5" i="9"/>
  <c r="R20" i="4"/>
  <c r="M29" i="4"/>
  <c r="Q53" i="4"/>
  <c r="R53" i="4"/>
  <c r="M53" i="4"/>
  <c r="P53" i="4"/>
  <c r="L53" i="4"/>
  <c r="O53" i="4"/>
  <c r="N53" i="4"/>
  <c r="P54" i="4"/>
  <c r="O54" i="4"/>
  <c r="L64" i="4"/>
  <c r="Q120" i="4"/>
  <c r="M120" i="4"/>
  <c r="O120" i="4"/>
  <c r="N120" i="4"/>
  <c r="Q182" i="4"/>
  <c r="M182" i="4"/>
  <c r="P182" i="4"/>
  <c r="L182" i="4"/>
  <c r="O182" i="4"/>
  <c r="R182" i="4"/>
  <c r="N182" i="4"/>
  <c r="O152" i="4"/>
  <c r="R152" i="4"/>
  <c r="N152" i="4"/>
  <c r="Q152" i="4"/>
  <c r="M152" i="4"/>
  <c r="L152" i="4"/>
  <c r="P152" i="4"/>
  <c r="R177" i="4"/>
  <c r="N177" i="4"/>
  <c r="Q177" i="4"/>
  <c r="M177" i="4"/>
  <c r="P177" i="4"/>
  <c r="L177" i="4"/>
  <c r="O177" i="4"/>
  <c r="R205" i="4"/>
  <c r="P205" i="4"/>
  <c r="O124" i="4"/>
  <c r="R124" i="4"/>
  <c r="N124" i="4"/>
  <c r="Q124" i="4"/>
  <c r="M124" i="4"/>
  <c r="P124" i="4"/>
  <c r="L124" i="4"/>
  <c r="P223" i="4"/>
  <c r="Q223" i="4"/>
  <c r="O27" i="4"/>
  <c r="P27" i="4"/>
  <c r="P104" i="4"/>
  <c r="L104" i="4"/>
  <c r="O104" i="4"/>
  <c r="R104" i="4"/>
  <c r="N104" i="4"/>
  <c r="Q104" i="4"/>
  <c r="M104" i="4"/>
  <c r="Q110" i="4"/>
  <c r="R185" i="4"/>
  <c r="L185" i="4"/>
  <c r="F117" i="4"/>
  <c r="H117" i="4"/>
  <c r="H151" i="4"/>
  <c r="F151" i="4"/>
  <c r="O195" i="4"/>
  <c r="N195" i="4"/>
  <c r="N19" i="4"/>
  <c r="Q19" i="4"/>
  <c r="L19" i="4"/>
  <c r="H42" i="4"/>
  <c r="F42" i="4"/>
  <c r="M79" i="4" l="1"/>
  <c r="O79" i="4"/>
  <c r="H156" i="9"/>
  <c r="L155" i="4"/>
  <c r="Q155" i="4"/>
  <c r="O155" i="4"/>
  <c r="M155" i="4"/>
  <c r="O110" i="4"/>
  <c r="R23" i="4"/>
  <c r="R27" i="4"/>
  <c r="L205" i="4"/>
  <c r="N205" i="4"/>
  <c r="N20" i="4"/>
  <c r="Q112" i="4"/>
  <c r="Q49" i="4"/>
  <c r="I95" i="4"/>
  <c r="P94" i="4"/>
  <c r="N52" i="4"/>
  <c r="P61" i="4"/>
  <c r="P25" i="4"/>
  <c r="N146" i="4"/>
  <c r="M162" i="4"/>
  <c r="M189" i="4"/>
  <c r="R110" i="4"/>
  <c r="L23" i="4"/>
  <c r="M27" i="4"/>
  <c r="M205" i="4"/>
  <c r="L20" i="4"/>
  <c r="L112" i="4"/>
  <c r="O49" i="4"/>
  <c r="I30" i="4"/>
  <c r="R94" i="4"/>
  <c r="M129" i="4"/>
  <c r="N61" i="4"/>
  <c r="N25" i="4"/>
  <c r="N162" i="4"/>
  <c r="R189" i="4"/>
  <c r="P19" i="4"/>
  <c r="R19" i="4"/>
  <c r="I42" i="4"/>
  <c r="M19" i="4"/>
  <c r="N23" i="4"/>
  <c r="O205" i="4"/>
  <c r="M112" i="4"/>
  <c r="I8" i="4"/>
  <c r="R129" i="4"/>
  <c r="L149" i="4"/>
  <c r="O162" i="4"/>
  <c r="I178" i="4"/>
  <c r="F86" i="11"/>
  <c r="D86" i="11"/>
  <c r="C86" i="11"/>
  <c r="G86" i="11"/>
  <c r="A86" i="11"/>
  <c r="E86" i="11"/>
  <c r="B86" i="11"/>
  <c r="I53" i="9"/>
  <c r="H86" i="11" s="1"/>
  <c r="G51" i="11"/>
  <c r="F51" i="11"/>
  <c r="B51" i="11"/>
  <c r="C111" i="11"/>
  <c r="F111" i="11"/>
  <c r="A111" i="11"/>
  <c r="B111" i="11"/>
  <c r="E111" i="11"/>
  <c r="I78" i="9"/>
  <c r="H111" i="11" s="1"/>
  <c r="D111" i="11"/>
  <c r="G111" i="11"/>
  <c r="D88" i="11"/>
  <c r="G88" i="11"/>
  <c r="F88" i="11"/>
  <c r="E88" i="11"/>
  <c r="C88" i="11"/>
  <c r="B88" i="11"/>
  <c r="A88" i="11"/>
  <c r="I55" i="9"/>
  <c r="H88" i="11" s="1"/>
  <c r="H151" i="9"/>
  <c r="L150" i="4"/>
  <c r="N150" i="4"/>
  <c r="P150" i="4"/>
  <c r="E97" i="11"/>
  <c r="C97" i="11"/>
  <c r="I64" i="9"/>
  <c r="H97" i="11" s="1"/>
  <c r="F97" i="11"/>
  <c r="A97" i="11"/>
  <c r="B97" i="11"/>
  <c r="G97" i="11"/>
  <c r="D97" i="11"/>
  <c r="D188" i="11"/>
  <c r="A188" i="11"/>
  <c r="E188" i="11"/>
  <c r="G188" i="11"/>
  <c r="B188" i="11"/>
  <c r="I155" i="9"/>
  <c r="H188" i="11" s="1"/>
  <c r="C188" i="11"/>
  <c r="F188" i="11"/>
  <c r="I159" i="4"/>
  <c r="H160" i="9" s="1"/>
  <c r="I81" i="4"/>
  <c r="G249" i="11"/>
  <c r="C249" i="11"/>
  <c r="B249" i="11"/>
  <c r="E249" i="11"/>
  <c r="D249" i="11"/>
  <c r="H249" i="11"/>
  <c r="F249" i="11"/>
  <c r="I216" i="9"/>
  <c r="A249" i="11"/>
  <c r="C132" i="11"/>
  <c r="A132" i="11"/>
  <c r="E132" i="11"/>
  <c r="G132" i="11"/>
  <c r="B132" i="11"/>
  <c r="F132" i="11"/>
  <c r="D132" i="11"/>
  <c r="I99" i="9"/>
  <c r="H132" i="11" s="1"/>
  <c r="G142" i="11"/>
  <c r="E142" i="11"/>
  <c r="I109" i="9"/>
  <c r="H142" i="11"/>
  <c r="C142" i="11"/>
  <c r="A142" i="11"/>
  <c r="F142" i="11"/>
  <c r="D142" i="11"/>
  <c r="B142" i="11"/>
  <c r="E179" i="11"/>
  <c r="G179" i="11"/>
  <c r="B179" i="11"/>
  <c r="I146" i="9"/>
  <c r="H179" i="11" s="1"/>
  <c r="C179" i="11"/>
  <c r="F179" i="11"/>
  <c r="D179" i="11"/>
  <c r="A179" i="11"/>
  <c r="A183" i="11"/>
  <c r="H183" i="11"/>
  <c r="G183" i="11"/>
  <c r="E183" i="11"/>
  <c r="I150" i="9"/>
  <c r="F183" i="11"/>
  <c r="D183" i="11"/>
  <c r="B183" i="11"/>
  <c r="C183" i="11"/>
  <c r="G180" i="11"/>
  <c r="A180" i="11"/>
  <c r="I147" i="9"/>
  <c r="H180" i="11" s="1"/>
  <c r="E180" i="11"/>
  <c r="C180" i="11"/>
  <c r="D180" i="11"/>
  <c r="B180" i="11"/>
  <c r="F180" i="11"/>
  <c r="P166" i="4"/>
  <c r="H167" i="9"/>
  <c r="Q214" i="4"/>
  <c r="H215" i="9"/>
  <c r="P226" i="4"/>
  <c r="H227" i="9"/>
  <c r="L131" i="4"/>
  <c r="H132" i="9"/>
  <c r="E162" i="11"/>
  <c r="G162" i="11"/>
  <c r="A162" i="11"/>
  <c r="C162" i="11"/>
  <c r="F162" i="11"/>
  <c r="H162" i="11"/>
  <c r="I129" i="9"/>
  <c r="B162" i="11"/>
  <c r="D162" i="11"/>
  <c r="P133" i="4"/>
  <c r="H134" i="9"/>
  <c r="L216" i="4"/>
  <c r="H217" i="9"/>
  <c r="M84" i="4"/>
  <c r="H85" i="9"/>
  <c r="B159" i="11"/>
  <c r="D159" i="11"/>
  <c r="F159" i="11"/>
  <c r="C159" i="11"/>
  <c r="E159" i="11"/>
  <c r="G159" i="11"/>
  <c r="A159" i="11"/>
  <c r="I126" i="9"/>
  <c r="H159" i="11"/>
  <c r="B119" i="11"/>
  <c r="D119" i="11"/>
  <c r="G119" i="11"/>
  <c r="E119" i="11"/>
  <c r="I86" i="9"/>
  <c r="H119" i="11"/>
  <c r="C119" i="11"/>
  <c r="F119" i="11"/>
  <c r="A119" i="11"/>
  <c r="H66" i="9"/>
  <c r="H174" i="9"/>
  <c r="B255" i="11"/>
  <c r="C255" i="11"/>
  <c r="F255" i="11"/>
  <c r="I222" i="9"/>
  <c r="H255" i="11" s="1"/>
  <c r="D255" i="11"/>
  <c r="A255" i="11"/>
  <c r="G255" i="11"/>
  <c r="E255" i="11"/>
  <c r="G187" i="11"/>
  <c r="E187" i="11"/>
  <c r="I154" i="9"/>
  <c r="D187" i="11"/>
  <c r="C187" i="11"/>
  <c r="H187" i="11"/>
  <c r="B187" i="11"/>
  <c r="A187" i="11"/>
  <c r="F187" i="11"/>
  <c r="I107" i="4"/>
  <c r="G237" i="11"/>
  <c r="C237" i="11"/>
  <c r="B237" i="11"/>
  <c r="E237" i="11"/>
  <c r="D237" i="11"/>
  <c r="H237" i="11"/>
  <c r="I204" i="9"/>
  <c r="A237" i="11"/>
  <c r="F237" i="11"/>
  <c r="G205" i="11"/>
  <c r="E205" i="11"/>
  <c r="I172" i="9"/>
  <c r="C205" i="11"/>
  <c r="D205" i="11"/>
  <c r="A205" i="11"/>
  <c r="F205" i="11"/>
  <c r="B205" i="11"/>
  <c r="H205" i="11"/>
  <c r="C258" i="11"/>
  <c r="G258" i="11"/>
  <c r="I225" i="9"/>
  <c r="H258" i="11" s="1"/>
  <c r="D258" i="11"/>
  <c r="F258" i="11"/>
  <c r="A258" i="11"/>
  <c r="B258" i="11"/>
  <c r="E258" i="11"/>
  <c r="O169" i="4"/>
  <c r="H170" i="9"/>
  <c r="O191" i="4"/>
  <c r="H192" i="9"/>
  <c r="L164" i="4"/>
  <c r="H165" i="9"/>
  <c r="R211" i="4"/>
  <c r="H212" i="9"/>
  <c r="E194" i="11"/>
  <c r="B194" i="11"/>
  <c r="A194" i="11"/>
  <c r="G194" i="11"/>
  <c r="I161" i="9"/>
  <c r="H194" i="11" s="1"/>
  <c r="D194" i="11"/>
  <c r="C194" i="11"/>
  <c r="F194" i="11"/>
  <c r="L99" i="4"/>
  <c r="H100" i="9"/>
  <c r="E148" i="11"/>
  <c r="G148" i="11"/>
  <c r="A148" i="11"/>
  <c r="I115" i="9"/>
  <c r="H148" i="11" s="1"/>
  <c r="B148" i="11"/>
  <c r="F148" i="11"/>
  <c r="D148" i="11"/>
  <c r="C148" i="11"/>
  <c r="R195" i="4"/>
  <c r="H196" i="9"/>
  <c r="P120" i="4"/>
  <c r="H121" i="9"/>
  <c r="E144" i="11"/>
  <c r="G144" i="11"/>
  <c r="C144" i="11"/>
  <c r="A144" i="11"/>
  <c r="D144" i="11"/>
  <c r="F144" i="11"/>
  <c r="H144" i="11"/>
  <c r="B144" i="11"/>
  <c r="I111" i="9"/>
  <c r="M197" i="4"/>
  <c r="H198" i="9"/>
  <c r="F161" i="11"/>
  <c r="I128" i="9"/>
  <c r="H161" i="11" s="1"/>
  <c r="B161" i="11"/>
  <c r="D161" i="11"/>
  <c r="E161" i="11"/>
  <c r="C161" i="11"/>
  <c r="A161" i="11"/>
  <c r="G161" i="11"/>
  <c r="D175" i="11"/>
  <c r="A175" i="11"/>
  <c r="B175" i="11"/>
  <c r="G175" i="11"/>
  <c r="F175" i="11"/>
  <c r="C175" i="11"/>
  <c r="E175" i="11"/>
  <c r="I142" i="9"/>
  <c r="H175" i="11" s="1"/>
  <c r="G192" i="11"/>
  <c r="B192" i="11"/>
  <c r="I159" i="9"/>
  <c r="C192" i="11"/>
  <c r="F192" i="11"/>
  <c r="D192" i="11"/>
  <c r="A192" i="11"/>
  <c r="H192" i="11"/>
  <c r="E192" i="11"/>
  <c r="B126" i="11"/>
  <c r="D126" i="11"/>
  <c r="A126" i="11"/>
  <c r="F126" i="11"/>
  <c r="G126" i="11"/>
  <c r="E126" i="11"/>
  <c r="I93" i="9"/>
  <c r="C126" i="11"/>
  <c r="H126" i="11"/>
  <c r="H91" i="9"/>
  <c r="H80" i="9"/>
  <c r="H206" i="9"/>
  <c r="C189" i="11"/>
  <c r="D189" i="11"/>
  <c r="F189" i="11"/>
  <c r="B189" i="11"/>
  <c r="A189" i="11"/>
  <c r="I156" i="9"/>
  <c r="H189" i="11" s="1"/>
  <c r="E189" i="11"/>
  <c r="G189" i="11"/>
  <c r="G235" i="11"/>
  <c r="E235" i="11"/>
  <c r="H235" i="11"/>
  <c r="A235" i="11"/>
  <c r="D235" i="11"/>
  <c r="C235" i="11"/>
  <c r="B235" i="11"/>
  <c r="I202" i="9"/>
  <c r="F235" i="11"/>
  <c r="E224" i="11"/>
  <c r="F224" i="11"/>
  <c r="C224" i="11"/>
  <c r="B224" i="11"/>
  <c r="H224" i="11"/>
  <c r="A224" i="11"/>
  <c r="I191" i="9"/>
  <c r="D224" i="11"/>
  <c r="G224" i="11"/>
  <c r="B211" i="11"/>
  <c r="A211" i="11"/>
  <c r="G211" i="11"/>
  <c r="I178" i="9"/>
  <c r="F211" i="11"/>
  <c r="D211" i="11"/>
  <c r="H211" i="11"/>
  <c r="C211" i="11"/>
  <c r="E211" i="11"/>
  <c r="H69" i="9"/>
  <c r="H177" i="9"/>
  <c r="C254" i="11"/>
  <c r="G254" i="11"/>
  <c r="F254" i="11"/>
  <c r="I221" i="9"/>
  <c r="H254" i="11" s="1"/>
  <c r="D254" i="11"/>
  <c r="B254" i="11"/>
  <c r="E254" i="11"/>
  <c r="A254" i="11"/>
  <c r="D182" i="11"/>
  <c r="A182" i="11"/>
  <c r="E182" i="11"/>
  <c r="G182" i="11"/>
  <c r="B182" i="11"/>
  <c r="I149" i="9"/>
  <c r="H182" i="11" s="1"/>
  <c r="C182" i="11"/>
  <c r="F182" i="11"/>
  <c r="G199" i="11"/>
  <c r="E199" i="11"/>
  <c r="I166" i="9"/>
  <c r="H199" i="11" s="1"/>
  <c r="C199" i="11"/>
  <c r="D199" i="11"/>
  <c r="A199" i="11"/>
  <c r="F199" i="11"/>
  <c r="B199" i="11"/>
  <c r="H73" i="9"/>
  <c r="H181" i="9"/>
  <c r="H68" i="9"/>
  <c r="H176" i="9"/>
  <c r="F166" i="11"/>
  <c r="D166" i="11"/>
  <c r="B166" i="11"/>
  <c r="E166" i="11"/>
  <c r="C166" i="11"/>
  <c r="G166" i="11"/>
  <c r="A166" i="11"/>
  <c r="I133" i="9"/>
  <c r="H166" i="11" s="1"/>
  <c r="B140" i="11"/>
  <c r="D140" i="11"/>
  <c r="G140" i="11"/>
  <c r="E140" i="11"/>
  <c r="I107" i="9"/>
  <c r="C140" i="11"/>
  <c r="A140" i="11"/>
  <c r="F140" i="11"/>
  <c r="H140" i="11"/>
  <c r="F150" i="11"/>
  <c r="I117" i="9"/>
  <c r="H150" i="11" s="1"/>
  <c r="B150" i="11"/>
  <c r="D150" i="11"/>
  <c r="E150" i="11"/>
  <c r="G150" i="11"/>
  <c r="A150" i="11"/>
  <c r="C150" i="11"/>
  <c r="M213" i="4"/>
  <c r="H214" i="9"/>
  <c r="G138" i="11"/>
  <c r="E138" i="11"/>
  <c r="I105" i="9"/>
  <c r="C138" i="11"/>
  <c r="A138" i="11"/>
  <c r="H138" i="11"/>
  <c r="B138" i="11"/>
  <c r="D138" i="11"/>
  <c r="F138" i="11"/>
  <c r="M102" i="4"/>
  <c r="H103" i="9"/>
  <c r="H82" i="9"/>
  <c r="H208" i="9"/>
  <c r="H171" i="11"/>
  <c r="E171" i="11"/>
  <c r="C171" i="11"/>
  <c r="A171" i="11"/>
  <c r="D171" i="11"/>
  <c r="I138" i="9"/>
  <c r="F171" i="11"/>
  <c r="G171" i="11"/>
  <c r="B171" i="11"/>
  <c r="E152" i="11"/>
  <c r="G152" i="11"/>
  <c r="A152" i="11"/>
  <c r="C152" i="11"/>
  <c r="F152" i="11"/>
  <c r="I119" i="9"/>
  <c r="H152" i="11" s="1"/>
  <c r="B152" i="11"/>
  <c r="D152" i="11"/>
  <c r="D261" i="11"/>
  <c r="A261" i="11"/>
  <c r="G261" i="11"/>
  <c r="E261" i="11"/>
  <c r="B261" i="11"/>
  <c r="C261" i="11"/>
  <c r="H261" i="11"/>
  <c r="F261" i="11"/>
  <c r="I228" i="9"/>
  <c r="H52" i="9"/>
  <c r="H124" i="9"/>
  <c r="B147" i="11"/>
  <c r="D147" i="11"/>
  <c r="E147" i="11"/>
  <c r="C147" i="11"/>
  <c r="A147" i="11"/>
  <c r="G147" i="11"/>
  <c r="F147" i="11"/>
  <c r="H147" i="11"/>
  <c r="I114" i="9"/>
  <c r="B233" i="11"/>
  <c r="E233" i="11"/>
  <c r="H233" i="11"/>
  <c r="F233" i="11"/>
  <c r="I200" i="9"/>
  <c r="G233" i="11"/>
  <c r="C233" i="11"/>
  <c r="D233" i="11"/>
  <c r="A233" i="11"/>
  <c r="C196" i="11"/>
  <c r="F196" i="11"/>
  <c r="D196" i="11"/>
  <c r="A196" i="11"/>
  <c r="G196" i="11"/>
  <c r="B196" i="11"/>
  <c r="I163" i="9"/>
  <c r="H196" i="11"/>
  <c r="E196" i="11"/>
  <c r="E163" i="11"/>
  <c r="C163" i="11"/>
  <c r="A163" i="11"/>
  <c r="G163" i="11"/>
  <c r="F163" i="11"/>
  <c r="I130" i="9"/>
  <c r="H163" i="11" s="1"/>
  <c r="B163" i="11"/>
  <c r="D163" i="11"/>
  <c r="G128" i="11"/>
  <c r="E128" i="11"/>
  <c r="I95" i="9"/>
  <c r="H128" i="11" s="1"/>
  <c r="C128" i="11"/>
  <c r="A128" i="11"/>
  <c r="F128" i="11"/>
  <c r="B128" i="11"/>
  <c r="D128" i="11"/>
  <c r="D223" i="11"/>
  <c r="A223" i="11"/>
  <c r="G223" i="11"/>
  <c r="E223" i="11"/>
  <c r="B223" i="11"/>
  <c r="C223" i="11"/>
  <c r="H223" i="11"/>
  <c r="F223" i="11"/>
  <c r="I190" i="9"/>
  <c r="B146" i="11"/>
  <c r="D146" i="11"/>
  <c r="E146" i="11"/>
  <c r="G146" i="11"/>
  <c r="A146" i="11"/>
  <c r="C146" i="11"/>
  <c r="F146" i="11"/>
  <c r="I113" i="9"/>
  <c r="H146" i="11" s="1"/>
  <c r="H63" i="9"/>
  <c r="H153" i="9"/>
  <c r="B122" i="11"/>
  <c r="D122" i="11"/>
  <c r="G122" i="11"/>
  <c r="E122" i="11"/>
  <c r="I89" i="9"/>
  <c r="A122" i="11"/>
  <c r="F122" i="11"/>
  <c r="C122" i="11"/>
  <c r="H122" i="11"/>
  <c r="G173" i="11"/>
  <c r="B173" i="11"/>
  <c r="I140" i="9"/>
  <c r="H173" i="11"/>
  <c r="F173" i="11"/>
  <c r="E173" i="11"/>
  <c r="A173" i="11"/>
  <c r="C173" i="11"/>
  <c r="D173" i="11"/>
  <c r="I4" i="4"/>
  <c r="H42" i="9"/>
  <c r="H96" i="9"/>
  <c r="H81" i="9"/>
  <c r="H207" i="9"/>
  <c r="A145" i="11"/>
  <c r="G145" i="11"/>
  <c r="F145" i="11"/>
  <c r="I112" i="9"/>
  <c r="H145" i="11" s="1"/>
  <c r="B145" i="11"/>
  <c r="D145" i="11"/>
  <c r="E145" i="11"/>
  <c r="C145" i="11"/>
  <c r="Q175" i="4"/>
  <c r="O175" i="4"/>
  <c r="D251" i="11"/>
  <c r="A251" i="11"/>
  <c r="G251" i="11"/>
  <c r="C251" i="11"/>
  <c r="B251" i="11"/>
  <c r="I218" i="9"/>
  <c r="H251" i="11" s="1"/>
  <c r="F251" i="11"/>
  <c r="E251" i="11"/>
  <c r="L186" i="4"/>
  <c r="H187" i="9"/>
  <c r="Q188" i="4"/>
  <c r="H189" i="9"/>
  <c r="L122" i="4"/>
  <c r="H123" i="9"/>
  <c r="G195" i="11"/>
  <c r="E195" i="11"/>
  <c r="I162" i="9"/>
  <c r="C195" i="11"/>
  <c r="D195" i="11"/>
  <c r="A195" i="11"/>
  <c r="F195" i="11"/>
  <c r="H195" i="11"/>
  <c r="B195" i="11"/>
  <c r="F125" i="11"/>
  <c r="B125" i="11"/>
  <c r="D125" i="11"/>
  <c r="C125" i="11"/>
  <c r="G125" i="11"/>
  <c r="I92" i="9"/>
  <c r="H125" i="11" s="1"/>
  <c r="E125" i="11"/>
  <c r="A125" i="11"/>
  <c r="D234" i="11"/>
  <c r="B234" i="11"/>
  <c r="E234" i="11"/>
  <c r="A234" i="11"/>
  <c r="C234" i="11"/>
  <c r="G234" i="11"/>
  <c r="F234" i="11"/>
  <c r="I201" i="9"/>
  <c r="H234" i="11" s="1"/>
  <c r="O157" i="4"/>
  <c r="H158" i="9"/>
  <c r="F259" i="11"/>
  <c r="I226" i="9"/>
  <c r="H259" i="11" s="1"/>
  <c r="A259" i="11"/>
  <c r="B259" i="11"/>
  <c r="D259" i="11"/>
  <c r="E259" i="11"/>
  <c r="G259" i="11"/>
  <c r="C259" i="11"/>
  <c r="B134" i="11"/>
  <c r="D134" i="11"/>
  <c r="G134" i="11"/>
  <c r="E134" i="11"/>
  <c r="I101" i="9"/>
  <c r="C134" i="11"/>
  <c r="A134" i="11"/>
  <c r="F134" i="11"/>
  <c r="H134" i="11"/>
  <c r="H84" i="9"/>
  <c r="H210" i="9"/>
  <c r="A176" i="11"/>
  <c r="B176" i="11"/>
  <c r="G176" i="11"/>
  <c r="E176" i="11"/>
  <c r="I143" i="9"/>
  <c r="C176" i="11"/>
  <c r="H176" i="11"/>
  <c r="F176" i="11"/>
  <c r="D176" i="11"/>
  <c r="F170" i="11"/>
  <c r="B170" i="11"/>
  <c r="A170" i="11"/>
  <c r="G170" i="11"/>
  <c r="I137" i="9"/>
  <c r="H170" i="11" s="1"/>
  <c r="D170" i="11"/>
  <c r="C170" i="11"/>
  <c r="E170" i="11"/>
  <c r="G227" i="11"/>
  <c r="E227" i="11"/>
  <c r="C227" i="11"/>
  <c r="B227" i="11"/>
  <c r="H227" i="11"/>
  <c r="F227" i="11"/>
  <c r="I194" i="9"/>
  <c r="A227" i="11"/>
  <c r="D227" i="11"/>
  <c r="H65" i="9"/>
  <c r="H173" i="9"/>
  <c r="G120" i="11"/>
  <c r="E120" i="11"/>
  <c r="I87" i="9"/>
  <c r="C120" i="11"/>
  <c r="A120" i="11"/>
  <c r="F120" i="11"/>
  <c r="H120" i="11"/>
  <c r="B120" i="11"/>
  <c r="D120" i="11"/>
  <c r="C190" i="11"/>
  <c r="F190" i="11"/>
  <c r="D190" i="11"/>
  <c r="A190" i="11"/>
  <c r="H190" i="11"/>
  <c r="B190" i="11"/>
  <c r="E190" i="11"/>
  <c r="I157" i="9"/>
  <c r="G190" i="11"/>
  <c r="N184" i="4"/>
  <c r="H185" i="9"/>
  <c r="M185" i="4"/>
  <c r="H186" i="9"/>
  <c r="N168" i="4"/>
  <c r="H169" i="9"/>
  <c r="R223" i="4"/>
  <c r="H224" i="9"/>
  <c r="O96" i="4"/>
  <c r="H97" i="9"/>
  <c r="H182" i="9"/>
  <c r="A178" i="11"/>
  <c r="H178" i="11"/>
  <c r="G178" i="11"/>
  <c r="E178" i="11"/>
  <c r="I145" i="9"/>
  <c r="C178" i="11"/>
  <c r="D178" i="11"/>
  <c r="F178" i="11"/>
  <c r="B178" i="11"/>
  <c r="B158" i="11"/>
  <c r="D158" i="11"/>
  <c r="A158" i="11"/>
  <c r="C158" i="11"/>
  <c r="E158" i="11"/>
  <c r="G158" i="11"/>
  <c r="F158" i="11"/>
  <c r="I125" i="9"/>
  <c r="H158" i="11"/>
  <c r="N200" i="4"/>
  <c r="H75" i="9"/>
  <c r="R200" i="4"/>
  <c r="P200" i="4"/>
  <c r="P45" i="4"/>
  <c r="M217" i="4"/>
  <c r="R217" i="4"/>
  <c r="P217" i="4"/>
  <c r="Q21" i="4"/>
  <c r="O21" i="4"/>
  <c r="M21" i="4"/>
  <c r="R21" i="4"/>
  <c r="H20" i="9"/>
  <c r="M63" i="4"/>
  <c r="R63" i="4"/>
  <c r="P63" i="4"/>
  <c r="R161" i="4"/>
  <c r="P161" i="4"/>
  <c r="N161" i="4"/>
  <c r="L161" i="4"/>
  <c r="H26" i="9"/>
  <c r="M91" i="4"/>
  <c r="R91" i="4"/>
  <c r="P91" i="4"/>
  <c r="N91" i="4"/>
  <c r="N114" i="4"/>
  <c r="L114" i="4"/>
  <c r="Q114" i="4"/>
  <c r="O114" i="4"/>
  <c r="M9" i="4"/>
  <c r="R9" i="4"/>
  <c r="P9" i="4"/>
  <c r="N9" i="4"/>
  <c r="N83" i="4"/>
  <c r="Q83" i="4"/>
  <c r="L83" i="4"/>
  <c r="N110" i="4"/>
  <c r="L110" i="4"/>
  <c r="D26" i="10"/>
  <c r="D25" i="10"/>
  <c r="O42" i="11"/>
  <c r="C18" i="7"/>
  <c r="M42" i="11"/>
  <c r="N221" i="4"/>
  <c r="L221" i="4"/>
  <c r="Q221" i="4"/>
  <c r="O221" i="4"/>
  <c r="D30" i="10"/>
  <c r="D29" i="10"/>
  <c r="M43" i="11"/>
  <c r="O43" i="11"/>
  <c r="E18" i="7"/>
  <c r="M195" i="4"/>
  <c r="L195" i="4"/>
  <c r="P110" i="4"/>
  <c r="P23" i="4"/>
  <c r="O23" i="4"/>
  <c r="R64" i="4"/>
  <c r="M221" i="4"/>
  <c r="I202" i="4"/>
  <c r="N217" i="4"/>
  <c r="N21" i="4"/>
  <c r="M114" i="4"/>
  <c r="N63" i="4"/>
  <c r="Q9" i="4"/>
  <c r="O83" i="4"/>
  <c r="Q98" i="4"/>
  <c r="N98" i="4"/>
  <c r="R155" i="4"/>
  <c r="P155" i="4"/>
  <c r="N155" i="4"/>
  <c r="P65" i="4"/>
  <c r="N65" i="4"/>
  <c r="L65" i="4"/>
  <c r="Q65" i="4"/>
  <c r="Q226" i="4"/>
  <c r="O226" i="4"/>
  <c r="R226" i="4"/>
  <c r="M226" i="4"/>
  <c r="O56" i="4"/>
  <c r="P56" i="4"/>
  <c r="R56" i="4"/>
  <c r="M56" i="4"/>
  <c r="R131" i="4"/>
  <c r="P131" i="4"/>
  <c r="N131" i="4"/>
  <c r="L45" i="4"/>
  <c r="R45" i="4"/>
  <c r="N45" i="4"/>
  <c r="Q128" i="4"/>
  <c r="P128" i="4"/>
  <c r="L128" i="4"/>
  <c r="L29" i="4"/>
  <c r="Q29" i="4"/>
  <c r="O29" i="4"/>
  <c r="N133" i="4"/>
  <c r="L133" i="4"/>
  <c r="Q133" i="4"/>
  <c r="O133" i="4"/>
  <c r="O216" i="4"/>
  <c r="N216" i="4"/>
  <c r="Q216" i="4"/>
  <c r="N84" i="4"/>
  <c r="R84" i="4"/>
  <c r="O84" i="4"/>
  <c r="H54" i="9"/>
  <c r="R125" i="4"/>
  <c r="M125" i="4"/>
  <c r="N57" i="4"/>
  <c r="O57" i="4"/>
  <c r="R57" i="4"/>
  <c r="R74" i="4"/>
  <c r="Q74" i="4"/>
  <c r="M74" i="4"/>
  <c r="P64" i="4"/>
  <c r="N64" i="4"/>
  <c r="L51" i="4"/>
  <c r="R51" i="4"/>
  <c r="O184" i="4"/>
  <c r="M184" i="4"/>
  <c r="R184" i="4"/>
  <c r="L184" i="4"/>
  <c r="Q185" i="4"/>
  <c r="O185" i="4"/>
  <c r="Q168" i="4"/>
  <c r="O168" i="4"/>
  <c r="M168" i="4"/>
  <c r="L223" i="4"/>
  <c r="M223" i="4"/>
  <c r="H43" i="9"/>
  <c r="P96" i="4"/>
  <c r="N96" i="4"/>
  <c r="L96" i="4"/>
  <c r="Q96" i="4"/>
  <c r="P72" i="4"/>
  <c r="N72" i="4"/>
  <c r="L72" i="4"/>
  <c r="D12" i="10"/>
  <c r="D11" i="10"/>
  <c r="E16" i="7"/>
  <c r="M39" i="11"/>
  <c r="O39" i="11"/>
  <c r="D37" i="10"/>
  <c r="D38" i="10"/>
  <c r="M45" i="11"/>
  <c r="O45" i="11"/>
  <c r="E19" i="7"/>
  <c r="H19" i="7" s="1"/>
  <c r="P185" i="4"/>
  <c r="N223" i="4"/>
  <c r="M64" i="4"/>
  <c r="N29" i="4"/>
  <c r="L226" i="4"/>
  <c r="O72" i="4"/>
  <c r="Q56" i="4"/>
  <c r="R96" i="4"/>
  <c r="O131" i="4"/>
  <c r="L168" i="4"/>
  <c r="P79" i="4"/>
  <c r="Q79" i="4"/>
  <c r="N79" i="4"/>
  <c r="L79" i="4"/>
  <c r="M186" i="4"/>
  <c r="R186" i="4"/>
  <c r="P186" i="4"/>
  <c r="N186" i="4"/>
  <c r="P188" i="4"/>
  <c r="L188" i="4"/>
  <c r="O188" i="4"/>
  <c r="H51" i="9"/>
  <c r="E84" i="11" s="1"/>
  <c r="M122" i="4"/>
  <c r="R122" i="4"/>
  <c r="P122" i="4"/>
  <c r="N122" i="4"/>
  <c r="Q43" i="4"/>
  <c r="O43" i="4"/>
  <c r="M43" i="4"/>
  <c r="H49" i="9"/>
  <c r="L120" i="4"/>
  <c r="N66" i="4"/>
  <c r="L66" i="4"/>
  <c r="Q66" i="4"/>
  <c r="N197" i="4"/>
  <c r="L197" i="4"/>
  <c r="Q197" i="4"/>
  <c r="O197" i="4"/>
  <c r="L54" i="4"/>
  <c r="R54" i="4"/>
  <c r="Q54" i="4"/>
  <c r="M54" i="4"/>
  <c r="Q195" i="4"/>
  <c r="P195" i="4"/>
  <c r="N185" i="4"/>
  <c r="M110" i="4"/>
  <c r="M23" i="4"/>
  <c r="O223" i="4"/>
  <c r="R120" i="4"/>
  <c r="O64" i="4"/>
  <c r="N54" i="4"/>
  <c r="P29" i="4"/>
  <c r="R221" i="4"/>
  <c r="M133" i="4"/>
  <c r="Q72" i="4"/>
  <c r="L84" i="4"/>
  <c r="I47" i="4"/>
  <c r="Q47" i="4" s="1"/>
  <c r="M131" i="4"/>
  <c r="R79" i="4"/>
  <c r="O217" i="4"/>
  <c r="Q186" i="4"/>
  <c r="L21" i="4"/>
  <c r="R188" i="4"/>
  <c r="P57" i="4"/>
  <c r="N128" i="4"/>
  <c r="R197" i="4"/>
  <c r="R114" i="4"/>
  <c r="O63" i="4"/>
  <c r="Q122" i="4"/>
  <c r="O161" i="4"/>
  <c r="N43" i="4"/>
  <c r="O91" i="4"/>
  <c r="R168" i="4"/>
  <c r="N51" i="4"/>
  <c r="P184" i="4"/>
  <c r="R66" i="4"/>
  <c r="O74" i="4"/>
  <c r="H10" i="9"/>
  <c r="P125" i="4"/>
  <c r="M83" i="4"/>
  <c r="P162" i="4"/>
  <c r="R162" i="4"/>
  <c r="L162" i="4"/>
  <c r="N129" i="4"/>
  <c r="L129" i="4"/>
  <c r="Q129" i="4"/>
  <c r="O129" i="4"/>
  <c r="N27" i="4"/>
  <c r="L27" i="4"/>
  <c r="Q20" i="4"/>
  <c r="O20" i="4"/>
  <c r="M20" i="4"/>
  <c r="P49" i="4"/>
  <c r="N49" i="4"/>
  <c r="L49" i="4"/>
  <c r="N94" i="4"/>
  <c r="L94" i="4"/>
  <c r="Q94" i="4"/>
  <c r="O94" i="4"/>
  <c r="N189" i="4"/>
  <c r="Q189" i="4"/>
  <c r="P189" i="4"/>
  <c r="O189" i="4"/>
  <c r="L61" i="4"/>
  <c r="Q61" i="4"/>
  <c r="O61" i="4"/>
  <c r="M61" i="4"/>
  <c r="R112" i="4"/>
  <c r="P112" i="4"/>
  <c r="N112" i="4"/>
  <c r="H61" i="9"/>
  <c r="Q150" i="4"/>
  <c r="O150" i="4"/>
  <c r="M150" i="4"/>
  <c r="R150" i="4"/>
  <c r="D15" i="10"/>
  <c r="D16" i="10"/>
  <c r="O40" i="11"/>
  <c r="M40" i="11"/>
  <c r="C17" i="7"/>
  <c r="H71" i="9"/>
  <c r="L178" i="4"/>
  <c r="Q178" i="4"/>
  <c r="O178" i="4"/>
  <c r="I24" i="4"/>
  <c r="H25" i="9" s="1"/>
  <c r="I196" i="4"/>
  <c r="H197" i="9" s="1"/>
  <c r="F115" i="11"/>
  <c r="H115" i="11"/>
  <c r="G115" i="11"/>
  <c r="E115" i="11"/>
  <c r="I82" i="9"/>
  <c r="B115" i="11"/>
  <c r="C115" i="11"/>
  <c r="A115" i="11"/>
  <c r="D115" i="11"/>
  <c r="C99" i="11"/>
  <c r="A99" i="11"/>
  <c r="B99" i="11"/>
  <c r="D99" i="11"/>
  <c r="F99" i="11"/>
  <c r="I66" i="9"/>
  <c r="H99" i="11" s="1"/>
  <c r="E99" i="11"/>
  <c r="G99" i="11"/>
  <c r="D7" i="10"/>
  <c r="D8" i="10"/>
  <c r="O38" i="11"/>
  <c r="M38" i="11"/>
  <c r="C16" i="7"/>
  <c r="I63" i="9"/>
  <c r="H96" i="11" s="1"/>
  <c r="G96" i="11"/>
  <c r="C114" i="11"/>
  <c r="A114" i="11"/>
  <c r="B114" i="11"/>
  <c r="D114" i="11"/>
  <c r="G114" i="11"/>
  <c r="I81" i="9"/>
  <c r="H114" i="11" s="1"/>
  <c r="F114" i="11"/>
  <c r="E114" i="11"/>
  <c r="I12" i="4"/>
  <c r="I218" i="4"/>
  <c r="H219" i="9" s="1"/>
  <c r="C106" i="11"/>
  <c r="A106" i="11"/>
  <c r="F106" i="11"/>
  <c r="B106" i="11"/>
  <c r="D106" i="11"/>
  <c r="E106" i="11"/>
  <c r="I73" i="9"/>
  <c r="H106" i="11" s="1"/>
  <c r="G106" i="11"/>
  <c r="F101" i="11"/>
  <c r="G101" i="11"/>
  <c r="E101" i="11"/>
  <c r="I68" i="9"/>
  <c r="H101" i="11" s="1"/>
  <c r="C101" i="11"/>
  <c r="D101" i="11"/>
  <c r="B101" i="11"/>
  <c r="A101" i="11"/>
  <c r="B117" i="11"/>
  <c r="D117" i="11"/>
  <c r="C117" i="11"/>
  <c r="A117" i="11"/>
  <c r="F117" i="11"/>
  <c r="G117" i="11"/>
  <c r="E117" i="11"/>
  <c r="I84" i="9"/>
  <c r="H117" i="11" s="1"/>
  <c r="G98" i="11"/>
  <c r="E98" i="11"/>
  <c r="I65" i="9"/>
  <c r="F98" i="11"/>
  <c r="H98" i="11"/>
  <c r="D98" i="11"/>
  <c r="C98" i="11"/>
  <c r="B98" i="11"/>
  <c r="A98" i="11"/>
  <c r="I167" i="4"/>
  <c r="C113" i="11"/>
  <c r="A113" i="11"/>
  <c r="G113" i="11"/>
  <c r="H113" i="11"/>
  <c r="E113" i="11"/>
  <c r="F113" i="11"/>
  <c r="D113" i="11"/>
  <c r="B113" i="11"/>
  <c r="I80" i="9"/>
  <c r="H18" i="10"/>
  <c r="N47" i="11"/>
  <c r="H35" i="10"/>
  <c r="L49" i="11"/>
  <c r="M5" i="4"/>
  <c r="O5" i="4"/>
  <c r="I212" i="4"/>
  <c r="H213" i="9" s="1"/>
  <c r="I194" i="4"/>
  <c r="H195" i="9" s="1"/>
  <c r="I192" i="4"/>
  <c r="Q5" i="4"/>
  <c r="P7" i="4"/>
  <c r="Q39" i="4"/>
  <c r="L39" i="4"/>
  <c r="H22" i="9"/>
  <c r="R215" i="4"/>
  <c r="O215" i="4"/>
  <c r="M215" i="4"/>
  <c r="Q52" i="4"/>
  <c r="L52" i="4"/>
  <c r="O108" i="4"/>
  <c r="L108" i="4"/>
  <c r="M108" i="4"/>
  <c r="H56" i="9"/>
  <c r="N145" i="4"/>
  <c r="L145" i="4"/>
  <c r="N149" i="4"/>
  <c r="H57" i="9"/>
  <c r="Q48" i="4"/>
  <c r="L48" i="4"/>
  <c r="P17" i="4"/>
  <c r="M17" i="4"/>
  <c r="R17" i="4"/>
  <c r="R157" i="4"/>
  <c r="P157" i="4"/>
  <c r="N157" i="4"/>
  <c r="L157" i="4"/>
  <c r="L166" i="4"/>
  <c r="Q166" i="4"/>
  <c r="O166" i="4"/>
  <c r="Q213" i="4"/>
  <c r="I117" i="4"/>
  <c r="H118" i="9" s="1"/>
  <c r="G75" i="11"/>
  <c r="E75" i="11"/>
  <c r="I42" i="9"/>
  <c r="H75" i="11" s="1"/>
  <c r="C75" i="11"/>
  <c r="A75" i="11"/>
  <c r="F75" i="11"/>
  <c r="B75" i="11"/>
  <c r="D75" i="11"/>
  <c r="I163" i="4"/>
  <c r="H164" i="9" s="1"/>
  <c r="I208" i="4"/>
  <c r="I115" i="4"/>
  <c r="H116" i="9" s="1"/>
  <c r="I40" i="4"/>
  <c r="I204" i="4"/>
  <c r="I101" i="4"/>
  <c r="I15" i="4"/>
  <c r="H16" i="9" s="1"/>
  <c r="I16" i="4"/>
  <c r="M166" i="4"/>
  <c r="R7" i="4"/>
  <c r="Q76" i="4"/>
  <c r="O76" i="4"/>
  <c r="M76" i="4"/>
  <c r="R76" i="4"/>
  <c r="M169" i="4"/>
  <c r="R169" i="4"/>
  <c r="P169" i="4"/>
  <c r="L18" i="4"/>
  <c r="Q18" i="4"/>
  <c r="O18" i="4"/>
  <c r="M18" i="4"/>
  <c r="P191" i="4"/>
  <c r="N191" i="4"/>
  <c r="L191" i="4"/>
  <c r="M191" i="4"/>
  <c r="Q164" i="4"/>
  <c r="O164" i="4"/>
  <c r="M164" i="4"/>
  <c r="M80" i="4"/>
  <c r="O80" i="4"/>
  <c r="Q80" i="4"/>
  <c r="L211" i="4"/>
  <c r="Q211" i="4"/>
  <c r="O211" i="4"/>
  <c r="M211" i="4"/>
  <c r="O160" i="4"/>
  <c r="M160" i="4"/>
  <c r="R160" i="4"/>
  <c r="P160" i="4"/>
  <c r="Q31" i="4"/>
  <c r="O31" i="4"/>
  <c r="M31" i="4"/>
  <c r="L46" i="4"/>
  <c r="P46" i="4"/>
  <c r="N46" i="4"/>
  <c r="I151" i="4"/>
  <c r="I109" i="4"/>
  <c r="H110" i="9" s="1"/>
  <c r="N166" i="4"/>
  <c r="Q51" i="4"/>
  <c r="O51" i="4"/>
  <c r="M51" i="4"/>
  <c r="R100" i="4"/>
  <c r="P100" i="4"/>
  <c r="N100" i="4"/>
  <c r="R44" i="4"/>
  <c r="P44" i="4"/>
  <c r="N44" i="4"/>
  <c r="L44" i="4"/>
  <c r="P55" i="4"/>
  <c r="Q55" i="4"/>
  <c r="N55" i="4"/>
  <c r="L55" i="4"/>
  <c r="N209" i="4"/>
  <c r="L209" i="4"/>
  <c r="Q209" i="4"/>
  <c r="O209" i="4"/>
  <c r="L142" i="4"/>
  <c r="Q142" i="4"/>
  <c r="O142" i="4"/>
  <c r="O136" i="4"/>
  <c r="M136" i="4"/>
  <c r="R136" i="4"/>
  <c r="L136" i="4"/>
  <c r="R193" i="4"/>
  <c r="P193" i="4"/>
  <c r="N193" i="4"/>
  <c r="L193" i="4"/>
  <c r="P86" i="4"/>
  <c r="Q86" i="4"/>
  <c r="L86" i="4"/>
  <c r="N156" i="4"/>
  <c r="L156" i="4"/>
  <c r="Q156" i="4"/>
  <c r="I18" i="9"/>
  <c r="H51" i="11" s="1"/>
  <c r="A51" i="11"/>
  <c r="D51" i="11"/>
  <c r="E51" i="11"/>
  <c r="C51" i="11"/>
  <c r="L25" i="4"/>
  <c r="Q25" i="4"/>
  <c r="O25" i="4"/>
  <c r="F87" i="11"/>
  <c r="B87" i="11"/>
  <c r="D87" i="11"/>
  <c r="G87" i="11"/>
  <c r="E87" i="11"/>
  <c r="I54" i="9"/>
  <c r="H87" i="11" s="1"/>
  <c r="C87" i="11"/>
  <c r="A87" i="11"/>
  <c r="I36" i="4"/>
  <c r="N36" i="4" s="1"/>
  <c r="Q84" i="4"/>
  <c r="P84" i="4"/>
  <c r="I105" i="4"/>
  <c r="H106" i="9" s="1"/>
  <c r="P216" i="4"/>
  <c r="R216" i="4"/>
  <c r="Q57" i="4"/>
  <c r="M128" i="4"/>
  <c r="O128" i="4"/>
  <c r="O45" i="4"/>
  <c r="Q45" i="4"/>
  <c r="L74" i="4"/>
  <c r="N74" i="4"/>
  <c r="O125" i="4"/>
  <c r="Q125" i="4"/>
  <c r="H59" i="9"/>
  <c r="H29" i="9"/>
  <c r="D62" i="11" s="1"/>
  <c r="H45" i="9"/>
  <c r="I103" i="4"/>
  <c r="H104" i="9" s="1"/>
  <c r="C82" i="11"/>
  <c r="A82" i="11"/>
  <c r="F82" i="11"/>
  <c r="B82" i="11"/>
  <c r="D82" i="11"/>
  <c r="G82" i="11"/>
  <c r="I49" i="9"/>
  <c r="H82" i="11" s="1"/>
  <c r="E82" i="11"/>
  <c r="I75" i="4"/>
  <c r="H76" i="9" s="1"/>
  <c r="I187" i="4"/>
  <c r="H188" i="9" s="1"/>
  <c r="I97" i="4"/>
  <c r="I170" i="4"/>
  <c r="I11" i="4"/>
  <c r="H12" i="9" s="1"/>
  <c r="I210" i="4"/>
  <c r="H211" i="9" s="1"/>
  <c r="I93" i="4"/>
  <c r="M216" i="4"/>
  <c r="L57" i="4"/>
  <c r="P74" i="4"/>
  <c r="L125" i="4"/>
  <c r="N125" i="4"/>
  <c r="G84" i="11"/>
  <c r="A84" i="11"/>
  <c r="H31" i="9"/>
  <c r="H47" i="9"/>
  <c r="G85" i="11"/>
  <c r="E85" i="11"/>
  <c r="I52" i="9"/>
  <c r="H85" i="11" s="1"/>
  <c r="C85" i="11"/>
  <c r="A85" i="11"/>
  <c r="F85" i="11"/>
  <c r="B85" i="11"/>
  <c r="D85" i="11"/>
  <c r="I87" i="4"/>
  <c r="H88" i="9" s="1"/>
  <c r="M200" i="4"/>
  <c r="O200" i="4"/>
  <c r="L213" i="4"/>
  <c r="N213" i="4"/>
  <c r="I32" i="4"/>
  <c r="H15" i="9" s="1"/>
  <c r="I174" i="4"/>
  <c r="I126" i="4"/>
  <c r="I130" i="4"/>
  <c r="I69" i="4"/>
  <c r="I135" i="4"/>
  <c r="H136" i="9" s="1"/>
  <c r="I73" i="4"/>
  <c r="O73" i="4" s="1"/>
  <c r="I59" i="4"/>
  <c r="N59" i="4" s="1"/>
  <c r="I138" i="4"/>
  <c r="I89" i="4"/>
  <c r="P39" i="4"/>
  <c r="R39" i="4"/>
  <c r="Q215" i="4"/>
  <c r="L215" i="4"/>
  <c r="P98" i="4"/>
  <c r="R98" i="4"/>
  <c r="P52" i="4"/>
  <c r="R52" i="4"/>
  <c r="N108" i="4"/>
  <c r="P108" i="4"/>
  <c r="R46" i="4"/>
  <c r="P145" i="4"/>
  <c r="R145" i="4"/>
  <c r="P149" i="4"/>
  <c r="R149" i="4"/>
  <c r="O146" i="4"/>
  <c r="Q146" i="4"/>
  <c r="P48" i="4"/>
  <c r="R48" i="4"/>
  <c r="O17" i="4"/>
  <c r="Q17" i="4"/>
  <c r="H6" i="9"/>
  <c r="E39" i="11" s="1"/>
  <c r="L5" i="4"/>
  <c r="R214" i="4"/>
  <c r="P214" i="4"/>
  <c r="M7" i="4"/>
  <c r="O7" i="4"/>
  <c r="I34" i="4"/>
  <c r="Q200" i="4"/>
  <c r="P213" i="4"/>
  <c r="R213" i="4"/>
  <c r="I26" i="4"/>
  <c r="I222" i="4"/>
  <c r="L222" i="4" s="1"/>
  <c r="I22" i="4"/>
  <c r="P22" i="4" s="1"/>
  <c r="I179" i="4"/>
  <c r="I134" i="4"/>
  <c r="M39" i="4"/>
  <c r="O39" i="4"/>
  <c r="N215" i="4"/>
  <c r="P215" i="4"/>
  <c r="M98" i="4"/>
  <c r="M52" i="4"/>
  <c r="R108" i="4"/>
  <c r="M46" i="4"/>
  <c r="O46" i="4"/>
  <c r="M145" i="4"/>
  <c r="M149" i="4"/>
  <c r="L146" i="4"/>
  <c r="M48" i="4"/>
  <c r="L17" i="4"/>
  <c r="N5" i="4"/>
  <c r="P5" i="4"/>
  <c r="N214" i="4"/>
  <c r="M214" i="4"/>
  <c r="H8" i="9"/>
  <c r="F41" i="11" s="1"/>
  <c r="Q7" i="4"/>
  <c r="B62" i="11"/>
  <c r="G62" i="11"/>
  <c r="C62" i="11"/>
  <c r="A62" i="11"/>
  <c r="I119" i="4"/>
  <c r="L200" i="4"/>
  <c r="I143" i="4"/>
  <c r="I38" i="4"/>
  <c r="O38" i="4" s="1"/>
  <c r="I147" i="4"/>
  <c r="H148" i="9" s="1"/>
  <c r="O98" i="4"/>
  <c r="O52" i="4"/>
  <c r="Q108" i="4"/>
  <c r="Q46" i="4"/>
  <c r="O145" i="4"/>
  <c r="Q145" i="4"/>
  <c r="O149" i="4"/>
  <c r="Q149" i="4"/>
  <c r="R146" i="4"/>
  <c r="P146" i="4"/>
  <c r="O48" i="4"/>
  <c r="N17" i="4"/>
  <c r="R5" i="4"/>
  <c r="O214" i="4"/>
  <c r="L7" i="4"/>
  <c r="C53" i="11"/>
  <c r="A53" i="11"/>
  <c r="F53" i="11"/>
  <c r="B53" i="11"/>
  <c r="D53" i="11"/>
  <c r="I20" i="9"/>
  <c r="H53" i="11" s="1"/>
  <c r="E53" i="11"/>
  <c r="G53" i="11"/>
  <c r="F59" i="11"/>
  <c r="I26" i="9"/>
  <c r="H59" i="11" s="1"/>
  <c r="D59" i="11"/>
  <c r="B59" i="11"/>
  <c r="G59" i="11"/>
  <c r="A59" i="11"/>
  <c r="C59" i="11"/>
  <c r="E59" i="11"/>
  <c r="I121" i="4"/>
  <c r="Q206" i="4"/>
  <c r="M206" i="4"/>
  <c r="P206" i="4"/>
  <c r="L206" i="4"/>
  <c r="O206" i="4"/>
  <c r="R206" i="4"/>
  <c r="N206" i="4"/>
  <c r="O109" i="4"/>
  <c r="R109" i="4"/>
  <c r="N109" i="4"/>
  <c r="Q109" i="4"/>
  <c r="M109" i="4"/>
  <c r="P109" i="4"/>
  <c r="L109" i="4"/>
  <c r="P163" i="4"/>
  <c r="L163" i="4"/>
  <c r="O163" i="4"/>
  <c r="R163" i="4"/>
  <c r="N163" i="4"/>
  <c r="Q163" i="4"/>
  <c r="M163" i="4"/>
  <c r="R75" i="4"/>
  <c r="N75" i="4"/>
  <c r="Q75" i="4"/>
  <c r="M75" i="4"/>
  <c r="P75" i="4"/>
  <c r="L75" i="4"/>
  <c r="O75" i="4"/>
  <c r="R22" i="4"/>
  <c r="L179" i="4"/>
  <c r="O179" i="4"/>
  <c r="N179" i="4"/>
  <c r="M179" i="4"/>
  <c r="O192" i="4"/>
  <c r="M192" i="4"/>
  <c r="Q95" i="4"/>
  <c r="M95" i="4"/>
  <c r="P95" i="4"/>
  <c r="L95" i="4"/>
  <c r="O95" i="4"/>
  <c r="R95" i="4"/>
  <c r="N95" i="4"/>
  <c r="Q154" i="4"/>
  <c r="M154" i="4"/>
  <c r="P154" i="4"/>
  <c r="L154" i="4"/>
  <c r="O154" i="4"/>
  <c r="R154" i="4"/>
  <c r="N154" i="4"/>
  <c r="L38" i="4"/>
  <c r="R38" i="4"/>
  <c r="N38" i="4"/>
  <c r="R147" i="4"/>
  <c r="Q147" i="4"/>
  <c r="Q194" i="4"/>
  <c r="M194" i="4"/>
  <c r="P194" i="4"/>
  <c r="L194" i="4"/>
  <c r="O194" i="4"/>
  <c r="R194" i="4"/>
  <c r="N194" i="4"/>
  <c r="Q115" i="4"/>
  <c r="M115" i="4"/>
  <c r="P115" i="4"/>
  <c r="L115" i="4"/>
  <c r="O115" i="4"/>
  <c r="N115" i="4"/>
  <c r="R115" i="4"/>
  <c r="O220" i="4"/>
  <c r="R220" i="4"/>
  <c r="N220" i="4"/>
  <c r="Q220" i="4"/>
  <c r="M220" i="4"/>
  <c r="L220" i="4"/>
  <c r="P220" i="4"/>
  <c r="R36" i="4"/>
  <c r="P36" i="4"/>
  <c r="O105" i="4"/>
  <c r="R105" i="4"/>
  <c r="N105" i="4"/>
  <c r="Q105" i="4"/>
  <c r="M105" i="4"/>
  <c r="L105" i="4"/>
  <c r="P105" i="4"/>
  <c r="R4" i="4"/>
  <c r="N4" i="4"/>
  <c r="Q4" i="4"/>
  <c r="M4" i="4"/>
  <c r="P4" i="4"/>
  <c r="L4" i="4"/>
  <c r="O4" i="4"/>
  <c r="H5" i="9"/>
  <c r="P10" i="4"/>
  <c r="L10" i="4"/>
  <c r="O10" i="4"/>
  <c r="R10" i="4"/>
  <c r="N10" i="4"/>
  <c r="Q10" i="4"/>
  <c r="M10" i="4"/>
  <c r="O204" i="4"/>
  <c r="R204" i="4"/>
  <c r="N204" i="4"/>
  <c r="Q204" i="4"/>
  <c r="M204" i="4"/>
  <c r="L204" i="4"/>
  <c r="P204" i="4"/>
  <c r="O15" i="4"/>
  <c r="R15" i="4"/>
  <c r="N15" i="4"/>
  <c r="Q15" i="4"/>
  <c r="M15" i="4"/>
  <c r="P15" i="4"/>
  <c r="L15" i="4"/>
  <c r="R16" i="4"/>
  <c r="N16" i="4"/>
  <c r="Q16" i="4"/>
  <c r="M16" i="4"/>
  <c r="P16" i="4"/>
  <c r="L16" i="4"/>
  <c r="O16" i="4"/>
  <c r="Q97" i="4"/>
  <c r="Q111" i="4"/>
  <c r="M111" i="4"/>
  <c r="P111" i="4"/>
  <c r="L111" i="4"/>
  <c r="O111" i="4"/>
  <c r="R111" i="4"/>
  <c r="N111" i="4"/>
  <c r="N170" i="4"/>
  <c r="O11" i="4"/>
  <c r="R11" i="4"/>
  <c r="N11" i="4"/>
  <c r="Q11" i="4"/>
  <c r="M11" i="4"/>
  <c r="P11" i="4"/>
  <c r="L11" i="4"/>
  <c r="Q210" i="4"/>
  <c r="M210" i="4"/>
  <c r="P210" i="4"/>
  <c r="L210" i="4"/>
  <c r="O210" i="4"/>
  <c r="R210" i="4"/>
  <c r="N210" i="4"/>
  <c r="Q174" i="4"/>
  <c r="M174" i="4"/>
  <c r="P174" i="4"/>
  <c r="L174" i="4"/>
  <c r="O174" i="4"/>
  <c r="R174" i="4"/>
  <c r="N174" i="4"/>
  <c r="O126" i="4"/>
  <c r="P130" i="4"/>
  <c r="N130" i="4"/>
  <c r="N69" i="4"/>
  <c r="P135" i="4"/>
  <c r="L135" i="4"/>
  <c r="O135" i="4"/>
  <c r="R135" i="4"/>
  <c r="N135" i="4"/>
  <c r="Q135" i="4"/>
  <c r="M135" i="4"/>
  <c r="L73" i="4"/>
  <c r="Q73" i="4"/>
  <c r="R59" i="4"/>
  <c r="P59" i="4"/>
  <c r="O138" i="4"/>
  <c r="O89" i="4"/>
  <c r="R89" i="4"/>
  <c r="Q89" i="4"/>
  <c r="M89" i="4"/>
  <c r="L89" i="4"/>
  <c r="O117" i="4"/>
  <c r="R117" i="4"/>
  <c r="N117" i="4"/>
  <c r="Q117" i="4"/>
  <c r="M117" i="4"/>
  <c r="P117" i="4"/>
  <c r="L117" i="4"/>
  <c r="P171" i="4"/>
  <c r="L171" i="4"/>
  <c r="O171" i="4"/>
  <c r="R171" i="4"/>
  <c r="N171" i="4"/>
  <c r="Q171" i="4"/>
  <c r="M171" i="4"/>
  <c r="P202" i="4"/>
  <c r="N202" i="4"/>
  <c r="P30" i="4"/>
  <c r="L30" i="4"/>
  <c r="O30" i="4"/>
  <c r="R30" i="4"/>
  <c r="N30" i="4"/>
  <c r="Q30" i="4"/>
  <c r="M30" i="4"/>
  <c r="P187" i="4"/>
  <c r="L187" i="4"/>
  <c r="O187" i="4"/>
  <c r="R187" i="4"/>
  <c r="N187" i="4"/>
  <c r="Q187" i="4"/>
  <c r="M187" i="4"/>
  <c r="P159" i="4"/>
  <c r="L159" i="4"/>
  <c r="O159" i="4"/>
  <c r="R159" i="4"/>
  <c r="N159" i="4"/>
  <c r="M159" i="4"/>
  <c r="Q159" i="4"/>
  <c r="N93" i="4"/>
  <c r="L93" i="4"/>
  <c r="O81" i="4"/>
  <c r="Q81" i="4"/>
  <c r="M81" i="4"/>
  <c r="R81" i="4"/>
  <c r="P81" i="4"/>
  <c r="N81" i="4"/>
  <c r="L81" i="4"/>
  <c r="O224" i="4"/>
  <c r="R224" i="4"/>
  <c r="N224" i="4"/>
  <c r="Q224" i="4"/>
  <c r="M224" i="4"/>
  <c r="P224" i="4"/>
  <c r="L224" i="4"/>
  <c r="G49" i="11"/>
  <c r="C49" i="11"/>
  <c r="F49" i="11"/>
  <c r="B49" i="11"/>
  <c r="E49" i="11"/>
  <c r="A49" i="11"/>
  <c r="D49" i="11"/>
  <c r="I16" i="9"/>
  <c r="H49" i="11" s="1"/>
  <c r="E47" i="11"/>
  <c r="A47" i="11"/>
  <c r="D47" i="11"/>
  <c r="G47" i="11"/>
  <c r="C47" i="11"/>
  <c r="B47" i="11"/>
  <c r="F47" i="11"/>
  <c r="I14" i="9"/>
  <c r="H47" i="11" s="1"/>
  <c r="E43" i="11"/>
  <c r="A43" i="11"/>
  <c r="D43" i="11"/>
  <c r="G43" i="11"/>
  <c r="C43" i="11"/>
  <c r="F43" i="11"/>
  <c r="B43" i="11"/>
  <c r="I10" i="9"/>
  <c r="H43" i="11" s="1"/>
  <c r="G41" i="11"/>
  <c r="B41" i="11"/>
  <c r="E41" i="11"/>
  <c r="A41" i="11"/>
  <c r="O212" i="4"/>
  <c r="R212" i="4"/>
  <c r="N212" i="4"/>
  <c r="Q212" i="4"/>
  <c r="M212" i="4"/>
  <c r="P212" i="4"/>
  <c r="L212" i="4"/>
  <c r="R24" i="4"/>
  <c r="N24" i="4"/>
  <c r="Q24" i="4"/>
  <c r="M24" i="4"/>
  <c r="P24" i="4"/>
  <c r="L24" i="4"/>
  <c r="O24" i="4"/>
  <c r="R71" i="4"/>
  <c r="N71" i="4"/>
  <c r="Q71" i="4"/>
  <c r="M71" i="4"/>
  <c r="P71" i="4"/>
  <c r="L71" i="4"/>
  <c r="O71" i="4"/>
  <c r="P14" i="4"/>
  <c r="L14" i="4"/>
  <c r="O14" i="4"/>
  <c r="R14" i="4"/>
  <c r="N14" i="4"/>
  <c r="Q14" i="4"/>
  <c r="M14" i="4"/>
  <c r="P42" i="4"/>
  <c r="L42" i="4"/>
  <c r="O42" i="4"/>
  <c r="R42" i="4"/>
  <c r="N42" i="4"/>
  <c r="Q42" i="4"/>
  <c r="M42" i="4"/>
  <c r="P151" i="4"/>
  <c r="L151" i="4"/>
  <c r="O151" i="4"/>
  <c r="R151" i="4"/>
  <c r="N151" i="4"/>
  <c r="Q151" i="4"/>
  <c r="M151" i="4"/>
  <c r="O196" i="4"/>
  <c r="R196" i="4"/>
  <c r="N196" i="4"/>
  <c r="Q196" i="4"/>
  <c r="M196" i="4"/>
  <c r="P196" i="4"/>
  <c r="L196" i="4"/>
  <c r="R40" i="4"/>
  <c r="N40" i="4"/>
  <c r="Q40" i="4"/>
  <c r="M40" i="4"/>
  <c r="P40" i="4"/>
  <c r="L40" i="4"/>
  <c r="O40" i="4"/>
  <c r="R12" i="4"/>
  <c r="N12" i="4"/>
  <c r="Q12" i="4"/>
  <c r="M12" i="4"/>
  <c r="P12" i="4"/>
  <c r="L12" i="4"/>
  <c r="O12" i="4"/>
  <c r="R8" i="4"/>
  <c r="N8" i="4"/>
  <c r="Q8" i="4"/>
  <c r="M8" i="4"/>
  <c r="P8" i="4"/>
  <c r="L8" i="4"/>
  <c r="O8" i="4"/>
  <c r="H9" i="9"/>
  <c r="N47" i="4"/>
  <c r="L47" i="4"/>
  <c r="Q218" i="4"/>
  <c r="M218" i="4"/>
  <c r="P218" i="4"/>
  <c r="L218" i="4"/>
  <c r="O218" i="4"/>
  <c r="R218" i="4"/>
  <c r="N218" i="4"/>
  <c r="G45" i="11"/>
  <c r="C45" i="11"/>
  <c r="F45" i="11"/>
  <c r="B45" i="11"/>
  <c r="E45" i="11"/>
  <c r="A45" i="11"/>
  <c r="D45" i="11"/>
  <c r="I12" i="9"/>
  <c r="H45" i="11" s="1"/>
  <c r="G39" i="11"/>
  <c r="I6" i="9"/>
  <c r="H39" i="11" s="1"/>
  <c r="P147" i="4" l="1"/>
  <c r="H37" i="9"/>
  <c r="H179" i="9"/>
  <c r="P178" i="4"/>
  <c r="R178" i="4"/>
  <c r="N178" i="4"/>
  <c r="M178" i="4"/>
  <c r="G58" i="11"/>
  <c r="F58" i="11"/>
  <c r="E58" i="11"/>
  <c r="I25" i="9"/>
  <c r="H58" i="11" s="1"/>
  <c r="C58" i="11"/>
  <c r="B58" i="11"/>
  <c r="A58" i="11"/>
  <c r="D58" i="11"/>
  <c r="P143" i="4"/>
  <c r="H144" i="9"/>
  <c r="Q222" i="4"/>
  <c r="H223" i="9"/>
  <c r="M126" i="4"/>
  <c r="H127" i="9"/>
  <c r="L170" i="4"/>
  <c r="H171" i="9"/>
  <c r="H79" i="9"/>
  <c r="H205" i="9"/>
  <c r="C197" i="11"/>
  <c r="D197" i="11"/>
  <c r="F197" i="11"/>
  <c r="H197" i="11"/>
  <c r="A197" i="11"/>
  <c r="B197" i="11"/>
  <c r="G197" i="11"/>
  <c r="E197" i="11"/>
  <c r="I164" i="9"/>
  <c r="R192" i="4"/>
  <c r="H193" i="9"/>
  <c r="N167" i="4"/>
  <c r="H168" i="9"/>
  <c r="E230" i="11"/>
  <c r="A230" i="11"/>
  <c r="C230" i="11"/>
  <c r="G230" i="11"/>
  <c r="B230" i="11"/>
  <c r="F230" i="11"/>
  <c r="D230" i="11"/>
  <c r="I197" i="9"/>
  <c r="H230" i="11" s="1"/>
  <c r="B215" i="11"/>
  <c r="A215" i="11"/>
  <c r="G215" i="11"/>
  <c r="H215" i="11"/>
  <c r="I182" i="9"/>
  <c r="F215" i="11"/>
  <c r="C215" i="11"/>
  <c r="D215" i="11"/>
  <c r="E215" i="11"/>
  <c r="D257" i="11"/>
  <c r="A257" i="11"/>
  <c r="F257" i="11"/>
  <c r="C257" i="11"/>
  <c r="H257" i="11"/>
  <c r="E257" i="11"/>
  <c r="G257" i="11"/>
  <c r="I224" i="9"/>
  <c r="B257" i="11"/>
  <c r="F219" i="11"/>
  <c r="A219" i="11"/>
  <c r="B219" i="11"/>
  <c r="H219" i="11"/>
  <c r="E219" i="11"/>
  <c r="G219" i="11"/>
  <c r="D219" i="11"/>
  <c r="C219" i="11"/>
  <c r="I186" i="9"/>
  <c r="F156" i="11"/>
  <c r="I123" i="9"/>
  <c r="H156" i="11" s="1"/>
  <c r="B156" i="11"/>
  <c r="D156" i="11"/>
  <c r="E156" i="11"/>
  <c r="G156" i="11"/>
  <c r="A156" i="11"/>
  <c r="C156" i="11"/>
  <c r="C220" i="11"/>
  <c r="B220" i="11"/>
  <c r="E220" i="11"/>
  <c r="I187" i="9"/>
  <c r="D220" i="11"/>
  <c r="A220" i="11"/>
  <c r="G220" i="11"/>
  <c r="H220" i="11"/>
  <c r="F220" i="11"/>
  <c r="F129" i="11"/>
  <c r="B129" i="11"/>
  <c r="D129" i="11"/>
  <c r="G129" i="11"/>
  <c r="E129" i="11"/>
  <c r="I96" i="9"/>
  <c r="H129" i="11" s="1"/>
  <c r="C129" i="11"/>
  <c r="A129" i="11"/>
  <c r="A157" i="11"/>
  <c r="G157" i="11"/>
  <c r="F157" i="11"/>
  <c r="D157" i="11"/>
  <c r="B157" i="11"/>
  <c r="C157" i="11"/>
  <c r="I124" i="9"/>
  <c r="H157" i="11" s="1"/>
  <c r="E157" i="11"/>
  <c r="H239" i="11"/>
  <c r="F239" i="11"/>
  <c r="I206" i="9"/>
  <c r="D239" i="11"/>
  <c r="A239" i="11"/>
  <c r="G239" i="11"/>
  <c r="E239" i="11"/>
  <c r="B239" i="11"/>
  <c r="C239" i="11"/>
  <c r="G231" i="11"/>
  <c r="E231" i="11"/>
  <c r="B231" i="11"/>
  <c r="C231" i="11"/>
  <c r="D231" i="11"/>
  <c r="H231" i="11"/>
  <c r="I198" i="9"/>
  <c r="F231" i="11"/>
  <c r="A231" i="11"/>
  <c r="F133" i="11"/>
  <c r="B133" i="11"/>
  <c r="D133" i="11"/>
  <c r="G133" i="11"/>
  <c r="E133" i="11"/>
  <c r="I100" i="9"/>
  <c r="H133" i="11" s="1"/>
  <c r="C133" i="11"/>
  <c r="A133" i="11"/>
  <c r="F165" i="11"/>
  <c r="H165" i="11"/>
  <c r="I132" i="9"/>
  <c r="B165" i="11"/>
  <c r="D165" i="11"/>
  <c r="E165" i="11"/>
  <c r="C165" i="11"/>
  <c r="A165" i="11"/>
  <c r="G165" i="11"/>
  <c r="D248" i="11"/>
  <c r="G248" i="11"/>
  <c r="E248" i="11"/>
  <c r="F248" i="11"/>
  <c r="A248" i="11"/>
  <c r="C248" i="11"/>
  <c r="I215" i="9"/>
  <c r="H248" i="11" s="1"/>
  <c r="B248" i="11"/>
  <c r="G184" i="11"/>
  <c r="B184" i="11"/>
  <c r="I151" i="9"/>
  <c r="C184" i="11"/>
  <c r="F184" i="11"/>
  <c r="D184" i="11"/>
  <c r="A184" i="11"/>
  <c r="H184" i="11"/>
  <c r="E184" i="11"/>
  <c r="L147" i="4"/>
  <c r="Q134" i="4"/>
  <c r="H135" i="9"/>
  <c r="R26" i="4"/>
  <c r="H27" i="9"/>
  <c r="H17" i="9"/>
  <c r="H35" i="9"/>
  <c r="H24" i="9"/>
  <c r="H90" i="9"/>
  <c r="D169" i="11"/>
  <c r="A169" i="11"/>
  <c r="I136" i="9"/>
  <c r="H169" i="11" s="1"/>
  <c r="F169" i="11"/>
  <c r="G169" i="11"/>
  <c r="E169" i="11"/>
  <c r="C169" i="11"/>
  <c r="B169" i="11"/>
  <c r="H67" i="9"/>
  <c r="H175" i="9"/>
  <c r="B121" i="11"/>
  <c r="D121" i="11"/>
  <c r="F121" i="11"/>
  <c r="I88" i="9"/>
  <c r="G121" i="11"/>
  <c r="H121" i="11"/>
  <c r="C121" i="11"/>
  <c r="E121" i="11"/>
  <c r="A121" i="11"/>
  <c r="H28" i="9"/>
  <c r="H94" i="9"/>
  <c r="H44" i="9"/>
  <c r="H98" i="9"/>
  <c r="H23" i="9"/>
  <c r="B151" i="11"/>
  <c r="D151" i="11"/>
  <c r="E151" i="11"/>
  <c r="C151" i="11"/>
  <c r="F151" i="11"/>
  <c r="I118" i="9"/>
  <c r="G151" i="11"/>
  <c r="A151" i="11"/>
  <c r="H151" i="11"/>
  <c r="C228" i="11"/>
  <c r="B228" i="11"/>
  <c r="H228" i="11"/>
  <c r="A228" i="11"/>
  <c r="I195" i="9"/>
  <c r="E228" i="11"/>
  <c r="F228" i="11"/>
  <c r="D228" i="11"/>
  <c r="G228" i="11"/>
  <c r="D252" i="11"/>
  <c r="G252" i="11"/>
  <c r="H252" i="11"/>
  <c r="F252" i="11"/>
  <c r="A252" i="11"/>
  <c r="B252" i="11"/>
  <c r="E252" i="11"/>
  <c r="I219" i="9"/>
  <c r="C252" i="11"/>
  <c r="H74" i="9"/>
  <c r="G241" i="11"/>
  <c r="C241" i="11"/>
  <c r="B241" i="11"/>
  <c r="I208" i="9"/>
  <c r="H241" i="11"/>
  <c r="E241" i="11"/>
  <c r="D241" i="11"/>
  <c r="F241" i="11"/>
  <c r="A241" i="11"/>
  <c r="B214" i="11"/>
  <c r="A214" i="11"/>
  <c r="G214" i="11"/>
  <c r="H214" i="11"/>
  <c r="I181" i="9"/>
  <c r="D214" i="11"/>
  <c r="E214" i="11"/>
  <c r="F214" i="11"/>
  <c r="C214" i="11"/>
  <c r="B229" i="11"/>
  <c r="E229" i="11"/>
  <c r="H229" i="11"/>
  <c r="F229" i="11"/>
  <c r="I196" i="9"/>
  <c r="D229" i="11"/>
  <c r="A229" i="11"/>
  <c r="G229" i="11"/>
  <c r="C229" i="11"/>
  <c r="G198" i="11"/>
  <c r="B198" i="11"/>
  <c r="I165" i="9"/>
  <c r="C198" i="11"/>
  <c r="F198" i="11"/>
  <c r="E198" i="11"/>
  <c r="A198" i="11"/>
  <c r="D198" i="11"/>
  <c r="H198" i="11"/>
  <c r="G203" i="11"/>
  <c r="E203" i="11"/>
  <c r="I170" i="9"/>
  <c r="F203" i="11"/>
  <c r="B203" i="11"/>
  <c r="A203" i="11"/>
  <c r="D203" i="11"/>
  <c r="C203" i="11"/>
  <c r="H203" i="11"/>
  <c r="F207" i="11"/>
  <c r="B207" i="11"/>
  <c r="A207" i="11"/>
  <c r="H207" i="11"/>
  <c r="G207" i="11"/>
  <c r="E207" i="11"/>
  <c r="I174" i="9"/>
  <c r="C207" i="11"/>
  <c r="D207" i="11"/>
  <c r="F118" i="11"/>
  <c r="B118" i="11"/>
  <c r="D118" i="11"/>
  <c r="G118" i="11"/>
  <c r="E118" i="11"/>
  <c r="I85" i="9"/>
  <c r="H118" i="11" s="1"/>
  <c r="C118" i="11"/>
  <c r="A118" i="11"/>
  <c r="D167" i="11"/>
  <c r="A167" i="11"/>
  <c r="E167" i="11"/>
  <c r="C167" i="11"/>
  <c r="F167" i="11"/>
  <c r="I134" i="9"/>
  <c r="H167" i="11" s="1"/>
  <c r="G167" i="11"/>
  <c r="B167" i="11"/>
  <c r="H50" i="9"/>
  <c r="H122" i="9"/>
  <c r="H48" i="9"/>
  <c r="H120" i="9"/>
  <c r="H72" i="9"/>
  <c r="D105" i="11" s="1"/>
  <c r="H180" i="9"/>
  <c r="M138" i="4"/>
  <c r="H139" i="9"/>
  <c r="L69" i="4"/>
  <c r="H70" i="9"/>
  <c r="E244" i="11"/>
  <c r="F244" i="11"/>
  <c r="B244" i="11"/>
  <c r="C244" i="11"/>
  <c r="A244" i="11"/>
  <c r="I211" i="9"/>
  <c r="H244" i="11" s="1"/>
  <c r="D244" i="11"/>
  <c r="G244" i="11"/>
  <c r="B221" i="11"/>
  <c r="E221" i="11"/>
  <c r="F221" i="11"/>
  <c r="I188" i="9"/>
  <c r="H221" i="11" s="1"/>
  <c r="G221" i="11"/>
  <c r="D221" i="11"/>
  <c r="A221" i="11"/>
  <c r="C221" i="11"/>
  <c r="G137" i="11"/>
  <c r="E137" i="11"/>
  <c r="I104" i="9"/>
  <c r="C137" i="11"/>
  <c r="H137" i="11"/>
  <c r="F137" i="11"/>
  <c r="B137" i="11"/>
  <c r="A137" i="11"/>
  <c r="D137" i="11"/>
  <c r="H39" i="9"/>
  <c r="C139" i="11"/>
  <c r="A139" i="11"/>
  <c r="E139" i="11"/>
  <c r="G139" i="11"/>
  <c r="F139" i="11"/>
  <c r="I106" i="9"/>
  <c r="H139" i="11" s="1"/>
  <c r="B139" i="11"/>
  <c r="D139" i="11"/>
  <c r="G143" i="11"/>
  <c r="E143" i="11"/>
  <c r="I110" i="9"/>
  <c r="F143" i="11"/>
  <c r="D143" i="11"/>
  <c r="B143" i="11"/>
  <c r="A143" i="11"/>
  <c r="C143" i="11"/>
  <c r="H143" i="11"/>
  <c r="A149" i="11"/>
  <c r="G149" i="11"/>
  <c r="F149" i="11"/>
  <c r="I116" i="9"/>
  <c r="H149" i="11" s="1"/>
  <c r="B149" i="11"/>
  <c r="D149" i="11"/>
  <c r="E149" i="11"/>
  <c r="C149" i="11"/>
  <c r="H60" i="9"/>
  <c r="D246" i="11"/>
  <c r="B246" i="11"/>
  <c r="E246" i="11"/>
  <c r="A246" i="11"/>
  <c r="F246" i="11"/>
  <c r="C246" i="11"/>
  <c r="H246" i="11"/>
  <c r="G246" i="11"/>
  <c r="I213" i="9"/>
  <c r="H77" i="9"/>
  <c r="H203" i="9"/>
  <c r="G130" i="11"/>
  <c r="E130" i="11"/>
  <c r="I97" i="9"/>
  <c r="C130" i="11"/>
  <c r="A130" i="11"/>
  <c r="F130" i="11"/>
  <c r="H130" i="11"/>
  <c r="B130" i="11"/>
  <c r="D130" i="11"/>
  <c r="G202" i="11"/>
  <c r="H202" i="11"/>
  <c r="E202" i="11"/>
  <c r="B202" i="11"/>
  <c r="I169" i="9"/>
  <c r="C202" i="11"/>
  <c r="F202" i="11"/>
  <c r="D202" i="11"/>
  <c r="A202" i="11"/>
  <c r="F218" i="11"/>
  <c r="D218" i="11"/>
  <c r="B218" i="11"/>
  <c r="A218" i="11"/>
  <c r="G218" i="11"/>
  <c r="H218" i="11"/>
  <c r="I185" i="9"/>
  <c r="C218" i="11"/>
  <c r="E218" i="11"/>
  <c r="D206" i="11"/>
  <c r="A206" i="11"/>
  <c r="E206" i="11"/>
  <c r="G206" i="11"/>
  <c r="B206" i="11"/>
  <c r="I173" i="9"/>
  <c r="H206" i="11" s="1"/>
  <c r="C206" i="11"/>
  <c r="F206" i="11"/>
  <c r="D222" i="11"/>
  <c r="B222" i="11"/>
  <c r="E222" i="11"/>
  <c r="A222" i="11"/>
  <c r="C222" i="11"/>
  <c r="G222" i="11"/>
  <c r="F222" i="11"/>
  <c r="I189" i="9"/>
  <c r="H222" i="11" s="1"/>
  <c r="D240" i="11"/>
  <c r="G240" i="11"/>
  <c r="E240" i="11"/>
  <c r="F240" i="11"/>
  <c r="C240" i="11"/>
  <c r="B240" i="11"/>
  <c r="H240" i="11"/>
  <c r="A240" i="11"/>
  <c r="I207" i="9"/>
  <c r="E186" i="11"/>
  <c r="G186" i="11"/>
  <c r="B186" i="11"/>
  <c r="I153" i="9"/>
  <c r="H186" i="11" s="1"/>
  <c r="C186" i="11"/>
  <c r="A186" i="11"/>
  <c r="D186" i="11"/>
  <c r="F186" i="11"/>
  <c r="D247" i="11"/>
  <c r="A247" i="11"/>
  <c r="G247" i="11"/>
  <c r="E247" i="11"/>
  <c r="H247" i="11"/>
  <c r="I214" i="9"/>
  <c r="C247" i="11"/>
  <c r="F247" i="11"/>
  <c r="B247" i="11"/>
  <c r="F210" i="11"/>
  <c r="D210" i="11"/>
  <c r="B210" i="11"/>
  <c r="A210" i="11"/>
  <c r="E210" i="11"/>
  <c r="I177" i="9"/>
  <c r="H210" i="11" s="1"/>
  <c r="G210" i="11"/>
  <c r="C210" i="11"/>
  <c r="F124" i="11"/>
  <c r="B124" i="11"/>
  <c r="D124" i="11"/>
  <c r="G124" i="11"/>
  <c r="E124" i="11"/>
  <c r="I91" i="9"/>
  <c r="H124" i="11" s="1"/>
  <c r="C124" i="11"/>
  <c r="A124" i="11"/>
  <c r="H108" i="9"/>
  <c r="M107" i="4"/>
  <c r="R107" i="4"/>
  <c r="P107" i="4"/>
  <c r="N107" i="4"/>
  <c r="L107" i="4"/>
  <c r="Q107" i="4"/>
  <c r="O107" i="4"/>
  <c r="D260" i="11"/>
  <c r="G260" i="11"/>
  <c r="A260" i="11"/>
  <c r="E260" i="11"/>
  <c r="F260" i="11"/>
  <c r="C260" i="11"/>
  <c r="B260" i="11"/>
  <c r="I227" i="9"/>
  <c r="H260" i="11" s="1"/>
  <c r="G200" i="11"/>
  <c r="B200" i="11"/>
  <c r="I167" i="9"/>
  <c r="C200" i="11"/>
  <c r="F200" i="11"/>
  <c r="E200" i="11"/>
  <c r="A200" i="11"/>
  <c r="H200" i="11"/>
  <c r="D200" i="11"/>
  <c r="C181" i="11"/>
  <c r="D181" i="11"/>
  <c r="F181" i="11"/>
  <c r="H181" i="11"/>
  <c r="A181" i="11"/>
  <c r="B181" i="11"/>
  <c r="G181" i="11"/>
  <c r="E181" i="11"/>
  <c r="I148" i="9"/>
  <c r="I8" i="9"/>
  <c r="H41" i="11" s="1"/>
  <c r="C41" i="11"/>
  <c r="P89" i="4"/>
  <c r="N89" i="4"/>
  <c r="P69" i="4"/>
  <c r="Q126" i="4"/>
  <c r="L32" i="4"/>
  <c r="P170" i="4"/>
  <c r="N147" i="4"/>
  <c r="Q179" i="4"/>
  <c r="P179" i="4"/>
  <c r="F62" i="11"/>
  <c r="I29" i="9"/>
  <c r="H62" i="11" s="1"/>
  <c r="B70" i="11"/>
  <c r="L130" i="4"/>
  <c r="H131" i="9"/>
  <c r="C109" i="11"/>
  <c r="D109" i="11"/>
  <c r="G109" i="11"/>
  <c r="A109" i="11"/>
  <c r="B109" i="11"/>
  <c r="E109" i="11"/>
  <c r="F109" i="11"/>
  <c r="I76" i="9"/>
  <c r="H109" i="11" s="1"/>
  <c r="H62" i="9"/>
  <c r="H152" i="9"/>
  <c r="N101" i="4"/>
  <c r="H102" i="9"/>
  <c r="L208" i="4"/>
  <c r="H209" i="9"/>
  <c r="L167" i="4"/>
  <c r="R167" i="4"/>
  <c r="H41" i="9"/>
  <c r="D243" i="11"/>
  <c r="A243" i="11"/>
  <c r="E243" i="11"/>
  <c r="G243" i="11"/>
  <c r="F243" i="11"/>
  <c r="B243" i="11"/>
  <c r="C243" i="11"/>
  <c r="I210" i="9"/>
  <c r="H243" i="11" s="1"/>
  <c r="A191" i="11"/>
  <c r="G191" i="11"/>
  <c r="E191" i="11"/>
  <c r="I158" i="9"/>
  <c r="H191" i="11" s="1"/>
  <c r="C191" i="11"/>
  <c r="D191" i="11"/>
  <c r="F191" i="11"/>
  <c r="B191" i="11"/>
  <c r="H33" i="9"/>
  <c r="F96" i="11"/>
  <c r="E96" i="11"/>
  <c r="B96" i="11"/>
  <c r="C96" i="11"/>
  <c r="D96" i="11"/>
  <c r="A96" i="11"/>
  <c r="C136" i="11"/>
  <c r="A136" i="11"/>
  <c r="F136" i="11"/>
  <c r="H136" i="11"/>
  <c r="B136" i="11"/>
  <c r="D136" i="11"/>
  <c r="G136" i="11"/>
  <c r="E136" i="11"/>
  <c r="I103" i="9"/>
  <c r="G209" i="11"/>
  <c r="A209" i="11"/>
  <c r="I176" i="9"/>
  <c r="H209" i="11" s="1"/>
  <c r="E209" i="11"/>
  <c r="D209" i="11"/>
  <c r="C209" i="11"/>
  <c r="B209" i="11"/>
  <c r="F209" i="11"/>
  <c r="D102" i="11"/>
  <c r="G102" i="11"/>
  <c r="C102" i="11"/>
  <c r="F102" i="11"/>
  <c r="A102" i="11"/>
  <c r="E102" i="11"/>
  <c r="B102" i="11"/>
  <c r="I69" i="9"/>
  <c r="H102" i="11" s="1"/>
  <c r="B154" i="11"/>
  <c r="D154" i="11"/>
  <c r="E154" i="11"/>
  <c r="G154" i="11"/>
  <c r="C154" i="11"/>
  <c r="H154" i="11"/>
  <c r="F154" i="11"/>
  <c r="A154" i="11"/>
  <c r="I121" i="9"/>
  <c r="G245" i="11"/>
  <c r="C245" i="11"/>
  <c r="B245" i="11"/>
  <c r="E245" i="11"/>
  <c r="H245" i="11"/>
  <c r="F245" i="11"/>
  <c r="I212" i="9"/>
  <c r="D245" i="11"/>
  <c r="A245" i="11"/>
  <c r="B225" i="11"/>
  <c r="E225" i="11"/>
  <c r="D225" i="11"/>
  <c r="C225" i="11"/>
  <c r="G225" i="11"/>
  <c r="F225" i="11"/>
  <c r="A225" i="11"/>
  <c r="H225" i="11"/>
  <c r="I192" i="9"/>
  <c r="F250" i="11"/>
  <c r="I217" i="9"/>
  <c r="H250" i="11" s="1"/>
  <c r="D250" i="11"/>
  <c r="B250" i="11"/>
  <c r="E250" i="11"/>
  <c r="A250" i="11"/>
  <c r="C250" i="11"/>
  <c r="G250" i="11"/>
  <c r="C193" i="11"/>
  <c r="D193" i="11"/>
  <c r="A193" i="11"/>
  <c r="I160" i="9"/>
  <c r="H193" i="11"/>
  <c r="G193" i="11"/>
  <c r="B193" i="11"/>
  <c r="F193" i="11"/>
  <c r="E193" i="11"/>
  <c r="F110" i="11"/>
  <c r="C110" i="11"/>
  <c r="B110" i="11"/>
  <c r="D110" i="11"/>
  <c r="G110" i="11"/>
  <c r="I77" i="9"/>
  <c r="H110" i="11" s="1"/>
  <c r="E110" i="11"/>
  <c r="A110" i="11"/>
  <c r="H28" i="10"/>
  <c r="N48" i="11"/>
  <c r="B39" i="11"/>
  <c r="D39" i="11"/>
  <c r="P47" i="4"/>
  <c r="R47" i="4"/>
  <c r="D41" i="11"/>
  <c r="P93" i="4"/>
  <c r="R93" i="4"/>
  <c r="R202" i="4"/>
  <c r="M202" i="4"/>
  <c r="Q138" i="4"/>
  <c r="M59" i="4"/>
  <c r="R130" i="4"/>
  <c r="M130" i="4"/>
  <c r="N32" i="4"/>
  <c r="L97" i="4"/>
  <c r="N97" i="4"/>
  <c r="M36" i="4"/>
  <c r="Q38" i="4"/>
  <c r="P38" i="4"/>
  <c r="R179" i="4"/>
  <c r="M22" i="4"/>
  <c r="O22" i="4"/>
  <c r="E62" i="11"/>
  <c r="E61" i="11"/>
  <c r="D61" i="11"/>
  <c r="H19" i="9"/>
  <c r="C84" i="11"/>
  <c r="D84" i="11"/>
  <c r="Q167" i="4"/>
  <c r="P167" i="4"/>
  <c r="C112" i="11"/>
  <c r="A112" i="11"/>
  <c r="B112" i="11"/>
  <c r="D112" i="11"/>
  <c r="E112" i="11"/>
  <c r="G112" i="11"/>
  <c r="I79" i="9"/>
  <c r="H112" i="11" s="1"/>
  <c r="F112" i="11"/>
  <c r="M167" i="4"/>
  <c r="J36" i="10"/>
  <c r="J35" i="10"/>
  <c r="M49" i="11"/>
  <c r="E23" i="7"/>
  <c r="O49" i="11"/>
  <c r="F94" i="11"/>
  <c r="A94" i="11"/>
  <c r="C94" i="11"/>
  <c r="E94" i="11"/>
  <c r="G94" i="11"/>
  <c r="B94" i="11"/>
  <c r="I61" i="9"/>
  <c r="H94" i="11" s="1"/>
  <c r="D94" i="11"/>
  <c r="F74" i="11"/>
  <c r="B74" i="11"/>
  <c r="I41" i="9"/>
  <c r="H74" i="11" s="1"/>
  <c r="D74" i="11"/>
  <c r="C74" i="11"/>
  <c r="G74" i="11"/>
  <c r="A74" i="11"/>
  <c r="E74" i="11"/>
  <c r="H10" i="10"/>
  <c r="N46" i="11"/>
  <c r="F39" i="11"/>
  <c r="A39" i="11"/>
  <c r="M47" i="4"/>
  <c r="O47" i="4"/>
  <c r="M93" i="4"/>
  <c r="O93" i="4"/>
  <c r="O202" i="4"/>
  <c r="Q202" i="4"/>
  <c r="O59" i="4"/>
  <c r="Q59" i="4"/>
  <c r="O130" i="4"/>
  <c r="Q130" i="4"/>
  <c r="P97" i="4"/>
  <c r="R97" i="4"/>
  <c r="P101" i="4"/>
  <c r="O36" i="4"/>
  <c r="Q36" i="4"/>
  <c r="Q22" i="4"/>
  <c r="L22" i="4"/>
  <c r="C100" i="11"/>
  <c r="A100" i="11"/>
  <c r="F100" i="11"/>
  <c r="B100" i="11"/>
  <c r="D100" i="11"/>
  <c r="E100" i="11"/>
  <c r="I67" i="9"/>
  <c r="H100" i="11" s="1"/>
  <c r="G100" i="11"/>
  <c r="A61" i="11"/>
  <c r="I28" i="9"/>
  <c r="H61" i="11" s="1"/>
  <c r="F84" i="11"/>
  <c r="I51" i="9"/>
  <c r="H84" i="11" s="1"/>
  <c r="B84" i="11"/>
  <c r="O167" i="4"/>
  <c r="H36" i="10"/>
  <c r="N49" i="11"/>
  <c r="H27" i="10"/>
  <c r="H18" i="7"/>
  <c r="L48" i="11"/>
  <c r="F108" i="11"/>
  <c r="H108" i="11"/>
  <c r="G108" i="11"/>
  <c r="E108" i="11"/>
  <c r="I75" i="9"/>
  <c r="A108" i="11"/>
  <c r="D108" i="11"/>
  <c r="C108" i="11"/>
  <c r="B108" i="11"/>
  <c r="Q208" i="4"/>
  <c r="H83" i="9"/>
  <c r="H17" i="10"/>
  <c r="L47" i="11"/>
  <c r="H17" i="7"/>
  <c r="C39" i="11"/>
  <c r="Q93" i="4"/>
  <c r="L202" i="4"/>
  <c r="L59" i="4"/>
  <c r="M97" i="4"/>
  <c r="O97" i="4"/>
  <c r="R101" i="4"/>
  <c r="L36" i="4"/>
  <c r="N208" i="4"/>
  <c r="N22" i="4"/>
  <c r="A105" i="11"/>
  <c r="B105" i="11"/>
  <c r="E105" i="11"/>
  <c r="G105" i="11"/>
  <c r="G61" i="11"/>
  <c r="H9" i="10"/>
  <c r="H16" i="7"/>
  <c r="L46" i="11"/>
  <c r="B104" i="11"/>
  <c r="D104" i="11"/>
  <c r="F104" i="11"/>
  <c r="I71" i="9"/>
  <c r="H104" i="11" s="1"/>
  <c r="E104" i="11"/>
  <c r="G104" i="11"/>
  <c r="A104" i="11"/>
  <c r="C104" i="11"/>
  <c r="D76" i="11"/>
  <c r="B76" i="11"/>
  <c r="I43" i="9"/>
  <c r="H76" i="11" s="1"/>
  <c r="C76" i="11"/>
  <c r="F76" i="11"/>
  <c r="E76" i="11"/>
  <c r="A76" i="11"/>
  <c r="G76" i="11"/>
  <c r="L134" i="4"/>
  <c r="O26" i="4"/>
  <c r="M26" i="4"/>
  <c r="C78" i="11"/>
  <c r="A78" i="11"/>
  <c r="D78" i="11"/>
  <c r="F78" i="11"/>
  <c r="B78" i="11"/>
  <c r="I45" i="9"/>
  <c r="H78" i="11" s="1"/>
  <c r="G78" i="11"/>
  <c r="E78" i="11"/>
  <c r="F89" i="11"/>
  <c r="B89" i="11"/>
  <c r="D89" i="11"/>
  <c r="G89" i="11"/>
  <c r="E89" i="11"/>
  <c r="I56" i="9"/>
  <c r="H89" i="11" s="1"/>
  <c r="A89" i="11"/>
  <c r="C89" i="11"/>
  <c r="N73" i="4"/>
  <c r="P73" i="4"/>
  <c r="L126" i="4"/>
  <c r="R170" i="4"/>
  <c r="M170" i="4"/>
  <c r="M101" i="4"/>
  <c r="O101" i="4"/>
  <c r="P208" i="4"/>
  <c r="R208" i="4"/>
  <c r="Q192" i="4"/>
  <c r="N134" i="4"/>
  <c r="P134" i="4"/>
  <c r="Q26" i="4"/>
  <c r="L26" i="4"/>
  <c r="C50" i="11"/>
  <c r="D50" i="11"/>
  <c r="B50" i="11"/>
  <c r="A50" i="11"/>
  <c r="G50" i="11"/>
  <c r="E50" i="11"/>
  <c r="F50" i="11"/>
  <c r="I17" i="9"/>
  <c r="H50" i="11" s="1"/>
  <c r="B52" i="11"/>
  <c r="A52" i="11"/>
  <c r="D52" i="11"/>
  <c r="C52" i="11"/>
  <c r="I19" i="9"/>
  <c r="H52" i="11" s="1"/>
  <c r="F52" i="11"/>
  <c r="G52" i="11"/>
  <c r="E52" i="11"/>
  <c r="G77" i="11"/>
  <c r="E77" i="11"/>
  <c r="I44" i="9"/>
  <c r="C77" i="11"/>
  <c r="A77" i="11"/>
  <c r="F77" i="11"/>
  <c r="H77" i="11"/>
  <c r="B77" i="11"/>
  <c r="D77" i="11"/>
  <c r="G90" i="11"/>
  <c r="E90" i="11"/>
  <c r="I57" i="9"/>
  <c r="H90" i="11" s="1"/>
  <c r="C90" i="11"/>
  <c r="A90" i="11"/>
  <c r="F90" i="11"/>
  <c r="B90" i="11"/>
  <c r="D90" i="11"/>
  <c r="H40" i="9"/>
  <c r="H36" i="9"/>
  <c r="G64" i="11"/>
  <c r="A64" i="11"/>
  <c r="B64" i="11"/>
  <c r="E64" i="11"/>
  <c r="F64" i="11"/>
  <c r="D64" i="11"/>
  <c r="I31" i="9"/>
  <c r="H64" i="11" s="1"/>
  <c r="C64" i="11"/>
  <c r="C93" i="11"/>
  <c r="A93" i="11"/>
  <c r="F93" i="11"/>
  <c r="B93" i="11"/>
  <c r="D93" i="11"/>
  <c r="I60" i="9"/>
  <c r="H93" i="11" s="1"/>
  <c r="G93" i="11"/>
  <c r="E93" i="11"/>
  <c r="R73" i="4"/>
  <c r="N126" i="4"/>
  <c r="P126" i="4"/>
  <c r="O170" i="4"/>
  <c r="Q170" i="4"/>
  <c r="Q101" i="4"/>
  <c r="M208" i="4"/>
  <c r="O208" i="4"/>
  <c r="L192" i="4"/>
  <c r="N192" i="4"/>
  <c r="R134" i="4"/>
  <c r="M134" i="4"/>
  <c r="N26" i="4"/>
  <c r="P26" i="4"/>
  <c r="C83" i="11"/>
  <c r="A83" i="11"/>
  <c r="F83" i="11"/>
  <c r="B83" i="11"/>
  <c r="D83" i="11"/>
  <c r="E83" i="11"/>
  <c r="G83" i="11"/>
  <c r="I50" i="9"/>
  <c r="H83" i="11" s="1"/>
  <c r="H38" i="9"/>
  <c r="B71" i="11" s="1"/>
  <c r="H58" i="9"/>
  <c r="B81" i="11"/>
  <c r="D81" i="11"/>
  <c r="E81" i="11"/>
  <c r="C81" i="11"/>
  <c r="G81" i="11"/>
  <c r="I48" i="9"/>
  <c r="H81" i="11" s="1"/>
  <c r="F81" i="11"/>
  <c r="A81" i="11"/>
  <c r="C7" i="11"/>
  <c r="C92" i="11"/>
  <c r="A92" i="11"/>
  <c r="F92" i="11"/>
  <c r="B92" i="11"/>
  <c r="D92" i="11"/>
  <c r="G92" i="11"/>
  <c r="E92" i="11"/>
  <c r="I59" i="9"/>
  <c r="H92" i="11" s="1"/>
  <c r="D56" i="11"/>
  <c r="F56" i="11"/>
  <c r="I23" i="9"/>
  <c r="H56" i="11" s="1"/>
  <c r="B56" i="11"/>
  <c r="E56" i="11"/>
  <c r="C56" i="11"/>
  <c r="A56" i="11"/>
  <c r="G56" i="11"/>
  <c r="C55" i="11"/>
  <c r="E55" i="11"/>
  <c r="B55" i="11"/>
  <c r="F55" i="11"/>
  <c r="I22" i="9"/>
  <c r="H55" i="11" s="1"/>
  <c r="D55" i="11"/>
  <c r="G55" i="11"/>
  <c r="A55" i="11"/>
  <c r="N87" i="4"/>
  <c r="Q87" i="4"/>
  <c r="L87" i="4"/>
  <c r="M87" i="4"/>
  <c r="P87" i="4"/>
  <c r="O87" i="4"/>
  <c r="R87" i="4"/>
  <c r="M73" i="4"/>
  <c r="R126" i="4"/>
  <c r="L101" i="4"/>
  <c r="M147" i="4"/>
  <c r="O147" i="4"/>
  <c r="R143" i="4"/>
  <c r="P192" i="4"/>
  <c r="O134" i="4"/>
  <c r="G80" i="11"/>
  <c r="E80" i="11"/>
  <c r="I47" i="9"/>
  <c r="H80" i="11" s="1"/>
  <c r="C80" i="11"/>
  <c r="A80" i="11"/>
  <c r="F80" i="11"/>
  <c r="D80" i="11"/>
  <c r="B80" i="11"/>
  <c r="M103" i="4"/>
  <c r="R103" i="4"/>
  <c r="P103" i="4"/>
  <c r="N103" i="4"/>
  <c r="Q103" i="4"/>
  <c r="L103" i="4"/>
  <c r="O103" i="4"/>
  <c r="H21" i="9"/>
  <c r="C95" i="11"/>
  <c r="A95" i="11"/>
  <c r="G95" i="11"/>
  <c r="F95" i="11"/>
  <c r="B95" i="11"/>
  <c r="E95" i="11"/>
  <c r="D95" i="11"/>
  <c r="I62" i="9"/>
  <c r="H95" i="11" s="1"/>
  <c r="H30" i="9"/>
  <c r="H46" i="9"/>
  <c r="L138" i="4"/>
  <c r="R69" i="4"/>
  <c r="P32" i="4"/>
  <c r="R32" i="4"/>
  <c r="A2" i="6"/>
  <c r="Q143" i="4"/>
  <c r="O143" i="4"/>
  <c r="N222" i="4"/>
  <c r="P222" i="4"/>
  <c r="N138" i="4"/>
  <c r="P138" i="4"/>
  <c r="M69" i="4"/>
  <c r="O69" i="4"/>
  <c r="H11" i="9"/>
  <c r="A44" i="11" s="1"/>
  <c r="M32" i="4"/>
  <c r="G6" i="1"/>
  <c r="M38" i="4"/>
  <c r="M143" i="4"/>
  <c r="L143" i="4"/>
  <c r="R222" i="4"/>
  <c r="M222" i="4"/>
  <c r="H32" i="9"/>
  <c r="M119" i="4"/>
  <c r="R119" i="4"/>
  <c r="P119" i="4"/>
  <c r="N119" i="4"/>
  <c r="O119" i="4"/>
  <c r="L119" i="4"/>
  <c r="Q119" i="4"/>
  <c r="H34" i="9"/>
  <c r="Q121" i="4"/>
  <c r="M121" i="4"/>
  <c r="O121" i="4"/>
  <c r="R121" i="4"/>
  <c r="P121" i="4"/>
  <c r="N121" i="4"/>
  <c r="L121" i="4"/>
  <c r="R138" i="4"/>
  <c r="Q69" i="4"/>
  <c r="O32" i="4"/>
  <c r="Q32" i="4"/>
  <c r="K8" i="11"/>
  <c r="N143" i="4"/>
  <c r="O222" i="4"/>
  <c r="P34" i="4"/>
  <c r="N34" i="4"/>
  <c r="L34" i="4"/>
  <c r="Q34" i="4"/>
  <c r="R34" i="4"/>
  <c r="O34" i="4"/>
  <c r="M34" i="4"/>
  <c r="H13" i="9"/>
  <c r="F57" i="11"/>
  <c r="I24" i="9"/>
  <c r="H57" i="11" s="1"/>
  <c r="D57" i="11"/>
  <c r="B57" i="11"/>
  <c r="G57" i="11"/>
  <c r="A57" i="11"/>
  <c r="C57" i="11"/>
  <c r="E57" i="11"/>
  <c r="D42" i="11"/>
  <c r="G42" i="11"/>
  <c r="C42" i="11"/>
  <c r="F42" i="11"/>
  <c r="B42" i="11"/>
  <c r="E42" i="11"/>
  <c r="A42" i="11"/>
  <c r="I9" i="9"/>
  <c r="H42" i="11" s="1"/>
  <c r="B44" i="11"/>
  <c r="E44" i="11"/>
  <c r="G44" i="11"/>
  <c r="C44" i="11"/>
  <c r="D38" i="11"/>
  <c r="G38" i="11"/>
  <c r="C38" i="11"/>
  <c r="F38" i="11"/>
  <c r="B38" i="11"/>
  <c r="E38" i="11"/>
  <c r="A38" i="11"/>
  <c r="I5" i="9"/>
  <c r="H38" i="11" s="1"/>
  <c r="F48" i="11"/>
  <c r="B48" i="11"/>
  <c r="E48" i="11"/>
  <c r="A48" i="11"/>
  <c r="D48" i="11"/>
  <c r="C48" i="11"/>
  <c r="G48" i="11"/>
  <c r="I15" i="9"/>
  <c r="H48" i="11" s="1"/>
  <c r="I179" i="9" l="1"/>
  <c r="H212" i="11" s="1"/>
  <c r="F212" i="11"/>
  <c r="C212" i="11"/>
  <c r="D212" i="11"/>
  <c r="A212" i="11"/>
  <c r="B212" i="11"/>
  <c r="G212" i="11"/>
  <c r="E212" i="11"/>
  <c r="I37" i="9"/>
  <c r="H70" i="11" s="1"/>
  <c r="D70" i="11"/>
  <c r="F70" i="11"/>
  <c r="G70" i="11"/>
  <c r="A70" i="11"/>
  <c r="C70" i="11"/>
  <c r="E70" i="11"/>
  <c r="F242" i="11"/>
  <c r="I209" i="9"/>
  <c r="H242" i="11" s="1"/>
  <c r="D242" i="11"/>
  <c r="B242" i="11"/>
  <c r="E242" i="11"/>
  <c r="G242" i="11"/>
  <c r="A242" i="11"/>
  <c r="C242" i="11"/>
  <c r="A185" i="11"/>
  <c r="B185" i="11"/>
  <c r="C185" i="11"/>
  <c r="G185" i="11"/>
  <c r="I152" i="9"/>
  <c r="H185" i="11" s="1"/>
  <c r="F185" i="11"/>
  <c r="E185" i="11"/>
  <c r="D185" i="11"/>
  <c r="E236" i="11"/>
  <c r="F236" i="11"/>
  <c r="A236" i="11"/>
  <c r="B236" i="11"/>
  <c r="D236" i="11"/>
  <c r="I203" i="9"/>
  <c r="H236" i="11" s="1"/>
  <c r="C236" i="11"/>
  <c r="G236" i="11"/>
  <c r="B127" i="11"/>
  <c r="D127" i="11"/>
  <c r="E127" i="11"/>
  <c r="G127" i="11"/>
  <c r="A127" i="11"/>
  <c r="C127" i="11"/>
  <c r="F127" i="11"/>
  <c r="I94" i="9"/>
  <c r="H127" i="11" s="1"/>
  <c r="D68" i="11"/>
  <c r="G68" i="11"/>
  <c r="A68" i="11"/>
  <c r="B68" i="11"/>
  <c r="I35" i="9"/>
  <c r="H68" i="11" s="1"/>
  <c r="F68" i="11"/>
  <c r="C68" i="11"/>
  <c r="E68" i="11"/>
  <c r="A168" i="11"/>
  <c r="B168" i="11"/>
  <c r="G168" i="11"/>
  <c r="E168" i="11"/>
  <c r="I135" i="9"/>
  <c r="C168" i="11"/>
  <c r="D168" i="11"/>
  <c r="F168" i="11"/>
  <c r="H168" i="11"/>
  <c r="G204" i="11"/>
  <c r="B204" i="11"/>
  <c r="I171" i="9"/>
  <c r="C204" i="11"/>
  <c r="A204" i="11"/>
  <c r="H204" i="11"/>
  <c r="F204" i="11"/>
  <c r="E204" i="11"/>
  <c r="D204" i="11"/>
  <c r="A256" i="11"/>
  <c r="I223" i="9"/>
  <c r="H256" i="11" s="1"/>
  <c r="D256" i="11"/>
  <c r="G256" i="11"/>
  <c r="E256" i="11"/>
  <c r="F256" i="11"/>
  <c r="C256" i="11"/>
  <c r="B256" i="11"/>
  <c r="F71" i="11"/>
  <c r="F105" i="11"/>
  <c r="C105" i="11"/>
  <c r="F141" i="11"/>
  <c r="C141" i="11"/>
  <c r="D141" i="11"/>
  <c r="B141" i="11"/>
  <c r="I108" i="9"/>
  <c r="H141" i="11" s="1"/>
  <c r="G141" i="11"/>
  <c r="E141" i="11"/>
  <c r="A141" i="11"/>
  <c r="C172" i="11"/>
  <c r="D172" i="11"/>
  <c r="F172" i="11"/>
  <c r="A172" i="11"/>
  <c r="B172" i="11"/>
  <c r="G172" i="11"/>
  <c r="E172" i="11"/>
  <c r="I139" i="9"/>
  <c r="H172" i="11" s="1"/>
  <c r="B153" i="11"/>
  <c r="D153" i="11"/>
  <c r="H153" i="11"/>
  <c r="A153" i="11"/>
  <c r="C153" i="11"/>
  <c r="F153" i="11"/>
  <c r="G153" i="11"/>
  <c r="E153" i="11"/>
  <c r="I120" i="9"/>
  <c r="I74" i="9"/>
  <c r="H107" i="11" s="1"/>
  <c r="E107" i="11"/>
  <c r="A107" i="11"/>
  <c r="D107" i="11"/>
  <c r="F107" i="11"/>
  <c r="C107" i="11"/>
  <c r="B107" i="11"/>
  <c r="G107" i="11"/>
  <c r="F61" i="11"/>
  <c r="C61" i="11"/>
  <c r="B61" i="11"/>
  <c r="C201" i="11"/>
  <c r="D201" i="11"/>
  <c r="F201" i="11"/>
  <c r="I168" i="9"/>
  <c r="H201" i="11" s="1"/>
  <c r="E201" i="11"/>
  <c r="A201" i="11"/>
  <c r="B201" i="11"/>
  <c r="G201" i="11"/>
  <c r="E71" i="11"/>
  <c r="I72" i="9"/>
  <c r="H105" i="11" s="1"/>
  <c r="E66" i="11"/>
  <c r="C66" i="11"/>
  <c r="G66" i="11"/>
  <c r="A66" i="11"/>
  <c r="I33" i="9"/>
  <c r="H66" i="11" s="1"/>
  <c r="D66" i="11"/>
  <c r="F66" i="11"/>
  <c r="B66" i="11"/>
  <c r="G135" i="11"/>
  <c r="E135" i="11"/>
  <c r="I102" i="9"/>
  <c r="H135" i="11" s="1"/>
  <c r="C135" i="11"/>
  <c r="A135" i="11"/>
  <c r="D135" i="11"/>
  <c r="F135" i="11"/>
  <c r="B135" i="11"/>
  <c r="G131" i="11"/>
  <c r="E131" i="11"/>
  <c r="I98" i="9"/>
  <c r="C131" i="11"/>
  <c r="A131" i="11"/>
  <c r="F131" i="11"/>
  <c r="H131" i="11"/>
  <c r="B131" i="11"/>
  <c r="D131" i="11"/>
  <c r="G123" i="11"/>
  <c r="E123" i="11"/>
  <c r="I90" i="9"/>
  <c r="C123" i="11"/>
  <c r="H123" i="11"/>
  <c r="F123" i="11"/>
  <c r="D123" i="11"/>
  <c r="B123" i="11"/>
  <c r="A123" i="11"/>
  <c r="D60" i="11"/>
  <c r="E60" i="11"/>
  <c r="I27" i="9"/>
  <c r="C60" i="11"/>
  <c r="A60" i="11"/>
  <c r="B60" i="11"/>
  <c r="F60" i="11"/>
  <c r="G60" i="11"/>
  <c r="H60" i="11"/>
  <c r="F238" i="11"/>
  <c r="I205" i="9"/>
  <c r="H238" i="11" s="1"/>
  <c r="D238" i="11"/>
  <c r="B238" i="11"/>
  <c r="E238" i="11"/>
  <c r="A238" i="11"/>
  <c r="C238" i="11"/>
  <c r="G238" i="11"/>
  <c r="E160" i="11"/>
  <c r="G160" i="11"/>
  <c r="A160" i="11"/>
  <c r="C160" i="11"/>
  <c r="F160" i="11"/>
  <c r="I127" i="9"/>
  <c r="H160" i="11" s="1"/>
  <c r="B160" i="11"/>
  <c r="D160" i="11"/>
  <c r="C177" i="11"/>
  <c r="F177" i="11"/>
  <c r="I144" i="9"/>
  <c r="D177" i="11"/>
  <c r="A177" i="11"/>
  <c r="H177" i="11"/>
  <c r="E177" i="11"/>
  <c r="G177" i="11"/>
  <c r="B177" i="11"/>
  <c r="A164" i="11"/>
  <c r="C164" i="11"/>
  <c r="B164" i="11"/>
  <c r="G164" i="11"/>
  <c r="E164" i="11"/>
  <c r="I131" i="9"/>
  <c r="F164" i="11"/>
  <c r="H164" i="11"/>
  <c r="D164" i="11"/>
  <c r="D72" i="11"/>
  <c r="I39" i="9"/>
  <c r="H72" i="11" s="1"/>
  <c r="F72" i="11"/>
  <c r="C72" i="11"/>
  <c r="G72" i="11"/>
  <c r="A72" i="11"/>
  <c r="B72" i="11"/>
  <c r="E72" i="11"/>
  <c r="I70" i="9"/>
  <c r="H103" i="11" s="1"/>
  <c r="D103" i="11"/>
  <c r="G103" i="11"/>
  <c r="C103" i="11"/>
  <c r="A103" i="11"/>
  <c r="E103" i="11"/>
  <c r="B103" i="11"/>
  <c r="F103" i="11"/>
  <c r="G213" i="11"/>
  <c r="H213" i="11"/>
  <c r="I180" i="9"/>
  <c r="C213" i="11"/>
  <c r="E213" i="11"/>
  <c r="F213" i="11"/>
  <c r="D213" i="11"/>
  <c r="B213" i="11"/>
  <c r="A213" i="11"/>
  <c r="E155" i="11"/>
  <c r="C155" i="11"/>
  <c r="A155" i="11"/>
  <c r="I122" i="9"/>
  <c r="H155" i="11"/>
  <c r="F155" i="11"/>
  <c r="G155" i="11"/>
  <c r="B155" i="11"/>
  <c r="D155" i="11"/>
  <c r="E208" i="11"/>
  <c r="G208" i="11"/>
  <c r="B208" i="11"/>
  <c r="I175" i="9"/>
  <c r="H208" i="11" s="1"/>
  <c r="C208" i="11"/>
  <c r="F208" i="11"/>
  <c r="D208" i="11"/>
  <c r="A208" i="11"/>
  <c r="D226" i="11"/>
  <c r="B226" i="11"/>
  <c r="A226" i="11"/>
  <c r="I193" i="9"/>
  <c r="E226" i="11"/>
  <c r="G226" i="11"/>
  <c r="F226" i="11"/>
  <c r="C226" i="11"/>
  <c r="H226" i="11"/>
  <c r="J17" i="10"/>
  <c r="J18" i="10"/>
  <c r="E22" i="7"/>
  <c r="M47" i="11"/>
  <c r="O47" i="11"/>
  <c r="J9" i="10"/>
  <c r="J10" i="10"/>
  <c r="O46" i="11"/>
  <c r="M46" i="11"/>
  <c r="C22" i="7"/>
  <c r="B32" i="10"/>
  <c r="N32" i="10"/>
  <c r="N51" i="11"/>
  <c r="D44" i="11"/>
  <c r="F44" i="11"/>
  <c r="I11" i="9"/>
  <c r="H44" i="11" s="1"/>
  <c r="F116" i="11"/>
  <c r="B116" i="11"/>
  <c r="D116" i="11"/>
  <c r="G116" i="11"/>
  <c r="E116" i="11"/>
  <c r="I83" i="9"/>
  <c r="H116" i="11" s="1"/>
  <c r="C116" i="11"/>
  <c r="A116" i="11"/>
  <c r="J27" i="10"/>
  <c r="J28" i="10"/>
  <c r="O48" i="11"/>
  <c r="M48" i="11"/>
  <c r="C23" i="7"/>
  <c r="G79" i="11"/>
  <c r="E79" i="11"/>
  <c r="I46" i="9"/>
  <c r="F79" i="11"/>
  <c r="D79" i="11"/>
  <c r="B79" i="11"/>
  <c r="H79" i="11"/>
  <c r="A79" i="11"/>
  <c r="C79" i="11"/>
  <c r="A69" i="11"/>
  <c r="I36" i="9"/>
  <c r="H69" i="11" s="1"/>
  <c r="G69" i="11"/>
  <c r="C69" i="11"/>
  <c r="D69" i="11"/>
  <c r="E69" i="11"/>
  <c r="B69" i="11"/>
  <c r="F69" i="11"/>
  <c r="A54" i="11"/>
  <c r="D54" i="11"/>
  <c r="E54" i="11"/>
  <c r="B54" i="11"/>
  <c r="F54" i="11"/>
  <c r="C54" i="11"/>
  <c r="G54" i="11"/>
  <c r="I21" i="9"/>
  <c r="H54" i="11" s="1"/>
  <c r="C71" i="11"/>
  <c r="D71" i="11"/>
  <c r="C63" i="11"/>
  <c r="F63" i="11"/>
  <c r="B63" i="11"/>
  <c r="E63" i="11"/>
  <c r="I30" i="9"/>
  <c r="H63" i="11" s="1"/>
  <c r="A63" i="11"/>
  <c r="G63" i="11"/>
  <c r="D63" i="11"/>
  <c r="B73" i="11"/>
  <c r="G73" i="11"/>
  <c r="F73" i="11"/>
  <c r="C73" i="11"/>
  <c r="D73" i="11"/>
  <c r="A73" i="11"/>
  <c r="I40" i="9"/>
  <c r="H73" i="11" s="1"/>
  <c r="E73" i="11"/>
  <c r="A71" i="11"/>
  <c r="G71" i="11"/>
  <c r="I38" i="9"/>
  <c r="H71" i="11" s="1"/>
  <c r="C91" i="11"/>
  <c r="A91" i="11"/>
  <c r="F91" i="11"/>
  <c r="B91" i="11"/>
  <c r="D91" i="11"/>
  <c r="I58" i="9"/>
  <c r="H91" i="11" s="1"/>
  <c r="E91" i="11"/>
  <c r="G91" i="11"/>
  <c r="D67" i="11"/>
  <c r="B67" i="11"/>
  <c r="G67" i="11"/>
  <c r="A67" i="11"/>
  <c r="C67" i="11"/>
  <c r="E67" i="11"/>
  <c r="I34" i="9"/>
  <c r="H67" i="11" s="1"/>
  <c r="F67" i="11"/>
  <c r="F65" i="11"/>
  <c r="I32" i="9"/>
  <c r="H65" i="11" s="1"/>
  <c r="C65" i="11"/>
  <c r="D65" i="11"/>
  <c r="B65" i="11"/>
  <c r="G65" i="11"/>
  <c r="A65" i="11"/>
  <c r="E65" i="11"/>
  <c r="C46" i="11"/>
  <c r="E46" i="11"/>
  <c r="F46" i="11"/>
  <c r="I13" i="9"/>
  <c r="H46" i="11" s="1"/>
  <c r="G46" i="11"/>
  <c r="D46" i="11"/>
  <c r="B46" i="11"/>
  <c r="A46" i="11"/>
  <c r="B14" i="10" l="1"/>
  <c r="N14" i="10"/>
  <c r="N50" i="11"/>
  <c r="B31" i="10"/>
  <c r="N31" i="10"/>
  <c r="L51" i="11"/>
  <c r="H23" i="7"/>
  <c r="B13" i="10"/>
  <c r="N13" i="10"/>
  <c r="H22" i="7"/>
  <c r="L50" i="11"/>
  <c r="D31" i="10" l="1"/>
  <c r="D32" i="10"/>
  <c r="D14" i="10"/>
  <c r="D13" i="10"/>
  <c r="P31" i="10"/>
  <c r="P32" i="10"/>
  <c r="O51" i="11"/>
  <c r="M51" i="11"/>
  <c r="E26" i="7"/>
  <c r="H23" i="10" s="1"/>
  <c r="P13" i="10"/>
  <c r="P14" i="10"/>
  <c r="O50" i="11"/>
  <c r="M50" i="11"/>
  <c r="C26" i="7"/>
  <c r="H22" i="10" s="1"/>
  <c r="T22" i="10" l="1"/>
  <c r="H26" i="7"/>
  <c r="L52" i="11"/>
  <c r="T23" i="10"/>
  <c r="N52" i="11"/>
  <c r="N22" i="10" l="1"/>
  <c r="J22" i="10"/>
  <c r="J23" i="10"/>
  <c r="V23" i="10"/>
  <c r="V22" i="10"/>
  <c r="Z22" i="10"/>
  <c r="K5" i="11"/>
  <c r="M52" i="11"/>
  <c r="K6" i="11"/>
  <c r="O52" i="11"/>
  <c r="C9" i="1"/>
  <c r="K9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tc={08D85F57-057D-48BC-9033-277EC3E0C8DE}</author>
    <author>tc={ABF1E145-0865-4FD4-AEC6-657F7A4CF9EB}</author>
  </authors>
  <commentList>
    <comment ref="B5" authorId="0" shapeId="0" xr:uid="{00000000-0006-0000-0100-000001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Choose the sport being played</t>
      </text>
    </comment>
    <comment ref="E6" authorId="1" shapeId="0" xr:uid="{00000000-0006-0000-0100-000002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Choose yes to include playoff for third</t>
      </text>
    </comment>
  </commentList>
</comments>
</file>

<file path=xl/sharedStrings.xml><?xml version="1.0" encoding="utf-8"?>
<sst xmlns="http://schemas.openxmlformats.org/spreadsheetml/2006/main" count="584" uniqueCount="362">
  <si>
    <t>COMPETITION CONTROL CENTRE</t>
  </si>
  <si>
    <t>Simple-score competition control for football, futsal, basketball, hockey, netball and similar sports.</t>
  </si>
  <si>
    <t>COMPETITION</t>
  </si>
  <si>
    <t>STRUCTURE</t>
  </si>
  <si>
    <t>TEAMS</t>
  </si>
  <si>
    <t>POOL MATCHES</t>
  </si>
  <si>
    <t>CURRENT STATUS</t>
  </si>
  <si>
    <t>Stage</t>
  </si>
  <si>
    <t>Next action</t>
  </si>
  <si>
    <t>WORKFLOW — FOLLOW THESE STEPS</t>
  </si>
  <si>
    <t>1. Set up competition</t>
  </si>
  <si>
    <t>Competition format</t>
  </si>
  <si>
    <t>GO TO SETUP →</t>
  </si>
  <si>
    <t>2. Enter teams</t>
  </si>
  <si>
    <t>Team names</t>
  </si>
  <si>
    <t>GO TO TEAMS →</t>
  </si>
  <si>
    <t>3. Enter results</t>
  </si>
  <si>
    <t>Scores</t>
  </si>
  <si>
    <t>GO TO RESULTS →</t>
  </si>
  <si>
    <t>4. View pool tables</t>
  </si>
  <si>
    <t>Live standings</t>
  </si>
  <si>
    <t>GO TO POOL TABLES →</t>
  </si>
  <si>
    <t>5. Run finals</t>
  </si>
  <si>
    <t>Knockout control</t>
  </si>
  <si>
    <t>GO TO FINALS →</t>
  </si>
  <si>
    <t>PRINT / DISPLAY OUTPUTS</t>
  </si>
  <si>
    <t>Finals Bracket</t>
  </si>
  <si>
    <t>Printable elimination tree</t>
  </si>
  <si>
    <t>GO TO FINALS BRACKET →</t>
  </si>
  <si>
    <t>Competition Summary</t>
  </si>
  <si>
    <t>Standings + all results</t>
  </si>
  <si>
    <t>GO TO SUMMARY →</t>
  </si>
  <si>
    <t>Important: finalise Setup before entering results. If the pool structure changes later, clear affected score-entry cells and re-enter those matches.</t>
  </si>
  <si>
    <t>STEP 1 — COMPETITION SETUP</t>
  </si>
  <si>
    <t>FINALS CONFIGURATION</t>
  </si>
  <si>
    <t>Complete the yellow cells. Finalise Setup before entering results.</t>
  </si>
  <si>
    <t>Choose once; Finals and print sheets update automatically.</t>
  </si>
  <si>
    <t>Finals Mode</t>
  </si>
  <si>
    <t>Automatic</t>
  </si>
  <si>
    <t>Competition Name</t>
  </si>
  <si>
    <t>Simple Score Tournament</t>
  </si>
  <si>
    <t>Input</t>
  </si>
  <si>
    <t>Finalists</t>
  </si>
  <si>
    <t>Sport / Format</t>
  </si>
  <si>
    <t>Football / Futsal / Basketball / Hockey</t>
  </si>
  <si>
    <t>Finals Structure</t>
  </si>
  <si>
    <t>Number of Pools</t>
  </si>
  <si>
    <t>Third-place playoff?</t>
  </si>
  <si>
    <t>No</t>
  </si>
  <si>
    <t>Teams per Pool</t>
  </si>
  <si>
    <t>Pairing Rule</t>
  </si>
  <si>
    <t>Adjacent pool crossover</t>
  </si>
  <si>
    <t>Teams Qualifying per Pool</t>
  </si>
  <si>
    <t>Automatic knockout supports 2, 4, 8 or 16 finalists.</t>
  </si>
  <si>
    <t>SCORING SYSTEM</t>
  </si>
  <si>
    <t>Other finalist counts are flagged for manual finals.</t>
  </si>
  <si>
    <t>Win Points</t>
  </si>
  <si>
    <t>Draw Points</t>
  </si>
  <si>
    <t>Loss Points</t>
  </si>
  <si>
    <t>AUTOMATIC SETTINGS</t>
  </si>
  <si>
    <t>Matches per Pool</t>
  </si>
  <si>
    <t>Max Pools</t>
  </si>
  <si>
    <t>Fixed</t>
  </si>
  <si>
    <t>Max Teams per Pool</t>
  </si>
  <si>
    <t>POOL LIST</t>
  </si>
  <si>
    <t>Pool No</t>
  </si>
  <si>
    <t>Pool Letter</t>
  </si>
  <si>
    <t>Active?</t>
  </si>
  <si>
    <t>A</t>
  </si>
  <si>
    <t>B</t>
  </si>
  <si>
    <t>C</t>
  </si>
  <si>
    <t>D</t>
  </si>
  <si>
    <t>E</t>
  </si>
  <si>
    <t>F</t>
  </si>
  <si>
    <t>G</t>
  </si>
  <si>
    <t>H</t>
  </si>
  <si>
    <t>STEP 2 — ENTER TEAMS</t>
  </si>
  <si>
    <t>Enter team names in the yellow column. Inactive pool/team slots fade automatically.</t>
  </si>
  <si>
    <t>Pool</t>
  </si>
  <si>
    <t>Slot</t>
  </si>
  <si>
    <t>Team ID</t>
  </si>
  <si>
    <t>Team Name</t>
  </si>
  <si>
    <t>Key</t>
  </si>
  <si>
    <t>Active</t>
  </si>
  <si>
    <t>T01</t>
  </si>
  <si>
    <t>A-1</t>
  </si>
  <si>
    <t>T02</t>
  </si>
  <si>
    <t>A-2</t>
  </si>
  <si>
    <t>T03</t>
  </si>
  <si>
    <t>A-3</t>
  </si>
  <si>
    <t>T04</t>
  </si>
  <si>
    <t>A-4</t>
  </si>
  <si>
    <t>T05</t>
  </si>
  <si>
    <t>A-5</t>
  </si>
  <si>
    <t>T06</t>
  </si>
  <si>
    <t>A-6</t>
  </si>
  <si>
    <t>T07</t>
  </si>
  <si>
    <t>A-7</t>
  </si>
  <si>
    <t>T08</t>
  </si>
  <si>
    <t>A-8</t>
  </si>
  <si>
    <t>T09</t>
  </si>
  <si>
    <t>B-1</t>
  </si>
  <si>
    <t>T10</t>
  </si>
  <si>
    <t>B-2</t>
  </si>
  <si>
    <t>T11</t>
  </si>
  <si>
    <t>B-3</t>
  </si>
  <si>
    <t>T12</t>
  </si>
  <si>
    <t>B-4</t>
  </si>
  <si>
    <t>T13</t>
  </si>
  <si>
    <t>B-5</t>
  </si>
  <si>
    <t>T14</t>
  </si>
  <si>
    <t>B-6</t>
  </si>
  <si>
    <t>T15</t>
  </si>
  <si>
    <t>B-7</t>
  </si>
  <si>
    <t>T16</t>
  </si>
  <si>
    <t>B-8</t>
  </si>
  <si>
    <t>T17</t>
  </si>
  <si>
    <t>C-1</t>
  </si>
  <si>
    <t>T18</t>
  </si>
  <si>
    <t>C-2</t>
  </si>
  <si>
    <t>T19</t>
  </si>
  <si>
    <t>C-3</t>
  </si>
  <si>
    <t>T20</t>
  </si>
  <si>
    <t>C-4</t>
  </si>
  <si>
    <t>T21</t>
  </si>
  <si>
    <t>C-5</t>
  </si>
  <si>
    <t>T22</t>
  </si>
  <si>
    <t>C-6</t>
  </si>
  <si>
    <t>T23</t>
  </si>
  <si>
    <t>C-7</t>
  </si>
  <si>
    <t>T24</t>
  </si>
  <si>
    <t>C-8</t>
  </si>
  <si>
    <t>T25</t>
  </si>
  <si>
    <t>D-1</t>
  </si>
  <si>
    <t>T26</t>
  </si>
  <si>
    <t>D-2</t>
  </si>
  <si>
    <t>T27</t>
  </si>
  <si>
    <t>D-3</t>
  </si>
  <si>
    <t>T28</t>
  </si>
  <si>
    <t>D-4</t>
  </si>
  <si>
    <t>T29</t>
  </si>
  <si>
    <t>D-5</t>
  </si>
  <si>
    <t>T30</t>
  </si>
  <si>
    <t>D-6</t>
  </si>
  <si>
    <t>T31</t>
  </si>
  <si>
    <t>D-7</t>
  </si>
  <si>
    <t>T32</t>
  </si>
  <si>
    <t>D-8</t>
  </si>
  <si>
    <t>T33</t>
  </si>
  <si>
    <t>E-1</t>
  </si>
  <si>
    <t>T34</t>
  </si>
  <si>
    <t>E-2</t>
  </si>
  <si>
    <t>T35</t>
  </si>
  <si>
    <t>E-3</t>
  </si>
  <si>
    <t>T36</t>
  </si>
  <si>
    <t>E-4</t>
  </si>
  <si>
    <t>T37</t>
  </si>
  <si>
    <t>E-5</t>
  </si>
  <si>
    <t>T38</t>
  </si>
  <si>
    <t>E-6</t>
  </si>
  <si>
    <t>T39</t>
  </si>
  <si>
    <t>E-7</t>
  </si>
  <si>
    <t>T40</t>
  </si>
  <si>
    <t>E-8</t>
  </si>
  <si>
    <t>T41</t>
  </si>
  <si>
    <t>F-1</t>
  </si>
  <si>
    <t>T42</t>
  </si>
  <si>
    <t>F-2</t>
  </si>
  <si>
    <t>T43</t>
  </si>
  <si>
    <t>F-3</t>
  </si>
  <si>
    <t>T44</t>
  </si>
  <si>
    <t>F-4</t>
  </si>
  <si>
    <t>T45</t>
  </si>
  <si>
    <t>F-5</t>
  </si>
  <si>
    <t>T46</t>
  </si>
  <si>
    <t>F-6</t>
  </si>
  <si>
    <t>T47</t>
  </si>
  <si>
    <t>F-7</t>
  </si>
  <si>
    <t>T48</t>
  </si>
  <si>
    <t>F-8</t>
  </si>
  <si>
    <t>T49</t>
  </si>
  <si>
    <t>G-1</t>
  </si>
  <si>
    <t>T50</t>
  </si>
  <si>
    <t>G-2</t>
  </si>
  <si>
    <t>T51</t>
  </si>
  <si>
    <t>G-3</t>
  </si>
  <si>
    <t>T52</t>
  </si>
  <si>
    <t>G-4</t>
  </si>
  <si>
    <t>T53</t>
  </si>
  <si>
    <t>G-5</t>
  </si>
  <si>
    <t>T54</t>
  </si>
  <si>
    <t>G-6</t>
  </si>
  <si>
    <t>T55</t>
  </si>
  <si>
    <t>G-7</t>
  </si>
  <si>
    <t>T56</t>
  </si>
  <si>
    <t>G-8</t>
  </si>
  <si>
    <t>T57</t>
  </si>
  <si>
    <t>H-1</t>
  </si>
  <si>
    <t>T58</t>
  </si>
  <si>
    <t>H-2</t>
  </si>
  <si>
    <t>T59</t>
  </si>
  <si>
    <t>H-3</t>
  </si>
  <si>
    <t>T60</t>
  </si>
  <si>
    <t>H-4</t>
  </si>
  <si>
    <t>T61</t>
  </si>
  <si>
    <t>H-5</t>
  </si>
  <si>
    <t>T62</t>
  </si>
  <si>
    <t>H-6</t>
  </si>
  <si>
    <t>T63</t>
  </si>
  <si>
    <t>H-7</t>
  </si>
  <si>
    <t>T64</t>
  </si>
  <si>
    <t>H-8</t>
  </si>
  <si>
    <t>STEP 3 — ENTER MATCH RESULTS</t>
  </si>
  <si>
    <t>Enter scores only in the yellow cells. Active fixtures are packed together automatically.</t>
  </si>
  <si>
    <t>Match</t>
  </si>
  <si>
    <t>Round</t>
  </si>
  <si>
    <t>Team 1</t>
  </si>
  <si>
    <t>Score 1</t>
  </si>
  <si>
    <t>Score 2</t>
  </si>
  <si>
    <t>Team 2</t>
  </si>
  <si>
    <t>Status</t>
  </si>
  <si>
    <t>Winner</t>
  </si>
  <si>
    <t>BACKEND — SCORES ENGINE</t>
  </si>
  <si>
    <t>Do not enter scores here. Use the Results sheet.</t>
  </si>
  <si>
    <t>Match ID</t>
  </si>
  <si>
    <t>Match No</t>
  </si>
  <si>
    <t>Complete Flag</t>
  </si>
  <si>
    <t>Slot 1</t>
  </si>
  <si>
    <t>Slot 2</t>
  </si>
  <si>
    <t>Team 1 Win</t>
  </si>
  <si>
    <t>Team 2 Win</t>
  </si>
  <si>
    <t>Draw</t>
  </si>
  <si>
    <t>Team 1 For</t>
  </si>
  <si>
    <t>Team 1 Against</t>
  </si>
  <si>
    <t>Team 2 For</t>
  </si>
  <si>
    <t>Team 2 Against</t>
  </si>
  <si>
    <t>BACKEND — RANKING CALCULATIONS</t>
  </si>
  <si>
    <t>Team</t>
  </si>
  <si>
    <t>P</t>
  </si>
  <si>
    <t>W</t>
  </si>
  <si>
    <t>L</t>
  </si>
  <si>
    <t>For</t>
  </si>
  <si>
    <t>Against</t>
  </si>
  <si>
    <t>Diff</t>
  </si>
  <si>
    <t>Pts</t>
  </si>
  <si>
    <t>Sort Score</t>
  </si>
  <si>
    <t>Rank</t>
  </si>
  <si>
    <t>Rank Key</t>
  </si>
  <si>
    <t>Pos</t>
  </si>
  <si>
    <t>FINALS CONTROL</t>
  </si>
  <si>
    <t>Competition</t>
  </si>
  <si>
    <t>Finals</t>
  </si>
  <si>
    <t>Third Place</t>
  </si>
  <si>
    <t>Enter official knockout scores in yellow cells. If tied, resolve the match before advancing a winner.</t>
  </si>
  <si>
    <t>8 Pools Format - Top 2 Round of 16</t>
  </si>
  <si>
    <t>Game</t>
  </si>
  <si>
    <t>R16-1</t>
  </si>
  <si>
    <t>R16-2</t>
  </si>
  <si>
    <t>R16-3</t>
  </si>
  <si>
    <t>R16-4</t>
  </si>
  <si>
    <t>R16-5</t>
  </si>
  <si>
    <t>R16-6</t>
  </si>
  <si>
    <t>R16-7</t>
  </si>
  <si>
    <t>R16-8</t>
  </si>
  <si>
    <t>BACKEND — FIXTURE LIBRARY</t>
  </si>
  <si>
    <t>Pool Size</t>
  </si>
  <si>
    <t>4-1</t>
  </si>
  <si>
    <t>4-2</t>
  </si>
  <si>
    <t>4-3</t>
  </si>
  <si>
    <t>4-4</t>
  </si>
  <si>
    <t>4-5</t>
  </si>
  <si>
    <t>4-6</t>
  </si>
  <si>
    <t>5-1</t>
  </si>
  <si>
    <t>5-2</t>
  </si>
  <si>
    <t>5-3</t>
  </si>
  <si>
    <t>5-4</t>
  </si>
  <si>
    <t>5-5</t>
  </si>
  <si>
    <t>5-6</t>
  </si>
  <si>
    <t>5-7</t>
  </si>
  <si>
    <t>5-8</t>
  </si>
  <si>
    <t>5-9</t>
  </si>
  <si>
    <t>5-10</t>
  </si>
  <si>
    <t>6-1</t>
  </si>
  <si>
    <t>6-2</t>
  </si>
  <si>
    <t>6-3</t>
  </si>
  <si>
    <t>6-4</t>
  </si>
  <si>
    <t>6-5</t>
  </si>
  <si>
    <t>6-6</t>
  </si>
  <si>
    <t>6-7</t>
  </si>
  <si>
    <t>6-8</t>
  </si>
  <si>
    <t>6-9</t>
  </si>
  <si>
    <t>6-10</t>
  </si>
  <si>
    <t>6-11</t>
  </si>
  <si>
    <t>6-12</t>
  </si>
  <si>
    <t>6-13</t>
  </si>
  <si>
    <t>6-14</t>
  </si>
  <si>
    <t>6-15</t>
  </si>
  <si>
    <t>7-1</t>
  </si>
  <si>
    <t>7-2</t>
  </si>
  <si>
    <t>7-3</t>
  </si>
  <si>
    <t>7-4</t>
  </si>
  <si>
    <t>7-5</t>
  </si>
  <si>
    <t>7-6</t>
  </si>
  <si>
    <t>7-7</t>
  </si>
  <si>
    <t>7-8</t>
  </si>
  <si>
    <t>7-9</t>
  </si>
  <si>
    <t>7-10</t>
  </si>
  <si>
    <t>7-11</t>
  </si>
  <si>
    <t>7-12</t>
  </si>
  <si>
    <t>7-13</t>
  </si>
  <si>
    <t>7-14</t>
  </si>
  <si>
    <t>7-15</t>
  </si>
  <si>
    <t>7-16</t>
  </si>
  <si>
    <t>7-17</t>
  </si>
  <si>
    <t>7-18</t>
  </si>
  <si>
    <t>7-19</t>
  </si>
  <si>
    <t>7-20</t>
  </si>
  <si>
    <t>7-21</t>
  </si>
  <si>
    <t>8-1</t>
  </si>
  <si>
    <t>8-2</t>
  </si>
  <si>
    <t>8-3</t>
  </si>
  <si>
    <t>8-4</t>
  </si>
  <si>
    <t>8-5</t>
  </si>
  <si>
    <t>8-6</t>
  </si>
  <si>
    <t>8-7</t>
  </si>
  <si>
    <t>8-8</t>
  </si>
  <si>
    <t>8-9</t>
  </si>
  <si>
    <t>8-10</t>
  </si>
  <si>
    <t>8-11</t>
  </si>
  <si>
    <t>8-12</t>
  </si>
  <si>
    <t>8-13</t>
  </si>
  <si>
    <t>8-14</t>
  </si>
  <si>
    <t>8-15</t>
  </si>
  <si>
    <t>8-16</t>
  </si>
  <si>
    <t>8-17</t>
  </si>
  <si>
    <t>8-18</t>
  </si>
  <si>
    <t>8-19</t>
  </si>
  <si>
    <t>8-20</t>
  </si>
  <si>
    <t>8-21</t>
  </si>
  <si>
    <t>8-22</t>
  </si>
  <si>
    <t>8-23</t>
  </si>
  <si>
    <t>8-24</t>
  </si>
  <si>
    <t>8-25</t>
  </si>
  <si>
    <t>8-26</t>
  </si>
  <si>
    <t>8-27</t>
  </si>
  <si>
    <t>8-28</t>
  </si>
  <si>
    <t>FINALS ELIMINATION TREE</t>
  </si>
  <si>
    <t>Print/display view — knockout scores are entered only on the Finals sheet.</t>
  </si>
  <si>
    <t>DISPLAY SHEET — blank stages disappear automatically; no merged cells or decorative shapes are used.</t>
  </si>
  <si>
    <t>COMPETITION RESULTS SUMMARY</t>
  </si>
  <si>
    <t>Landscape print view. Full standings are on Pool Tables; this sheet consolidates key standings and all completed results.</t>
  </si>
  <si>
    <t>CHAMPION</t>
  </si>
  <si>
    <t>Pool Matches</t>
  </si>
  <si>
    <t>RUNNER-UP</t>
  </si>
  <si>
    <t>Completed</t>
  </si>
  <si>
    <t>Pool Stage</t>
  </si>
  <si>
    <t>Finals Format</t>
  </si>
  <si>
    <t>Finals Status</t>
  </si>
  <si>
    <t>POOL STANDINGS — POSITION / TEAM / POINTS</t>
  </si>
  <si>
    <t>POOL MATCH RESULTS</t>
  </si>
  <si>
    <t>FINALS RESULTS</t>
  </si>
  <si>
    <t>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</si>
</sst>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name val="Carlito"/>
    </font>
    <font>
      <b/>
      <sz val="14"/>
      <color rgb="FFFFFFFF"/>
      <name val="Carlito"/>
    </font>
    <font>
      <b/>
      <sz val="11"/>
      <color rgb="FFFFFFFF"/>
      <name val="Carlito"/>
    </font>
    <font>
      <b/>
      <sz val="11"/>
      <name val="Carlito"/>
    </font>
    <font>
      <b/>
      <sz val="18"/>
      <color rgb="FFFFFFFF"/>
      <name val="Carlito"/>
    </font>
    <font>
      <b/>
      <sz val="16"/>
      <color rgb="FFFFFFFF"/>
      <name val="Carlito"/>
    </font>
    <font>
      <b/>
      <sz val="9"/>
      <color rgb="FFFFFFFF"/>
      <name val="Carlito"/>
    </font>
    <font>
      <sz val="9"/>
      <name val="Carlito"/>
    </font>
    <font>
      <b/>
      <sz val="12"/>
      <color rgb="FFFFFFFF"/>
      <name val="Carlito"/>
    </font>
    <font>
      <b/>
      <sz val="10"/>
      <color rgb="FF000000"/>
      <name val="Carlito"/>
    </font>
    <font>
      <sz val="10"/>
      <color rgb="FF000000"/>
      <name val="Carlito"/>
    </font>
    <font>
      <i/>
      <sz val="10"/>
      <color rgb="FF000000"/>
      <name val="Carlito"/>
    </font>
    <font>
      <b/>
      <sz val="10"/>
      <color rgb="FFFFFFFF"/>
      <name val="Carlito"/>
    </font>
    <font>
      <b/>
      <i/>
      <sz val="10"/>
      <color rgb="FF404040"/>
      <name val="Carlito"/>
    </font>
    <font>
      <i/>
      <sz val="10"/>
      <color rgb="FF595959"/>
      <name val="Carlito"/>
    </font>
    <font>
      <sz val="12"/>
      <color rgb="FF000000"/>
      <name val="Carlito"/>
    </font>
    <font>
      <sz val="12"/>
      <color rgb="FF000000"/>
      <name val="Arial"/>
    </font>
    <font>
      <b/>
      <sz val="12"/>
      <color rgb="FF000000"/>
      <name val="Arial"/>
    </font>
    <font>
      <b/>
      <sz val="12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5B9BD5"/>
      </patternFill>
    </fill>
    <fill>
      <patternFill patternType="solid">
        <fgColor rgb="FFFFF2CC"/>
      </patternFill>
    </fill>
    <fill>
      <patternFill patternType="solid">
        <fgColor rgb="FFD9EAF7"/>
      </patternFill>
    </fill>
    <fill>
      <patternFill patternType="solid">
        <fgColor rgb="FFF2F2F2"/>
      </patternFill>
    </fill>
    <fill>
      <patternFill patternType="solid">
        <fgColor rgb="FFFFFFFF"/>
      </patternFill>
    </fill>
    <fill>
      <patternFill patternType="solid">
        <fgColor rgb="FFE2F0D9"/>
      </patternFill>
    </fill>
    <fill>
      <patternFill patternType="solid">
        <fgColor rgb="FFF2F2F2"/>
      </patternFill>
    </fill>
    <fill>
      <patternFill patternType="solid">
        <fgColor rgb="FF4472C4"/>
      </patternFill>
    </fill>
    <fill>
      <patternFill patternType="solid">
        <fgColor rgb="FF7F8C8D"/>
      </patternFill>
    </fill>
    <fill>
      <patternFill patternType="solid">
        <fgColor rgb="FFA6A6A6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2CC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0" fillId="0" borderId="0" xfId="0" applyAlignment="1">
      <alignment vertical="top"/>
    </xf>
    <xf numFmtId="0" fontId="3" fillId="5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0" fillId="4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center"/>
    </xf>
    <xf numFmtId="0" fontId="6" fillId="11" borderId="0" xfId="0" applyFont="1" applyFill="1" applyAlignment="1">
      <alignment horizontal="left" vertical="center"/>
    </xf>
    <xf numFmtId="0" fontId="7" fillId="11" borderId="0" xfId="0" applyFont="1" applyFill="1" applyAlignment="1">
      <alignment horizontal="center" vertical="center"/>
    </xf>
    <xf numFmtId="0" fontId="7" fillId="11" borderId="0" xfId="0" applyFont="1" applyFill="1"/>
    <xf numFmtId="0" fontId="6" fillId="12" borderId="0" xfId="0" applyFont="1" applyFill="1" applyAlignment="1">
      <alignment horizontal="center" vertical="center" wrapText="1"/>
    </xf>
    <xf numFmtId="0" fontId="6" fillId="12" borderId="0" xfId="0" applyFont="1" applyFill="1" applyAlignment="1">
      <alignment horizontal="left" vertical="center" wrapText="1"/>
    </xf>
    <xf numFmtId="0" fontId="7" fillId="7" borderId="0" xfId="0" applyFont="1" applyFill="1" applyAlignment="1">
      <alignment horizontal="center" vertical="center"/>
    </xf>
    <xf numFmtId="0" fontId="7" fillId="7" borderId="0" xfId="0" applyFont="1" applyFill="1" applyAlignment="1">
      <alignment horizontal="left" vertical="center"/>
    </xf>
    <xf numFmtId="0" fontId="7" fillId="7" borderId="0" xfId="0" applyFont="1" applyFill="1" applyAlignment="1">
      <alignment horizontal="left"/>
    </xf>
    <xf numFmtId="0" fontId="7" fillId="7" borderId="0" xfId="0" applyFont="1" applyFill="1"/>
    <xf numFmtId="0" fontId="7" fillId="0" borderId="0" xfId="0" applyFont="1"/>
    <xf numFmtId="0" fontId="8" fillId="10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/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0" fontId="10" fillId="7" borderId="0" xfId="0" applyFont="1" applyFill="1" applyAlignment="1">
      <alignment vertical="center" wrapText="1"/>
    </xf>
    <xf numFmtId="0" fontId="9" fillId="5" borderId="0" xfId="0" applyFont="1" applyFill="1" applyAlignment="1">
      <alignment horizontal="left" vertical="center" wrapText="1"/>
    </xf>
    <xf numFmtId="0" fontId="9" fillId="5" borderId="0" xfId="0" applyFont="1" applyFill="1" applyAlignment="1">
      <alignment vertical="center" wrapText="1"/>
    </xf>
    <xf numFmtId="0" fontId="10" fillId="5" borderId="0" xfId="0" applyFont="1" applyFill="1" applyAlignment="1">
      <alignment vertical="center" wrapText="1"/>
    </xf>
    <xf numFmtId="0" fontId="9" fillId="7" borderId="0" xfId="0" applyFont="1" applyFill="1" applyAlignment="1">
      <alignment horizontal="left" vertical="center" wrapText="1"/>
    </xf>
    <xf numFmtId="0" fontId="10" fillId="4" borderId="0" xfId="0" applyFont="1" applyFill="1" applyAlignment="1">
      <alignment vertical="center" wrapText="1"/>
    </xf>
    <xf numFmtId="0" fontId="9" fillId="7" borderId="0" xfId="0" applyFont="1" applyFill="1" applyAlignment="1">
      <alignment vertical="center" wrapText="1"/>
    </xf>
    <xf numFmtId="0" fontId="10" fillId="8" borderId="0" xfId="0" applyFont="1" applyFill="1" applyAlignment="1">
      <alignment vertical="center" wrapText="1"/>
    </xf>
    <xf numFmtId="0" fontId="11" fillId="6" borderId="0" xfId="0" applyFont="1" applyFill="1" applyAlignment="1">
      <alignment vertical="center" wrapText="1"/>
    </xf>
    <xf numFmtId="0" fontId="10" fillId="8" borderId="0" xfId="0" applyFont="1" applyFill="1" applyAlignment="1">
      <alignment horizontal="center" vertical="center" wrapText="1"/>
    </xf>
    <xf numFmtId="0" fontId="10" fillId="6" borderId="0" xfId="0" applyFont="1" applyFill="1" applyAlignment="1">
      <alignment horizontal="center" vertical="center" wrapText="1"/>
    </xf>
    <xf numFmtId="0" fontId="9" fillId="6" borderId="0" xfId="0" applyFont="1" applyFill="1" applyAlignment="1">
      <alignment horizontal="center" vertical="center" wrapText="1"/>
    </xf>
    <xf numFmtId="0" fontId="10" fillId="7" borderId="0" xfId="0" applyFont="1" applyFill="1" applyAlignment="1">
      <alignment horizontal="center" vertical="center" wrapText="1"/>
    </xf>
    <xf numFmtId="0" fontId="9" fillId="5" borderId="0" xfId="0" applyFont="1" applyFill="1" applyAlignment="1">
      <alignment horizontal="center" vertical="center"/>
    </xf>
    <xf numFmtId="0" fontId="10" fillId="7" borderId="0" xfId="0" applyFont="1" applyFill="1" applyAlignment="1">
      <alignment horizontal="center"/>
    </xf>
    <xf numFmtId="0" fontId="10" fillId="7" borderId="0" xfId="0" applyFont="1" applyFill="1" applyAlignment="1">
      <alignment horizontal="center" vertical="center"/>
    </xf>
    <xf numFmtId="0" fontId="9" fillId="5" borderId="0" xfId="0" applyFont="1" applyFill="1" applyAlignment="1">
      <alignment horizontal="left" vertical="center"/>
    </xf>
    <xf numFmtId="0" fontId="9" fillId="7" borderId="0" xfId="0" applyFont="1" applyFill="1" applyAlignment="1">
      <alignment horizontal="left" vertical="center"/>
    </xf>
    <xf numFmtId="0" fontId="10" fillId="7" borderId="0" xfId="0" applyFont="1" applyFill="1"/>
    <xf numFmtId="0" fontId="9" fillId="5" borderId="0" xfId="0" applyFont="1" applyFill="1" applyAlignment="1">
      <alignment horizontal="center" vertical="center" wrapText="1"/>
    </xf>
    <xf numFmtId="0" fontId="9" fillId="6" borderId="0" xfId="0" applyFont="1" applyFill="1" applyAlignment="1">
      <alignment horizontal="center"/>
    </xf>
    <xf numFmtId="0" fontId="9" fillId="6" borderId="0" xfId="0" applyFont="1" applyFill="1" applyAlignment="1">
      <alignment horizontal="left"/>
    </xf>
    <xf numFmtId="0" fontId="10" fillId="7" borderId="0" xfId="0" applyFont="1" applyFill="1" applyAlignment="1">
      <alignment horizontal="left"/>
    </xf>
    <xf numFmtId="0" fontId="9" fillId="5" borderId="0" xfId="0" applyFont="1" applyFill="1"/>
    <xf numFmtId="0" fontId="9" fillId="6" borderId="0" xfId="0" applyFont="1" applyFill="1" applyAlignment="1">
      <alignment horizontal="left" vertical="center"/>
    </xf>
    <xf numFmtId="0" fontId="9" fillId="7" borderId="0" xfId="0" applyFont="1" applyFill="1" applyAlignment="1">
      <alignment horizontal="center" vertical="center" wrapText="1"/>
    </xf>
    <xf numFmtId="0" fontId="9" fillId="6" borderId="0" xfId="0" applyFont="1" applyFill="1"/>
    <xf numFmtId="0" fontId="9" fillId="5" borderId="0" xfId="0" applyFont="1" applyFill="1" applyAlignment="1">
      <alignment horizontal="center"/>
    </xf>
    <xf numFmtId="0" fontId="9" fillId="6" borderId="0" xfId="0" applyFont="1" applyFill="1" applyAlignment="1">
      <alignment horizontal="left" vertical="center" wrapText="1"/>
    </xf>
    <xf numFmtId="0" fontId="10" fillId="6" borderId="0" xfId="0" applyFont="1" applyFill="1" applyAlignment="1">
      <alignment vertical="center" wrapText="1"/>
    </xf>
    <xf numFmtId="0" fontId="10" fillId="5" borderId="0" xfId="0" applyFont="1" applyFill="1" applyAlignment="1">
      <alignment vertical="center"/>
    </xf>
    <xf numFmtId="0" fontId="10" fillId="7" borderId="0" xfId="0" applyFont="1" applyFill="1" applyAlignment="1">
      <alignment vertical="center"/>
    </xf>
    <xf numFmtId="0" fontId="10" fillId="6" borderId="0" xfId="0" applyFont="1" applyFill="1" applyAlignment="1">
      <alignment vertical="center"/>
    </xf>
    <xf numFmtId="0" fontId="11" fillId="6" borderId="0" xfId="0" applyFont="1" applyFill="1" applyAlignment="1">
      <alignment vertical="center"/>
    </xf>
    <xf numFmtId="0" fontId="12" fillId="10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12" fillId="10" borderId="0" xfId="0" applyFont="1" applyFill="1" applyAlignment="1">
      <alignment horizontal="center" vertical="center" wrapText="1"/>
    </xf>
    <xf numFmtId="0" fontId="9" fillId="5" borderId="0" xfId="0" applyFont="1" applyFill="1" applyAlignment="1">
      <alignment horizontal="left"/>
    </xf>
    <xf numFmtId="0" fontId="13" fillId="6" borderId="0" xfId="0" applyFont="1" applyFill="1" applyAlignment="1">
      <alignment horizontal="left" vertical="center" wrapText="1"/>
    </xf>
    <xf numFmtId="0" fontId="14" fillId="7" borderId="0" xfId="0" applyFont="1" applyFill="1" applyAlignment="1">
      <alignment vertical="center"/>
    </xf>
    <xf numFmtId="0" fontId="12" fillId="10" borderId="0" xfId="0" applyFont="1" applyFill="1" applyAlignment="1">
      <alignment horizontal="center" vertical="center"/>
    </xf>
    <xf numFmtId="0" fontId="9" fillId="6" borderId="0" xfId="0" applyFont="1" applyFill="1" applyAlignment="1">
      <alignment vertical="center" wrapText="1"/>
    </xf>
    <xf numFmtId="0" fontId="10" fillId="13" borderId="0" xfId="0" applyFont="1" applyFill="1" applyAlignment="1">
      <alignment horizontal="center" vertical="center" wrapText="1"/>
    </xf>
    <xf numFmtId="0" fontId="10" fillId="13" borderId="0" xfId="0" applyFont="1" applyFill="1" applyAlignment="1">
      <alignment vertical="center" wrapText="1"/>
    </xf>
    <xf numFmtId="0" fontId="9" fillId="13" borderId="0" xfId="0" applyFont="1" applyFill="1" applyAlignment="1">
      <alignment horizontal="left" vertical="center" wrapText="1"/>
    </xf>
    <xf numFmtId="0" fontId="9" fillId="13" borderId="0" xfId="0" applyFont="1" applyFill="1" applyAlignment="1">
      <alignment horizontal="center" vertical="center" wrapText="1"/>
    </xf>
    <xf numFmtId="0" fontId="1" fillId="10" borderId="0" xfId="0" applyFont="1" applyFill="1" applyAlignment="1">
      <alignment vertical="center" wrapText="1"/>
    </xf>
    <xf numFmtId="0" fontId="10" fillId="7" borderId="0" xfId="0" applyFont="1" applyFill="1" applyAlignment="1">
      <alignment horizontal="left" wrapText="1"/>
    </xf>
    <xf numFmtId="0" fontId="15" fillId="7" borderId="0" xfId="0" applyFont="1" applyFill="1" applyAlignment="1">
      <alignment horizontal="left" vertical="center" wrapText="1"/>
    </xf>
    <xf numFmtId="0" fontId="16" fillId="7" borderId="0" xfId="0" applyFont="1" applyFill="1" applyAlignment="1">
      <alignment horizontal="left" vertical="center" wrapText="1"/>
    </xf>
    <xf numFmtId="0" fontId="16" fillId="7" borderId="0" xfId="0" applyFont="1" applyFill="1" applyAlignment="1">
      <alignment vertical="center" wrapText="1"/>
    </xf>
    <xf numFmtId="0" fontId="17" fillId="5" borderId="0" xfId="0" applyFont="1" applyFill="1" applyAlignment="1">
      <alignment vertical="center" wrapText="1"/>
    </xf>
    <xf numFmtId="0" fontId="17" fillId="7" borderId="0" xfId="0" applyFont="1" applyFill="1" applyAlignment="1">
      <alignment horizontal="left" vertical="center" wrapText="1"/>
    </xf>
    <xf numFmtId="0" fontId="18" fillId="10" borderId="0" xfId="0" applyFont="1" applyFill="1" applyAlignment="1">
      <alignment vertical="center" wrapText="1"/>
    </xf>
    <xf numFmtId="0" fontId="16" fillId="4" borderId="0" xfId="0" applyFont="1" applyFill="1" applyAlignment="1">
      <alignment vertical="center"/>
    </xf>
    <xf numFmtId="0" fontId="16" fillId="4" borderId="0" xfId="0" applyFont="1" applyFill="1" applyAlignment="1">
      <alignment vertical="center" wrapText="1"/>
    </xf>
    <xf numFmtId="0" fontId="16" fillId="7" borderId="0" xfId="0" applyFont="1" applyFill="1" applyAlignment="1">
      <alignment horizontal="center" vertical="center" wrapText="1"/>
    </xf>
    <xf numFmtId="0" fontId="17" fillId="5" borderId="0" xfId="0" applyFont="1" applyFill="1" applyAlignment="1">
      <alignment horizontal="left" vertical="center"/>
    </xf>
    <xf numFmtId="0" fontId="9" fillId="4" borderId="0" xfId="0" applyFont="1" applyFill="1" applyAlignment="1">
      <alignment horizontal="left" vertical="center" wrapText="1"/>
    </xf>
    <xf numFmtId="0" fontId="16" fillId="4" borderId="2" xfId="0" applyFont="1" applyFill="1" applyBorder="1" applyAlignment="1">
      <alignment vertical="center" wrapText="1"/>
    </xf>
    <xf numFmtId="0" fontId="16" fillId="4" borderId="2" xfId="0" applyFont="1" applyFill="1" applyBorder="1" applyAlignment="1">
      <alignment horizontal="center" vertical="center" wrapText="1"/>
    </xf>
    <xf numFmtId="0" fontId="10" fillId="5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left" wrapText="1"/>
    </xf>
    <xf numFmtId="0" fontId="10" fillId="5" borderId="0" xfId="0" applyFont="1" applyFill="1" applyAlignment="1">
      <alignment horizontal="left" wrapText="1"/>
    </xf>
    <xf numFmtId="0" fontId="12" fillId="10" borderId="0" xfId="0" applyFont="1" applyFill="1" applyAlignment="1">
      <alignment horizontal="left" wrapText="1"/>
    </xf>
    <xf numFmtId="0" fontId="10" fillId="14" borderId="0" xfId="0" applyFont="1" applyFill="1" applyAlignment="1">
      <alignment horizontal="center"/>
    </xf>
    <xf numFmtId="0" fontId="10" fillId="14" borderId="0" xfId="0" applyFont="1" applyFill="1" applyAlignment="1">
      <alignment horizontal="center" vertical="center"/>
    </xf>
    <xf numFmtId="0" fontId="10" fillId="15" borderId="1" xfId="0" applyFont="1" applyFill="1" applyBorder="1"/>
    <xf numFmtId="0" fontId="6" fillId="9" borderId="0" xfId="0" applyFont="1" applyFill="1" applyAlignment="1">
      <alignment horizontal="left" vertical="center"/>
    </xf>
    <xf numFmtId="0" fontId="6" fillId="11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1" fillId="11" borderId="0" xfId="0" applyFont="1" applyFill="1" applyAlignment="1">
      <alignment horizontal="center" vertical="center"/>
    </xf>
    <xf numFmtId="0" fontId="10" fillId="7" borderId="3" xfId="0" applyFont="1" applyFill="1" applyBorder="1" applyAlignment="1">
      <alignment horizontal="left" wrapText="1"/>
    </xf>
    <xf numFmtId="0" fontId="10" fillId="4" borderId="3" xfId="0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vertical="center" wrapText="1"/>
    </xf>
    <xf numFmtId="0" fontId="9" fillId="5" borderId="0" xfId="0" applyFont="1" applyFill="1" applyAlignment="1">
      <alignment vertical="center"/>
    </xf>
    <xf numFmtId="0" fontId="9" fillId="8" borderId="0" xfId="0" applyFont="1" applyFill="1" applyAlignment="1">
      <alignment vertical="center"/>
    </xf>
    <xf numFmtId="0" fontId="8" fillId="10" borderId="0" xfId="0" applyFont="1" applyFill="1" applyAlignment="1">
      <alignment vertical="center"/>
    </xf>
  </cellXfs>
  <cellStyles count="1">
    <cellStyle name="Normal" xfId="0" builtinId="0"/>
  </cellStyles>
  <dxfs count="25">
    <dxf>
      <font>
        <color rgb="FFFFFFFF"/>
      </font>
      <fill>
        <patternFill>
          <bgColor rgb="FFFFFFFF"/>
        </patternFill>
      </fill>
    </dxf>
    <dxf>
      <font>
        <color rgb="FFFFFFFF"/>
      </font>
      <fill>
        <patternFill>
          <bgColor rgb="FFFFFFFF"/>
        </patternFill>
      </fill>
    </dxf>
    <dxf>
      <font>
        <color rgb="FFFFFFFF"/>
      </font>
      <fill>
        <patternFill>
          <bgColor rgb="FFFFFFFF"/>
        </patternFill>
      </fill>
    </dxf>
    <dxf>
      <font>
        <color rgb="FFFFFFFF"/>
      </font>
      <fill>
        <patternFill>
          <bgColor rgb="FFFFFFFF"/>
        </patternFill>
      </fill>
    </dxf>
    <dxf>
      <font>
        <color rgb="FFFFFFFF"/>
      </font>
      <fill>
        <patternFill>
          <bgColor rgb="FFFFFFFF"/>
        </patternFill>
      </fill>
    </dxf>
    <dxf>
      <font>
        <color rgb="FF000000"/>
      </font>
      <fill>
        <patternFill>
          <bgColor rgb="FFFFF2CC"/>
        </patternFill>
      </fill>
    </dxf>
    <dxf>
      <font>
        <color rgb="FF000000"/>
      </font>
      <fill>
        <patternFill>
          <bgColor rgb="FFFFF2CC"/>
        </patternFill>
      </fill>
    </dxf>
    <dxf>
      <font>
        <color rgb="FFFFFFFF"/>
      </font>
      <fill>
        <patternFill>
          <bgColor rgb="FFFFFFFF"/>
        </patternFill>
      </fill>
    </dxf>
    <dxf>
      <font>
        <color rgb="FF000000"/>
      </font>
      <fill>
        <patternFill patternType="solid">
          <bgColor rgb="FFFFF2CC"/>
        </patternFill>
      </fill>
    </dxf>
    <dxf>
      <font>
        <color rgb="FF000000"/>
      </font>
      <fill>
        <patternFill patternType="solid">
          <bgColor rgb="FFFFF2CC"/>
        </patternFill>
      </fill>
    </dxf>
    <dxf>
      <font>
        <color rgb="FF000000"/>
      </font>
      <fill>
        <patternFill patternType="solid">
          <bgColor rgb="FFFFF2CC"/>
        </patternFill>
      </fill>
    </dxf>
    <dxf>
      <font>
        <color rgb="FF000000"/>
      </font>
      <fill>
        <patternFill patternType="solid">
          <bgColor rgb="FFFFF2CC"/>
        </patternFill>
      </fill>
    </dxf>
    <dxf>
      <font>
        <color rgb="FF000000"/>
      </font>
      <fill>
        <patternFill patternType="solid">
          <bgColor rgb="FFFFF2CC"/>
        </patternFill>
      </fill>
    </dxf>
    <dxf>
      <font>
        <color rgb="FF000000"/>
      </font>
      <fill>
        <patternFill patternType="solid">
          <bgColor rgb="FFFFF2CC"/>
        </patternFill>
      </fill>
    </dxf>
    <dxf>
      <font>
        <color rgb="FF000000"/>
      </font>
      <fill>
        <patternFill patternType="solid">
          <bgColor rgb="FFFFF2CC"/>
        </patternFill>
      </fill>
    </dxf>
    <dxf>
      <font>
        <color rgb="FF000000"/>
      </font>
      <fill>
        <patternFill>
          <bgColor rgb="FFFFF2CC"/>
        </patternFill>
      </fill>
    </dxf>
    <dxf>
      <font>
        <color rgb="FF000000"/>
      </font>
      <fill>
        <patternFill patternType="solid">
          <bgColor rgb="FFFFF2CC"/>
        </patternFill>
      </fill>
    </dxf>
    <dxf>
      <font>
        <color rgb="FFBFBFBF"/>
      </font>
      <fill>
        <patternFill patternType="solid">
          <bgColor rgb="FFF2F2F2"/>
        </patternFill>
      </fill>
    </dxf>
    <dxf>
      <font>
        <color rgb="FFBFBFBF"/>
      </font>
      <fill>
        <patternFill patternType="solid">
          <bgColor rgb="FFF2F2F2"/>
        </patternFill>
      </fill>
    </dxf>
    <dxf>
      <font>
        <color rgb="FFBFBFBF"/>
      </font>
      <fill>
        <patternFill patternType="solid">
          <bgColor rgb="FFF2F2F2"/>
        </patternFill>
      </fill>
    </dxf>
    <dxf>
      <font>
        <color rgb="FFBFBFBF"/>
      </font>
      <fill>
        <patternFill patternType="solid">
          <bgColor rgb="FFF2F2F2"/>
        </patternFill>
      </fill>
    </dxf>
    <dxf>
      <font>
        <color rgb="FFBFBFBF"/>
      </font>
      <fill>
        <patternFill patternType="solid">
          <bgColor rgb="FFF2F2F2"/>
        </patternFill>
      </fill>
    </dxf>
    <dxf>
      <font>
        <color rgb="FFBFBFBF"/>
      </font>
      <fill>
        <patternFill patternType="solid">
          <bgColor rgb="FFF2F2F2"/>
        </patternFill>
      </fill>
    </dxf>
    <dxf>
      <font>
        <color rgb="FFBFBFBF"/>
      </font>
      <fill>
        <patternFill patternType="solid">
          <bgColor rgb="FFF2F2F2"/>
        </patternFill>
      </fill>
    </dxf>
    <dxf>
      <font>
        <color rgb="FFBFBFBF"/>
      </font>
      <fill>
        <patternFill patternType="solid">
          <bgColor rgb="FFF2F2F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180975</xdr:colOff>
      <xdr:row>44</xdr:row>
      <xdr:rowOff>9525</xdr:rowOff>
    </xdr:to>
    <xdr:sp macro="" textlink="">
      <xdr:nvSpPr>
        <xdr:cNvPr id="1027" name="Text Box 3" hidden="1">
          <a:extLst>
            <a:ext uri="{FF2B5EF4-FFF2-40B4-BE49-F238E27FC236}">
              <a16:creationId xmlns:a16="http://schemas.microsoft.com/office/drawing/2014/main" id="{0D633615-6F4A-A5D9-0F2C-CAC600DCFAA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Brian Minikin" id="{8BD6586B-3C38-4C92-8E0B-38A153B31075}" userId="" providerId=""/>
</personList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5" dT="2026-08-28T09:01:04.59" personId="{8BD6586B-3C38-4C92-8E0B-38A153B31075}" id="{08D85F57-057D-48BC-9033-277EC3E0C8DE}">
    <text>Choose the sport being played</text>
  </threadedComment>
  <threadedComment ref="E6" dT="2026-08-28T09:05:12.37" personId="{8BD6586B-3C38-4C92-8E0B-38A153B31075}" id="{ABF1E145-0865-4FD4-AEC6-657F7A4CF9EB}">
    <text>Choose yes to include playoff for third</text>
  </threadedComment>
</ThreadedComment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topLeftCell="A12" workbookViewId="0"/>
  </sheetViews>
  <sheetFormatPr defaultRowHeight="14.25"/>
  <cols>
    <col min="1" max="1" width="26" customWidth="1"/>
    <col min="2" max="2" width="3" customWidth="1"/>
    <col min="3" max="4" width="24" customWidth="1"/>
    <col min="5" max="5" width="16" customWidth="1"/>
    <col min="6" max="6" width="26" customWidth="1"/>
    <col min="7" max="7" width="18" customWidth="1"/>
  </cols>
  <sheetData>
    <row r="1" spans="1:8" ht="24" customHeight="1">
      <c r="A1" s="31" t="s">
        <v>0</v>
      </c>
      <c r="B1" s="32"/>
      <c r="C1" s="32"/>
      <c r="D1" s="32"/>
      <c r="E1" s="32"/>
      <c r="F1" s="32"/>
      <c r="G1" s="32"/>
      <c r="H1" s="9"/>
    </row>
    <row r="2" spans="1:8">
      <c r="A2" s="33"/>
      <c r="B2" s="33"/>
      <c r="C2" s="33"/>
      <c r="D2" s="33"/>
      <c r="E2" s="33"/>
      <c r="F2" s="33"/>
      <c r="G2" s="33"/>
      <c r="H2" s="1"/>
    </row>
    <row r="3" spans="1:8" s="5" customFormat="1" ht="34.5" customHeight="1">
      <c r="A3" s="91" t="s">
        <v>1</v>
      </c>
      <c r="B3" s="34"/>
      <c r="C3" s="34"/>
      <c r="D3" s="34"/>
      <c r="E3" s="34"/>
      <c r="F3" s="34"/>
      <c r="G3" s="34"/>
      <c r="H3" s="10"/>
    </row>
    <row r="4" spans="1:8" s="5" customFormat="1" ht="34.5" customHeight="1">
      <c r="A4" s="33"/>
      <c r="B4" s="33"/>
      <c r="C4" s="33"/>
      <c r="D4" s="33"/>
      <c r="E4" s="33"/>
      <c r="F4" s="33"/>
      <c r="G4" s="33"/>
    </row>
    <row r="5" spans="1:8" s="5" customFormat="1" ht="34.5" customHeight="1">
      <c r="A5" s="80" t="s">
        <v>2</v>
      </c>
      <c r="B5" s="80"/>
      <c r="C5" s="80" t="s">
        <v>3</v>
      </c>
      <c r="D5" s="80"/>
      <c r="E5" s="80" t="s">
        <v>4</v>
      </c>
      <c r="F5" s="80"/>
      <c r="G5" s="80" t="s">
        <v>5</v>
      </c>
    </row>
    <row r="6" spans="1:8" s="5" customFormat="1" ht="23.25" customHeight="1">
      <c r="A6" s="83" t="str">
        <f>Setup!B4</f>
        <v>Simple Score Tournament</v>
      </c>
      <c r="B6" s="83"/>
      <c r="C6" s="83" t="str">
        <f>Setup!B6&amp;" Pools × "&amp;Setup!B7&amp;" Teams"</f>
        <v>2 Pools × 8 Teams</v>
      </c>
      <c r="D6" s="83"/>
      <c r="E6" s="90">
        <f>COUNTIF(Teams!$F$4:$F$67,1)</f>
        <v>0</v>
      </c>
      <c r="F6" s="83"/>
      <c r="G6" s="82" t="str">
        <f>COUNTIF(Scores!$I$4:$I$227,1)&amp;" / "&amp;(Setup!$B$6*Setup!$B$16)</f>
        <v>56 / 56</v>
      </c>
    </row>
    <row r="7" spans="1:8" s="5" customFormat="1" ht="8.25" customHeight="1">
      <c r="A7" s="84"/>
      <c r="B7" s="84"/>
      <c r="C7" s="84"/>
      <c r="D7" s="84"/>
      <c r="E7" s="84"/>
      <c r="F7" s="84"/>
      <c r="G7" s="33"/>
    </row>
    <row r="8" spans="1:8" s="5" customFormat="1" ht="34.5" customHeight="1">
      <c r="A8" s="85" t="s">
        <v>6</v>
      </c>
      <c r="B8" s="85"/>
      <c r="C8" s="85"/>
      <c r="D8" s="85"/>
      <c r="E8" s="85"/>
      <c r="F8" s="85"/>
      <c r="G8" s="35"/>
    </row>
    <row r="9" spans="1:8" s="5" customFormat="1" ht="14.25" customHeight="1">
      <c r="A9" s="84" t="s">
        <v>7</v>
      </c>
      <c r="B9" s="84"/>
      <c r="C9" s="84" t="str">
        <f>IF(COUNTIF(Scores!$I$4:$I$227,1)&lt;Setup!$B$6*Setup!$B$16,"Pool stage",IF(Setup!$E$3="No Finals","Competition complete",IF(Finals!$H$26="Complete","Competition complete","Finals")))</f>
        <v>Finals</v>
      </c>
      <c r="D9" s="84"/>
      <c r="E9" s="84"/>
      <c r="F9" s="84"/>
      <c r="G9" s="33"/>
    </row>
    <row r="10" spans="1:8" s="5" customFormat="1" ht="34.5" customHeight="1">
      <c r="A10" s="86" t="s">
        <v>8</v>
      </c>
      <c r="B10" s="86"/>
      <c r="C10" s="86" t="str">
        <f>IF(COUNTIF(Teams!$F$4:$F$67,1)&lt;Setup!$B$6*Setup!$B$7,"Enter team names",IF(COUNTIF(Scores!$I$4:$I$227,1)&lt;Setup!$B$6*Setup!$B$16,"Enter the next result",IF(Setup!$E$3="No Finals","Print the Competition Summary",IF(Finals!$H$26="Complete","Print final results","Run the Finals"))))</f>
        <v>Enter team names</v>
      </c>
      <c r="D10" s="86"/>
      <c r="E10" s="86"/>
      <c r="F10" s="86"/>
      <c r="G10" s="37"/>
      <c r="H10" s="10"/>
    </row>
    <row r="11" spans="1:8" s="5" customFormat="1" ht="15" customHeight="1">
      <c r="A11" s="84"/>
      <c r="B11" s="84"/>
      <c r="C11" s="84"/>
      <c r="D11" s="84"/>
      <c r="E11" s="84"/>
      <c r="F11" s="84"/>
      <c r="G11" s="33"/>
    </row>
    <row r="12" spans="1:8" s="5" customFormat="1" ht="34.5" customHeight="1">
      <c r="A12" s="87" t="s">
        <v>9</v>
      </c>
      <c r="B12" s="87"/>
      <c r="C12" s="87"/>
      <c r="D12" s="87"/>
      <c r="E12" s="87"/>
      <c r="F12" s="87"/>
      <c r="G12" s="67"/>
    </row>
    <row r="13" spans="1:8" s="5" customFormat="1" ht="34.5" customHeight="1">
      <c r="A13" s="84" t="s">
        <v>10</v>
      </c>
      <c r="B13" s="84"/>
      <c r="C13" s="84"/>
      <c r="D13" s="84" t="s">
        <v>11</v>
      </c>
      <c r="E13" s="84"/>
      <c r="F13" s="84" t="s">
        <v>12</v>
      </c>
      <c r="G13" s="33"/>
    </row>
    <row r="14" spans="1:8" s="5" customFormat="1" ht="34.5" customHeight="1">
      <c r="A14" s="84" t="s">
        <v>13</v>
      </c>
      <c r="B14" s="84"/>
      <c r="C14" s="84"/>
      <c r="D14" s="84" t="s">
        <v>14</v>
      </c>
      <c r="E14" s="84"/>
      <c r="F14" s="84" t="s">
        <v>15</v>
      </c>
      <c r="G14" s="33"/>
    </row>
    <row r="15" spans="1:8" s="5" customFormat="1" ht="34.5" customHeight="1">
      <c r="A15" s="84" t="s">
        <v>16</v>
      </c>
      <c r="B15" s="84"/>
      <c r="C15" s="84"/>
      <c r="D15" s="84" t="s">
        <v>17</v>
      </c>
      <c r="E15" s="84"/>
      <c r="F15" s="84" t="s">
        <v>18</v>
      </c>
      <c r="G15" s="33"/>
    </row>
    <row r="16" spans="1:8" s="5" customFormat="1" ht="34.5" customHeight="1">
      <c r="A16" s="84" t="s">
        <v>19</v>
      </c>
      <c r="B16" s="84"/>
      <c r="C16" s="84"/>
      <c r="D16" s="84" t="s">
        <v>20</v>
      </c>
      <c r="E16" s="84"/>
      <c r="F16" s="84" t="s">
        <v>21</v>
      </c>
      <c r="G16" s="33"/>
    </row>
    <row r="17" spans="1:8" ht="15">
      <c r="A17" s="84" t="s">
        <v>22</v>
      </c>
      <c r="B17" s="84"/>
      <c r="C17" s="84"/>
      <c r="D17" s="84" t="s">
        <v>23</v>
      </c>
      <c r="E17" s="84"/>
      <c r="F17" s="84" t="s">
        <v>24</v>
      </c>
      <c r="G17" s="33"/>
      <c r="H17" s="1"/>
    </row>
    <row r="18" spans="1:8" ht="15">
      <c r="A18" s="84"/>
      <c r="B18" s="84"/>
      <c r="C18" s="84"/>
      <c r="D18" s="84"/>
      <c r="E18" s="84"/>
      <c r="F18" s="84"/>
      <c r="G18" s="33"/>
      <c r="H18" s="1"/>
    </row>
    <row r="19" spans="1:8" ht="31.5">
      <c r="A19" s="85" t="s">
        <v>25</v>
      </c>
      <c r="B19" s="85"/>
      <c r="C19" s="85"/>
      <c r="D19" s="85"/>
      <c r="E19" s="85"/>
      <c r="F19" s="85"/>
      <c r="G19" s="35"/>
      <c r="H19" s="1"/>
    </row>
    <row r="20" spans="1:8" ht="30">
      <c r="A20" s="84" t="s">
        <v>26</v>
      </c>
      <c r="B20" s="84"/>
      <c r="C20" s="84"/>
      <c r="D20" s="84" t="s">
        <v>27</v>
      </c>
      <c r="E20" s="84"/>
      <c r="F20" s="84" t="s">
        <v>28</v>
      </c>
      <c r="G20" s="33"/>
      <c r="H20" s="1"/>
    </row>
    <row r="21" spans="1:8" ht="15">
      <c r="A21" s="84" t="s">
        <v>29</v>
      </c>
      <c r="B21" s="84"/>
      <c r="C21" s="84"/>
      <c r="D21" s="84" t="s">
        <v>30</v>
      </c>
      <c r="E21" s="84"/>
      <c r="F21" s="84" t="s">
        <v>31</v>
      </c>
      <c r="G21" s="33"/>
    </row>
    <row r="22" spans="1:8" ht="15">
      <c r="A22" s="84"/>
      <c r="B22" s="84"/>
      <c r="C22" s="84"/>
      <c r="D22" s="84"/>
      <c r="E22" s="84"/>
      <c r="F22" s="84"/>
      <c r="G22" s="33"/>
    </row>
    <row r="23" spans="1:8" ht="15">
      <c r="A23" s="88" t="s">
        <v>32</v>
      </c>
      <c r="B23" s="89"/>
      <c r="C23" s="89"/>
      <c r="D23" s="89"/>
      <c r="E23" s="89"/>
      <c r="F23" s="89"/>
      <c r="G23" s="38"/>
    </row>
    <row r="24" spans="1:8">
      <c r="A24" s="38"/>
      <c r="B24" s="38"/>
      <c r="C24" s="38"/>
      <c r="D24" s="38"/>
      <c r="E24" s="38"/>
      <c r="F24" s="38"/>
      <c r="G24" s="38"/>
    </row>
    <row r="25" spans="1:8">
      <c r="A25" s="33"/>
      <c r="B25" s="33"/>
      <c r="C25" s="33"/>
      <c r="D25" s="33"/>
      <c r="E25" s="33"/>
      <c r="F25" s="33"/>
      <c r="G25" s="33"/>
    </row>
    <row r="26" spans="1:8">
      <c r="A26" s="33"/>
      <c r="B26" s="33"/>
      <c r="C26" s="33"/>
      <c r="D26" s="33"/>
      <c r="E26" s="33"/>
      <c r="F26" s="33"/>
      <c r="G26" s="33"/>
    </row>
    <row r="27" spans="1:8">
      <c r="A27" s="33"/>
      <c r="B27" s="33"/>
      <c r="C27" s="33"/>
      <c r="D27" s="33"/>
      <c r="E27" s="33"/>
      <c r="F27" s="33"/>
      <c r="G27" s="33"/>
    </row>
    <row r="28" spans="1:8">
      <c r="A28" s="33"/>
      <c r="B28" s="33"/>
      <c r="C28" s="33"/>
      <c r="D28" s="33"/>
      <c r="E28" s="33"/>
      <c r="F28" s="33"/>
      <c r="G28" s="33"/>
    </row>
    <row r="29" spans="1:8">
      <c r="A29" s="33"/>
      <c r="B29" s="33"/>
      <c r="C29" s="33"/>
      <c r="D29" s="33"/>
      <c r="E29" s="33"/>
      <c r="F29" s="33"/>
      <c r="G29" s="33"/>
    </row>
    <row r="30" spans="1:8">
      <c r="A30" s="33"/>
      <c r="B30" s="33"/>
      <c r="C30" s="33"/>
      <c r="D30" s="33"/>
      <c r="E30" s="33"/>
      <c r="F30" s="33"/>
      <c r="G30" s="3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5"/>
  <sheetViews>
    <sheetView tabSelected="1" workbookViewId="0">
      <selection activeCell="G16" sqref="G16"/>
    </sheetView>
  </sheetViews>
  <sheetFormatPr defaultRowHeight="14.25"/>
  <cols>
    <col min="1" max="1" width="28" customWidth="1"/>
    <col min="2" max="2" width="31" customWidth="1"/>
    <col min="3" max="3" width="12" customWidth="1"/>
    <col min="4" max="4" width="27" customWidth="1"/>
    <col min="5" max="5" width="24.625" customWidth="1"/>
    <col min="6" max="6" width="8" customWidth="1"/>
  </cols>
  <sheetData>
    <row r="1" spans="1:6" ht="24" customHeight="1">
      <c r="A1" s="24" t="s">
        <v>33</v>
      </c>
      <c r="B1" s="23"/>
      <c r="C1" s="23"/>
      <c r="D1" s="8" t="s">
        <v>34</v>
      </c>
      <c r="E1" s="22"/>
      <c r="F1" s="22"/>
    </row>
    <row r="2" spans="1:6" ht="34.5" customHeight="1">
      <c r="A2" s="34" t="s">
        <v>35</v>
      </c>
      <c r="B2" s="34"/>
      <c r="C2" s="36"/>
      <c r="D2" s="36" t="s">
        <v>36</v>
      </c>
      <c r="E2" s="36"/>
      <c r="F2" s="36"/>
    </row>
    <row r="3" spans="1:6">
      <c r="A3" s="37"/>
      <c r="B3" s="37"/>
      <c r="C3" s="33"/>
      <c r="D3" s="34" t="s">
        <v>37</v>
      </c>
      <c r="E3" s="92" t="s">
        <v>38</v>
      </c>
      <c r="F3" s="37"/>
    </row>
    <row r="4" spans="1:6" ht="26.25" customHeight="1">
      <c r="A4" s="39" t="s">
        <v>39</v>
      </c>
      <c r="B4" s="93" t="s">
        <v>40</v>
      </c>
      <c r="C4" s="33" t="s">
        <v>41</v>
      </c>
      <c r="D4" s="35" t="s">
        <v>42</v>
      </c>
      <c r="E4" s="42">
        <f>IF(E3="No Finals",0,$B$6*$B$8)</f>
        <v>4</v>
      </c>
      <c r="F4" s="33"/>
    </row>
    <row r="5" spans="1:6" ht="33.75" customHeight="1">
      <c r="A5" s="39" t="s">
        <v>43</v>
      </c>
      <c r="B5" s="89" t="s">
        <v>44</v>
      </c>
      <c r="C5" s="33" t="s">
        <v>41</v>
      </c>
      <c r="D5" s="35" t="s">
        <v>45</v>
      </c>
      <c r="E5" s="40" t="str">
        <f>IF(E3="No Finals","No Finals",IF(E4=2,"Final",IF(E4=4,"Semi-finals + Final",IF(E4=8,"Quarter-finals + Semi-finals + Final",IF(E4=16,"Round of 16 + Quarter-finals + Semi-finals + Final","Manual finals required")))))</f>
        <v>Semi-finals + Final</v>
      </c>
      <c r="F5" s="33"/>
    </row>
    <row r="6" spans="1:6" ht="26.25" customHeight="1">
      <c r="A6" s="39" t="s">
        <v>46</v>
      </c>
      <c r="B6" s="94">
        <v>2</v>
      </c>
      <c r="C6" s="33" t="s">
        <v>41</v>
      </c>
      <c r="D6" s="35" t="s">
        <v>47</v>
      </c>
      <c r="E6" s="38" t="s">
        <v>48</v>
      </c>
      <c r="F6" s="33"/>
    </row>
    <row r="7" spans="1:6" ht="26.25" customHeight="1">
      <c r="A7" s="39" t="s">
        <v>49</v>
      </c>
      <c r="B7" s="94">
        <v>8</v>
      </c>
      <c r="C7" s="33" t="s">
        <v>41</v>
      </c>
      <c r="D7" s="35" t="s">
        <v>50</v>
      </c>
      <c r="E7" s="40" t="s">
        <v>51</v>
      </c>
      <c r="F7" s="33"/>
    </row>
    <row r="8" spans="1:6" ht="26.25" customHeight="1">
      <c r="A8" s="39" t="s">
        <v>52</v>
      </c>
      <c r="B8" s="94">
        <v>2</v>
      </c>
      <c r="C8" s="33" t="s">
        <v>41</v>
      </c>
      <c r="D8" s="33"/>
      <c r="E8" s="33"/>
      <c r="F8" s="33"/>
    </row>
    <row r="9" spans="1:6" ht="25.5">
      <c r="A9" s="39"/>
      <c r="B9" s="33"/>
      <c r="C9" s="33"/>
      <c r="D9" s="41" t="s">
        <v>53</v>
      </c>
      <c r="E9" s="41"/>
      <c r="F9" s="41"/>
    </row>
    <row r="10" spans="1:6" ht="25.5">
      <c r="A10" s="34" t="s">
        <v>54</v>
      </c>
      <c r="B10" s="34"/>
      <c r="C10" s="35"/>
      <c r="D10" s="41" t="s">
        <v>55</v>
      </c>
      <c r="E10" s="41"/>
      <c r="F10" s="41"/>
    </row>
    <row r="11" spans="1:6" ht="15">
      <c r="A11" s="39" t="s">
        <v>56</v>
      </c>
      <c r="B11" s="94">
        <v>3</v>
      </c>
      <c r="C11" s="33" t="s">
        <v>41</v>
      </c>
      <c r="D11" s="33"/>
      <c r="E11" s="33"/>
      <c r="F11" s="33"/>
    </row>
    <row r="12" spans="1:6" ht="15">
      <c r="A12" s="39" t="s">
        <v>57</v>
      </c>
      <c r="B12" s="94">
        <v>1</v>
      </c>
      <c r="C12" s="33" t="s">
        <v>41</v>
      </c>
      <c r="D12" s="33"/>
      <c r="E12" s="33"/>
      <c r="F12" s="33"/>
    </row>
    <row r="13" spans="1:6" ht="15">
      <c r="A13" s="39" t="s">
        <v>58</v>
      </c>
      <c r="B13" s="94">
        <v>0</v>
      </c>
      <c r="C13" s="33" t="s">
        <v>41</v>
      </c>
      <c r="D13" s="33"/>
      <c r="E13" s="33"/>
      <c r="F13" s="33"/>
    </row>
    <row r="14" spans="1:6">
      <c r="A14" s="39"/>
      <c r="B14" s="33"/>
      <c r="C14" s="33"/>
      <c r="D14" s="33"/>
      <c r="E14" s="33"/>
      <c r="F14" s="33"/>
    </row>
    <row r="15" spans="1:6">
      <c r="A15" s="34" t="s">
        <v>59</v>
      </c>
      <c r="B15" s="34"/>
      <c r="C15" s="35"/>
      <c r="D15" s="33"/>
      <c r="E15" s="33"/>
      <c r="F15" s="33"/>
    </row>
    <row r="16" spans="1:6">
      <c r="A16" s="39" t="s">
        <v>60</v>
      </c>
      <c r="B16" s="42">
        <f>B7*(B7-1)/2</f>
        <v>28</v>
      </c>
      <c r="C16" s="33" t="s">
        <v>38</v>
      </c>
      <c r="D16" s="33"/>
      <c r="E16" s="33"/>
      <c r="F16" s="33"/>
    </row>
    <row r="17" spans="1:6">
      <c r="A17" s="39" t="s">
        <v>61</v>
      </c>
      <c r="B17" s="43">
        <v>8</v>
      </c>
      <c r="C17" s="33" t="s">
        <v>62</v>
      </c>
      <c r="D17" s="33"/>
      <c r="E17" s="33"/>
      <c r="F17" s="33"/>
    </row>
    <row r="18" spans="1:6">
      <c r="A18" s="39" t="s">
        <v>63</v>
      </c>
      <c r="B18" s="43">
        <v>8</v>
      </c>
      <c r="C18" s="33" t="s">
        <v>62</v>
      </c>
      <c r="D18" s="33"/>
      <c r="E18" s="33"/>
      <c r="F18" s="33"/>
    </row>
    <row r="19" spans="1:6">
      <c r="A19" s="33"/>
      <c r="B19" s="33"/>
      <c r="C19" s="33"/>
      <c r="D19" s="33"/>
      <c r="E19" s="33"/>
      <c r="F19" s="33"/>
    </row>
    <row r="20" spans="1:6">
      <c r="A20" s="34" t="s">
        <v>64</v>
      </c>
      <c r="B20" s="34"/>
      <c r="C20" s="34"/>
      <c r="D20" s="37"/>
      <c r="E20" s="37"/>
      <c r="F20" s="37"/>
    </row>
    <row r="21" spans="1:6">
      <c r="A21" s="44" t="s">
        <v>65</v>
      </c>
      <c r="B21" s="44" t="s">
        <v>66</v>
      </c>
      <c r="C21" s="44" t="s">
        <v>67</v>
      </c>
      <c r="D21" s="33"/>
      <c r="E21" s="33"/>
      <c r="F21" s="33"/>
    </row>
    <row r="22" spans="1:6">
      <c r="A22" s="45">
        <v>1</v>
      </c>
      <c r="B22" s="45" t="s">
        <v>68</v>
      </c>
      <c r="C22" s="45" t="str">
        <f t="shared" ref="C22:C29" si="0">IF($A22&lt;=$B$6,"Yes","")</f>
        <v>Yes</v>
      </c>
      <c r="D22" s="33"/>
      <c r="E22" s="33"/>
      <c r="F22" s="33"/>
    </row>
    <row r="23" spans="1:6">
      <c r="A23" s="45">
        <v>2</v>
      </c>
      <c r="B23" s="45" t="s">
        <v>69</v>
      </c>
      <c r="C23" s="45" t="str">
        <f t="shared" si="0"/>
        <v>Yes</v>
      </c>
      <c r="D23" s="33"/>
      <c r="E23" s="33"/>
      <c r="F23" s="33"/>
    </row>
    <row r="24" spans="1:6">
      <c r="A24" s="45">
        <v>3</v>
      </c>
      <c r="B24" s="45" t="s">
        <v>70</v>
      </c>
      <c r="C24" s="45" t="str">
        <f t="shared" si="0"/>
        <v/>
      </c>
      <c r="D24" s="33"/>
      <c r="E24" s="33"/>
      <c r="F24" s="33"/>
    </row>
    <row r="25" spans="1:6">
      <c r="A25" s="45">
        <v>4</v>
      </c>
      <c r="B25" s="45" t="s">
        <v>71</v>
      </c>
      <c r="C25" s="45" t="str">
        <f t="shared" si="0"/>
        <v/>
      </c>
      <c r="D25" s="33"/>
      <c r="E25" s="33"/>
      <c r="F25" s="33"/>
    </row>
    <row r="26" spans="1:6">
      <c r="A26" s="45">
        <v>5</v>
      </c>
      <c r="B26" s="45" t="s">
        <v>72</v>
      </c>
      <c r="C26" s="45" t="str">
        <f t="shared" si="0"/>
        <v/>
      </c>
      <c r="D26" s="33"/>
      <c r="E26" s="33"/>
      <c r="F26" s="33"/>
    </row>
    <row r="27" spans="1:6">
      <c r="A27" s="45">
        <v>6</v>
      </c>
      <c r="B27" s="45" t="s">
        <v>73</v>
      </c>
      <c r="C27" s="45" t="str">
        <f t="shared" si="0"/>
        <v/>
      </c>
      <c r="D27" s="33"/>
      <c r="E27" s="33"/>
      <c r="F27" s="33"/>
    </row>
    <row r="28" spans="1:6">
      <c r="A28" s="45">
        <v>7</v>
      </c>
      <c r="B28" s="45" t="s">
        <v>74</v>
      </c>
      <c r="C28" s="45" t="str">
        <f t="shared" si="0"/>
        <v/>
      </c>
      <c r="D28" s="33"/>
      <c r="E28" s="33"/>
      <c r="F28" s="33"/>
    </row>
    <row r="29" spans="1:6">
      <c r="A29" s="45">
        <v>8</v>
      </c>
      <c r="B29" s="45" t="s">
        <v>75</v>
      </c>
      <c r="C29" s="45" t="str">
        <f t="shared" si="0"/>
        <v/>
      </c>
      <c r="D29" s="33"/>
      <c r="E29" s="33"/>
      <c r="F29" s="33"/>
    </row>
    <row r="30" spans="1:6">
      <c r="A30" s="33"/>
      <c r="B30" s="33"/>
      <c r="C30" s="33"/>
      <c r="D30" s="33"/>
      <c r="E30" s="33"/>
      <c r="F30" s="33"/>
    </row>
    <row r="31" spans="1:6">
      <c r="A31" s="33"/>
      <c r="B31" s="33"/>
      <c r="C31" s="33"/>
      <c r="D31" s="33"/>
      <c r="E31" s="33"/>
      <c r="F31" s="33"/>
    </row>
    <row r="32" spans="1:6">
      <c r="A32" s="33"/>
      <c r="B32" s="33"/>
      <c r="C32" s="33"/>
      <c r="D32" s="33"/>
      <c r="E32" s="33"/>
      <c r="F32" s="33"/>
    </row>
    <row r="33" spans="1:6">
      <c r="A33" s="33"/>
      <c r="B33" s="33"/>
      <c r="C33" s="33"/>
      <c r="D33" s="33"/>
      <c r="E33" s="33"/>
      <c r="F33" s="33"/>
    </row>
    <row r="34" spans="1:6">
      <c r="A34" s="33"/>
      <c r="B34" s="33"/>
      <c r="C34" s="33"/>
      <c r="D34" s="33"/>
      <c r="E34" s="33"/>
      <c r="F34" s="33"/>
    </row>
    <row r="35" spans="1:6">
      <c r="A35" s="33"/>
      <c r="B35" s="33"/>
      <c r="C35" s="33"/>
      <c r="D35" s="33"/>
      <c r="E35" s="33"/>
      <c r="F35" s="33"/>
    </row>
  </sheetData>
  <dataValidations count="5">
    <dataValidation type="list" sqref="B6" xr:uid="{00000000-0002-0000-0100-000000000000}">
      <formula1>"1,2,3,4,5,6,7,8"</formula1>
    </dataValidation>
    <dataValidation type="list" sqref="B7" xr:uid="{00000000-0002-0000-0100-000001000000}">
      <formula1>"4,5,6,7,8"</formula1>
    </dataValidation>
    <dataValidation type="list" sqref="B8" xr:uid="{00000000-0002-0000-0100-000002000000}">
      <formula1>"1,2,3,4"</formula1>
    </dataValidation>
    <dataValidation type="list" sqref="E3" xr:uid="{00000000-0002-0000-0100-000003000000}">
      <formula1>"Automatic,No Finals"</formula1>
    </dataValidation>
    <dataValidation type="list" sqref="E6" xr:uid="{00000000-0002-0000-0100-000004000000}">
      <formula1>"No,Yes"</formula1>
    </dataValidation>
  </dataValidations>
  <pageMargins left="0.7" right="0.7" top="0.75" bottom="0.75" header="0.3" footer="0.3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67"/>
  <sheetViews>
    <sheetView workbookViewId="0">
      <selection activeCell="I12" sqref="I12"/>
    </sheetView>
  </sheetViews>
  <sheetFormatPr defaultRowHeight="14.25"/>
  <cols>
    <col min="1" max="3" width="5.5" style="3" customWidth="1"/>
    <col min="4" max="4" width="30" customWidth="1"/>
    <col min="5" max="5" width="10" style="7" customWidth="1"/>
    <col min="6" max="6" width="9" style="7" customWidth="1"/>
  </cols>
  <sheetData>
    <row r="1" spans="1:6" ht="24" customHeight="1">
      <c r="A1" s="24" t="s">
        <v>76</v>
      </c>
      <c r="B1" s="68"/>
      <c r="C1" s="68"/>
      <c r="D1" s="25"/>
      <c r="E1" s="69"/>
      <c r="F1" s="69"/>
    </row>
    <row r="2" spans="1:6">
      <c r="A2" s="49" t="s">
        <v>77</v>
      </c>
      <c r="B2" s="46"/>
      <c r="C2" s="46"/>
      <c r="D2" s="46"/>
      <c r="E2" s="46"/>
      <c r="F2" s="46"/>
    </row>
    <row r="3" spans="1:6" ht="24.75" customHeight="1">
      <c r="A3" s="70" t="s">
        <v>78</v>
      </c>
      <c r="B3" s="70" t="s">
        <v>79</v>
      </c>
      <c r="C3" s="70" t="s">
        <v>80</v>
      </c>
      <c r="D3" s="70" t="s">
        <v>81</v>
      </c>
      <c r="E3" s="70" t="s">
        <v>82</v>
      </c>
      <c r="F3" s="70" t="s">
        <v>83</v>
      </c>
    </row>
    <row r="4" spans="1:6">
      <c r="A4" s="99" t="s">
        <v>68</v>
      </c>
      <c r="B4" s="99">
        <v>1</v>
      </c>
      <c r="C4" s="99" t="s">
        <v>84</v>
      </c>
      <c r="D4" s="101"/>
      <c r="E4" s="100" t="s">
        <v>85</v>
      </c>
      <c r="F4" s="100">
        <f>IF(AND(1&lt;=Setup!$B$6,B4&lt;=Setup!$B$7,D4&lt;&gt;""),1,0)</f>
        <v>0</v>
      </c>
    </row>
    <row r="5" spans="1:6">
      <c r="A5" s="99" t="s">
        <v>68</v>
      </c>
      <c r="B5" s="99">
        <v>2</v>
      </c>
      <c r="C5" s="99" t="s">
        <v>86</v>
      </c>
      <c r="D5" s="101"/>
      <c r="E5" s="100" t="s">
        <v>87</v>
      </c>
      <c r="F5" s="100">
        <f>IF(AND(1&lt;=Setup!$B$6,B5&lt;=Setup!$B$7,D5&lt;&gt;""),1,0)</f>
        <v>0</v>
      </c>
    </row>
    <row r="6" spans="1:6">
      <c r="A6" s="99" t="s">
        <v>68</v>
      </c>
      <c r="B6" s="99">
        <v>3</v>
      </c>
      <c r="C6" s="99" t="s">
        <v>88</v>
      </c>
      <c r="D6" s="101"/>
      <c r="E6" s="100" t="s">
        <v>89</v>
      </c>
      <c r="F6" s="100">
        <f>IF(AND(1&lt;=Setup!$B$6,B6&lt;=Setup!$B$7,D6&lt;&gt;""),1,0)</f>
        <v>0</v>
      </c>
    </row>
    <row r="7" spans="1:6">
      <c r="A7" s="99" t="s">
        <v>68</v>
      </c>
      <c r="B7" s="99">
        <v>4</v>
      </c>
      <c r="C7" s="99" t="s">
        <v>90</v>
      </c>
      <c r="D7" s="101"/>
      <c r="E7" s="100" t="s">
        <v>91</v>
      </c>
      <c r="F7" s="100">
        <f>IF(AND(1&lt;=Setup!$B$6,B7&lt;=Setup!$B$7,D7&lt;&gt;""),1,0)</f>
        <v>0</v>
      </c>
    </row>
    <row r="8" spans="1:6">
      <c r="A8" s="99" t="s">
        <v>68</v>
      </c>
      <c r="B8" s="99">
        <v>5</v>
      </c>
      <c r="C8" s="99" t="s">
        <v>92</v>
      </c>
      <c r="D8" s="101"/>
      <c r="E8" s="100" t="s">
        <v>93</v>
      </c>
      <c r="F8" s="100">
        <f>IF(AND(1&lt;=Setup!$B$6,B8&lt;=Setup!$B$7,D8&lt;&gt;""),1,0)</f>
        <v>0</v>
      </c>
    </row>
    <row r="9" spans="1:6">
      <c r="A9" s="99" t="s">
        <v>68</v>
      </c>
      <c r="B9" s="99">
        <v>6</v>
      </c>
      <c r="C9" s="99" t="s">
        <v>94</v>
      </c>
      <c r="D9" s="101"/>
      <c r="E9" s="100" t="s">
        <v>95</v>
      </c>
      <c r="F9" s="100">
        <f>IF(AND(1&lt;=Setup!$B$6,B9&lt;=Setup!$B$7,D9&lt;&gt;""),1,0)</f>
        <v>0</v>
      </c>
    </row>
    <row r="10" spans="1:6">
      <c r="A10" s="99" t="s">
        <v>68</v>
      </c>
      <c r="B10" s="99">
        <v>7</v>
      </c>
      <c r="C10" s="99" t="s">
        <v>96</v>
      </c>
      <c r="D10" s="101"/>
      <c r="E10" s="100" t="s">
        <v>97</v>
      </c>
      <c r="F10" s="100">
        <f>IF(AND(1&lt;=Setup!$B$6,B10&lt;=Setup!$B$7,D10&lt;&gt;""),1,0)</f>
        <v>0</v>
      </c>
    </row>
    <row r="11" spans="1:6">
      <c r="A11" s="99" t="s">
        <v>68</v>
      </c>
      <c r="B11" s="99">
        <v>8</v>
      </c>
      <c r="C11" s="99" t="s">
        <v>98</v>
      </c>
      <c r="D11" s="101"/>
      <c r="E11" s="100" t="s">
        <v>99</v>
      </c>
      <c r="F11" s="100">
        <f>IF(AND(1&lt;=Setup!$B$6,B11&lt;=Setup!$B$7,D11&lt;&gt;""),1,0)</f>
        <v>0</v>
      </c>
    </row>
    <row r="12" spans="1:6">
      <c r="A12" s="99" t="s">
        <v>69</v>
      </c>
      <c r="B12" s="99">
        <v>1</v>
      </c>
      <c r="C12" s="99" t="s">
        <v>100</v>
      </c>
      <c r="D12" s="101"/>
      <c r="E12" s="100" t="s">
        <v>101</v>
      </c>
      <c r="F12" s="100">
        <f>IF(AND(2&lt;=Setup!$B$6,B12&lt;=Setup!$B$7,D12&lt;&gt;""),1,0)</f>
        <v>0</v>
      </c>
    </row>
    <row r="13" spans="1:6">
      <c r="A13" s="99" t="s">
        <v>69</v>
      </c>
      <c r="B13" s="99">
        <v>2</v>
      </c>
      <c r="C13" s="99" t="s">
        <v>102</v>
      </c>
      <c r="D13" s="101"/>
      <c r="E13" s="100" t="s">
        <v>103</v>
      </c>
      <c r="F13" s="100">
        <f>IF(AND(2&lt;=Setup!$B$6,B13&lt;=Setup!$B$7,D13&lt;&gt;""),1,0)</f>
        <v>0</v>
      </c>
    </row>
    <row r="14" spans="1:6">
      <c r="A14" s="99" t="s">
        <v>69</v>
      </c>
      <c r="B14" s="99">
        <v>3</v>
      </c>
      <c r="C14" s="99" t="s">
        <v>104</v>
      </c>
      <c r="D14" s="101"/>
      <c r="E14" s="100" t="s">
        <v>105</v>
      </c>
      <c r="F14" s="100">
        <f>IF(AND(2&lt;=Setup!$B$6,B14&lt;=Setup!$B$7,D14&lt;&gt;""),1,0)</f>
        <v>0</v>
      </c>
    </row>
    <row r="15" spans="1:6">
      <c r="A15" s="99" t="s">
        <v>69</v>
      </c>
      <c r="B15" s="99">
        <v>4</v>
      </c>
      <c r="C15" s="99" t="s">
        <v>106</v>
      </c>
      <c r="D15" s="101"/>
      <c r="E15" s="100" t="s">
        <v>107</v>
      </c>
      <c r="F15" s="100">
        <f>IF(AND(2&lt;=Setup!$B$6,B15&lt;=Setup!$B$7,D15&lt;&gt;""),1,0)</f>
        <v>0</v>
      </c>
    </row>
    <row r="16" spans="1:6">
      <c r="A16" s="99" t="s">
        <v>69</v>
      </c>
      <c r="B16" s="99">
        <v>5</v>
      </c>
      <c r="C16" s="99" t="s">
        <v>108</v>
      </c>
      <c r="D16" s="101"/>
      <c r="E16" s="100" t="s">
        <v>109</v>
      </c>
      <c r="F16" s="100">
        <f>IF(AND(2&lt;=Setup!$B$6,B16&lt;=Setup!$B$7,D16&lt;&gt;""),1,0)</f>
        <v>0</v>
      </c>
    </row>
    <row r="17" spans="1:6">
      <c r="A17" s="99" t="s">
        <v>69</v>
      </c>
      <c r="B17" s="99">
        <v>6</v>
      </c>
      <c r="C17" s="99" t="s">
        <v>110</v>
      </c>
      <c r="D17" s="101"/>
      <c r="E17" s="100" t="s">
        <v>111</v>
      </c>
      <c r="F17" s="100">
        <f>IF(AND(2&lt;=Setup!$B$6,B17&lt;=Setup!$B$7,D17&lt;&gt;""),1,0)</f>
        <v>0</v>
      </c>
    </row>
    <row r="18" spans="1:6">
      <c r="A18" s="99" t="s">
        <v>69</v>
      </c>
      <c r="B18" s="99">
        <v>7</v>
      </c>
      <c r="C18" s="99" t="s">
        <v>112</v>
      </c>
      <c r="D18" s="101"/>
      <c r="E18" s="100" t="s">
        <v>113</v>
      </c>
      <c r="F18" s="100">
        <f>IF(AND(2&lt;=Setup!$B$6,B18&lt;=Setup!$B$7,D18&lt;&gt;""),1,0)</f>
        <v>0</v>
      </c>
    </row>
    <row r="19" spans="1:6">
      <c r="A19" s="99" t="s">
        <v>69</v>
      </c>
      <c r="B19" s="99">
        <v>8</v>
      </c>
      <c r="C19" s="99" t="s">
        <v>114</v>
      </c>
      <c r="D19" s="101"/>
      <c r="E19" s="100" t="s">
        <v>115</v>
      </c>
      <c r="F19" s="100">
        <f>IF(AND(2&lt;=Setup!$B$6,B19&lt;=Setup!$B$7,D19&lt;&gt;""),1,0)</f>
        <v>0</v>
      </c>
    </row>
    <row r="20" spans="1:6">
      <c r="A20" s="99" t="s">
        <v>70</v>
      </c>
      <c r="B20" s="99">
        <v>1</v>
      </c>
      <c r="C20" s="99" t="s">
        <v>116</v>
      </c>
      <c r="D20" s="101"/>
      <c r="E20" s="100" t="s">
        <v>117</v>
      </c>
      <c r="F20" s="100">
        <f>IF(AND(3&lt;=Setup!$B$6,B20&lt;=Setup!$B$7,D20&lt;&gt;""),1,0)</f>
        <v>0</v>
      </c>
    </row>
    <row r="21" spans="1:6">
      <c r="A21" s="99" t="s">
        <v>70</v>
      </c>
      <c r="B21" s="99">
        <v>2</v>
      </c>
      <c r="C21" s="99" t="s">
        <v>118</v>
      </c>
      <c r="D21" s="101"/>
      <c r="E21" s="100" t="s">
        <v>119</v>
      </c>
      <c r="F21" s="100">
        <f>IF(AND(3&lt;=Setup!$B$6,B21&lt;=Setup!$B$7,D21&lt;&gt;""),1,0)</f>
        <v>0</v>
      </c>
    </row>
    <row r="22" spans="1:6">
      <c r="A22" s="99" t="s">
        <v>70</v>
      </c>
      <c r="B22" s="99">
        <v>3</v>
      </c>
      <c r="C22" s="99" t="s">
        <v>120</v>
      </c>
      <c r="D22" s="101"/>
      <c r="E22" s="100" t="s">
        <v>121</v>
      </c>
      <c r="F22" s="100">
        <f>IF(AND(3&lt;=Setup!$B$6,B22&lt;=Setup!$B$7,D22&lt;&gt;""),1,0)</f>
        <v>0</v>
      </c>
    </row>
    <row r="23" spans="1:6">
      <c r="A23" s="99" t="s">
        <v>70</v>
      </c>
      <c r="B23" s="99">
        <v>4</v>
      </c>
      <c r="C23" s="99" t="s">
        <v>122</v>
      </c>
      <c r="D23" s="101"/>
      <c r="E23" s="100" t="s">
        <v>123</v>
      </c>
      <c r="F23" s="100">
        <f>IF(AND(3&lt;=Setup!$B$6,B23&lt;=Setup!$B$7,D23&lt;&gt;""),1,0)</f>
        <v>0</v>
      </c>
    </row>
    <row r="24" spans="1:6">
      <c r="A24" s="99" t="s">
        <v>70</v>
      </c>
      <c r="B24" s="99">
        <v>5</v>
      </c>
      <c r="C24" s="99" t="s">
        <v>124</v>
      </c>
      <c r="D24" s="101"/>
      <c r="E24" s="100" t="s">
        <v>125</v>
      </c>
      <c r="F24" s="100">
        <f>IF(AND(3&lt;=Setup!$B$6,B24&lt;=Setup!$B$7,D24&lt;&gt;""),1,0)</f>
        <v>0</v>
      </c>
    </row>
    <row r="25" spans="1:6">
      <c r="A25" s="99" t="s">
        <v>70</v>
      </c>
      <c r="B25" s="99">
        <v>6</v>
      </c>
      <c r="C25" s="99" t="s">
        <v>126</v>
      </c>
      <c r="D25" s="101"/>
      <c r="E25" s="100" t="s">
        <v>127</v>
      </c>
      <c r="F25" s="100">
        <f>IF(AND(3&lt;=Setup!$B$6,B25&lt;=Setup!$B$7,D25&lt;&gt;""),1,0)</f>
        <v>0</v>
      </c>
    </row>
    <row r="26" spans="1:6">
      <c r="A26" s="99" t="s">
        <v>70</v>
      </c>
      <c r="B26" s="99">
        <v>7</v>
      </c>
      <c r="C26" s="99" t="s">
        <v>128</v>
      </c>
      <c r="D26" s="101"/>
      <c r="E26" s="100" t="s">
        <v>129</v>
      </c>
      <c r="F26" s="100">
        <f>IF(AND(3&lt;=Setup!$B$6,B26&lt;=Setup!$B$7,D26&lt;&gt;""),1,0)</f>
        <v>0</v>
      </c>
    </row>
    <row r="27" spans="1:6">
      <c r="A27" s="99" t="s">
        <v>70</v>
      </c>
      <c r="B27" s="99">
        <v>8</v>
      </c>
      <c r="C27" s="99" t="s">
        <v>130</v>
      </c>
      <c r="D27" s="101"/>
      <c r="E27" s="100" t="s">
        <v>131</v>
      </c>
      <c r="F27" s="100">
        <f>IF(AND(3&lt;=Setup!$B$6,B27&lt;=Setup!$B$7,D27&lt;&gt;""),1,0)</f>
        <v>0</v>
      </c>
    </row>
    <row r="28" spans="1:6">
      <c r="A28" s="99" t="s">
        <v>71</v>
      </c>
      <c r="B28" s="99">
        <v>1</v>
      </c>
      <c r="C28" s="99" t="s">
        <v>132</v>
      </c>
      <c r="D28" s="101"/>
      <c r="E28" s="100" t="s">
        <v>133</v>
      </c>
      <c r="F28" s="100">
        <f>IF(AND(4&lt;=Setup!$B$6,B28&lt;=Setup!$B$7,D28&lt;&gt;""),1,0)</f>
        <v>0</v>
      </c>
    </row>
    <row r="29" spans="1:6">
      <c r="A29" s="99" t="s">
        <v>71</v>
      </c>
      <c r="B29" s="99">
        <v>2</v>
      </c>
      <c r="C29" s="99" t="s">
        <v>134</v>
      </c>
      <c r="D29" s="101"/>
      <c r="E29" s="100" t="s">
        <v>135</v>
      </c>
      <c r="F29" s="100">
        <f>IF(AND(4&lt;=Setup!$B$6,B29&lt;=Setup!$B$7,D29&lt;&gt;""),1,0)</f>
        <v>0</v>
      </c>
    </row>
    <row r="30" spans="1:6">
      <c r="A30" s="99" t="s">
        <v>71</v>
      </c>
      <c r="B30" s="99">
        <v>3</v>
      </c>
      <c r="C30" s="99" t="s">
        <v>136</v>
      </c>
      <c r="D30" s="101"/>
      <c r="E30" s="100" t="s">
        <v>137</v>
      </c>
      <c r="F30" s="100">
        <f>IF(AND(4&lt;=Setup!$B$6,B30&lt;=Setup!$B$7,D30&lt;&gt;""),1,0)</f>
        <v>0</v>
      </c>
    </row>
    <row r="31" spans="1:6">
      <c r="A31" s="99" t="s">
        <v>71</v>
      </c>
      <c r="B31" s="99">
        <v>4</v>
      </c>
      <c r="C31" s="99" t="s">
        <v>138</v>
      </c>
      <c r="D31" s="101"/>
      <c r="E31" s="100" t="s">
        <v>139</v>
      </c>
      <c r="F31" s="100">
        <f>IF(AND(4&lt;=Setup!$B$6,B31&lt;=Setup!$B$7,D31&lt;&gt;""),1,0)</f>
        <v>0</v>
      </c>
    </row>
    <row r="32" spans="1:6">
      <c r="A32" s="99" t="s">
        <v>71</v>
      </c>
      <c r="B32" s="99">
        <v>5</v>
      </c>
      <c r="C32" s="99" t="s">
        <v>140</v>
      </c>
      <c r="D32" s="101"/>
      <c r="E32" s="100" t="s">
        <v>141</v>
      </c>
      <c r="F32" s="100">
        <f>IF(AND(4&lt;=Setup!$B$6,B32&lt;=Setup!$B$7,D32&lt;&gt;""),1,0)</f>
        <v>0</v>
      </c>
    </row>
    <row r="33" spans="1:6">
      <c r="A33" s="99" t="s">
        <v>71</v>
      </c>
      <c r="B33" s="99">
        <v>6</v>
      </c>
      <c r="C33" s="99" t="s">
        <v>142</v>
      </c>
      <c r="D33" s="101"/>
      <c r="E33" s="100" t="s">
        <v>143</v>
      </c>
      <c r="F33" s="100">
        <f>IF(AND(4&lt;=Setup!$B$6,B33&lt;=Setup!$B$7,D33&lt;&gt;""),1,0)</f>
        <v>0</v>
      </c>
    </row>
    <row r="34" spans="1:6">
      <c r="A34" s="99" t="s">
        <v>71</v>
      </c>
      <c r="B34" s="99">
        <v>7</v>
      </c>
      <c r="C34" s="99" t="s">
        <v>144</v>
      </c>
      <c r="D34" s="101"/>
      <c r="E34" s="100" t="s">
        <v>145</v>
      </c>
      <c r="F34" s="100">
        <f>IF(AND(4&lt;=Setup!$B$6,B34&lt;=Setup!$B$7,D34&lt;&gt;""),1,0)</f>
        <v>0</v>
      </c>
    </row>
    <row r="35" spans="1:6">
      <c r="A35" s="99" t="s">
        <v>71</v>
      </c>
      <c r="B35" s="99">
        <v>8</v>
      </c>
      <c r="C35" s="99" t="s">
        <v>146</v>
      </c>
      <c r="D35" s="101"/>
      <c r="E35" s="100" t="s">
        <v>147</v>
      </c>
      <c r="F35" s="100">
        <f>IF(AND(4&lt;=Setup!$B$6,B35&lt;=Setup!$B$7,D35&lt;&gt;""),1,0)</f>
        <v>0</v>
      </c>
    </row>
    <row r="36" spans="1:6">
      <c r="A36" s="99" t="s">
        <v>72</v>
      </c>
      <c r="B36" s="99">
        <v>1</v>
      </c>
      <c r="C36" s="99" t="s">
        <v>148</v>
      </c>
      <c r="D36" s="101"/>
      <c r="E36" s="100" t="s">
        <v>149</v>
      </c>
      <c r="F36" s="100">
        <f>IF(AND(5&lt;=Setup!$B$6,B36&lt;=Setup!$B$7,D36&lt;&gt;""),1,0)</f>
        <v>0</v>
      </c>
    </row>
    <row r="37" spans="1:6">
      <c r="A37" s="99" t="s">
        <v>72</v>
      </c>
      <c r="B37" s="99">
        <v>2</v>
      </c>
      <c r="C37" s="99" t="s">
        <v>150</v>
      </c>
      <c r="D37" s="101"/>
      <c r="E37" s="100" t="s">
        <v>151</v>
      </c>
      <c r="F37" s="100">
        <f>IF(AND(5&lt;=Setup!$B$6,B37&lt;=Setup!$B$7,D37&lt;&gt;""),1,0)</f>
        <v>0</v>
      </c>
    </row>
    <row r="38" spans="1:6">
      <c r="A38" s="99" t="s">
        <v>72</v>
      </c>
      <c r="B38" s="99">
        <v>3</v>
      </c>
      <c r="C38" s="99" t="s">
        <v>152</v>
      </c>
      <c r="D38" s="101"/>
      <c r="E38" s="100" t="s">
        <v>153</v>
      </c>
      <c r="F38" s="100">
        <f>IF(AND(5&lt;=Setup!$B$6,B38&lt;=Setup!$B$7,D38&lt;&gt;""),1,0)</f>
        <v>0</v>
      </c>
    </row>
    <row r="39" spans="1:6">
      <c r="A39" s="99" t="s">
        <v>72</v>
      </c>
      <c r="B39" s="99">
        <v>4</v>
      </c>
      <c r="C39" s="99" t="s">
        <v>154</v>
      </c>
      <c r="D39" s="101"/>
      <c r="E39" s="100" t="s">
        <v>155</v>
      </c>
      <c r="F39" s="100">
        <f>IF(AND(5&lt;=Setup!$B$6,B39&lt;=Setup!$B$7,D39&lt;&gt;""),1,0)</f>
        <v>0</v>
      </c>
    </row>
    <row r="40" spans="1:6">
      <c r="A40" s="99" t="s">
        <v>72</v>
      </c>
      <c r="B40" s="99">
        <v>5</v>
      </c>
      <c r="C40" s="99" t="s">
        <v>156</v>
      </c>
      <c r="D40" s="101"/>
      <c r="E40" s="100" t="s">
        <v>157</v>
      </c>
      <c r="F40" s="100">
        <f>IF(AND(5&lt;=Setup!$B$6,B40&lt;=Setup!$B$7,D40&lt;&gt;""),1,0)</f>
        <v>0</v>
      </c>
    </row>
    <row r="41" spans="1:6">
      <c r="A41" s="99" t="s">
        <v>72</v>
      </c>
      <c r="B41" s="99">
        <v>6</v>
      </c>
      <c r="C41" s="99" t="s">
        <v>158</v>
      </c>
      <c r="D41" s="101"/>
      <c r="E41" s="100" t="s">
        <v>159</v>
      </c>
      <c r="F41" s="100">
        <f>IF(AND(5&lt;=Setup!$B$6,B41&lt;=Setup!$B$7,D41&lt;&gt;""),1,0)</f>
        <v>0</v>
      </c>
    </row>
    <row r="42" spans="1:6">
      <c r="A42" s="99" t="s">
        <v>72</v>
      </c>
      <c r="B42" s="99">
        <v>7</v>
      </c>
      <c r="C42" s="99" t="s">
        <v>160</v>
      </c>
      <c r="D42" s="101"/>
      <c r="E42" s="100" t="s">
        <v>161</v>
      </c>
      <c r="F42" s="100">
        <f>IF(AND(5&lt;=Setup!$B$6,B42&lt;=Setup!$B$7,D42&lt;&gt;""),1,0)</f>
        <v>0</v>
      </c>
    </row>
    <row r="43" spans="1:6">
      <c r="A43" s="99" t="s">
        <v>72</v>
      </c>
      <c r="B43" s="99">
        <v>8</v>
      </c>
      <c r="C43" s="99" t="s">
        <v>162</v>
      </c>
      <c r="D43" s="101"/>
      <c r="E43" s="100" t="s">
        <v>163</v>
      </c>
      <c r="F43" s="100">
        <f>IF(AND(5&lt;=Setup!$B$6,B43&lt;=Setup!$B$7,D43&lt;&gt;""),1,0)</f>
        <v>0</v>
      </c>
    </row>
    <row r="44" spans="1:6">
      <c r="A44" s="99" t="s">
        <v>73</v>
      </c>
      <c r="B44" s="99">
        <v>1</v>
      </c>
      <c r="C44" s="99" t="s">
        <v>164</v>
      </c>
      <c r="D44" s="101"/>
      <c r="E44" s="100" t="s">
        <v>165</v>
      </c>
      <c r="F44" s="100">
        <f>IF(AND(6&lt;=Setup!$B$6,B44&lt;=Setup!$B$7,D44&lt;&gt;""),1,0)</f>
        <v>0</v>
      </c>
    </row>
    <row r="45" spans="1:6">
      <c r="A45" s="99" t="s">
        <v>73</v>
      </c>
      <c r="B45" s="99">
        <v>2</v>
      </c>
      <c r="C45" s="99" t="s">
        <v>166</v>
      </c>
      <c r="D45" s="101"/>
      <c r="E45" s="100" t="s">
        <v>167</v>
      </c>
      <c r="F45" s="100">
        <f>IF(AND(6&lt;=Setup!$B$6,B45&lt;=Setup!$B$7,D45&lt;&gt;""),1,0)</f>
        <v>0</v>
      </c>
    </row>
    <row r="46" spans="1:6">
      <c r="A46" s="99" t="s">
        <v>73</v>
      </c>
      <c r="B46" s="99">
        <v>3</v>
      </c>
      <c r="C46" s="99" t="s">
        <v>168</v>
      </c>
      <c r="D46" s="101"/>
      <c r="E46" s="100" t="s">
        <v>169</v>
      </c>
      <c r="F46" s="100">
        <f>IF(AND(6&lt;=Setup!$B$6,B46&lt;=Setup!$B$7,D46&lt;&gt;""),1,0)</f>
        <v>0</v>
      </c>
    </row>
    <row r="47" spans="1:6">
      <c r="A47" s="99" t="s">
        <v>73</v>
      </c>
      <c r="B47" s="99">
        <v>4</v>
      </c>
      <c r="C47" s="99" t="s">
        <v>170</v>
      </c>
      <c r="D47" s="101"/>
      <c r="E47" s="100" t="s">
        <v>171</v>
      </c>
      <c r="F47" s="100">
        <f>IF(AND(6&lt;=Setup!$B$6,B47&lt;=Setup!$B$7,D47&lt;&gt;""),1,0)</f>
        <v>0</v>
      </c>
    </row>
    <row r="48" spans="1:6">
      <c r="A48" s="99" t="s">
        <v>73</v>
      </c>
      <c r="B48" s="99">
        <v>5</v>
      </c>
      <c r="C48" s="99" t="s">
        <v>172</v>
      </c>
      <c r="D48" s="101"/>
      <c r="E48" s="100" t="s">
        <v>173</v>
      </c>
      <c r="F48" s="100">
        <f>IF(AND(6&lt;=Setup!$B$6,B48&lt;=Setup!$B$7,D48&lt;&gt;""),1,0)</f>
        <v>0</v>
      </c>
    </row>
    <row r="49" spans="1:6">
      <c r="A49" s="99" t="s">
        <v>73</v>
      </c>
      <c r="B49" s="99">
        <v>6</v>
      </c>
      <c r="C49" s="99" t="s">
        <v>174</v>
      </c>
      <c r="D49" s="101"/>
      <c r="E49" s="100" t="s">
        <v>175</v>
      </c>
      <c r="F49" s="100">
        <f>IF(AND(6&lt;=Setup!$B$6,B49&lt;=Setup!$B$7,D49&lt;&gt;""),1,0)</f>
        <v>0</v>
      </c>
    </row>
    <row r="50" spans="1:6">
      <c r="A50" s="99" t="s">
        <v>73</v>
      </c>
      <c r="B50" s="99">
        <v>7</v>
      </c>
      <c r="C50" s="99" t="s">
        <v>176</v>
      </c>
      <c r="D50" s="101"/>
      <c r="E50" s="100" t="s">
        <v>177</v>
      </c>
      <c r="F50" s="100">
        <f>IF(AND(6&lt;=Setup!$B$6,B50&lt;=Setup!$B$7,D50&lt;&gt;""),1,0)</f>
        <v>0</v>
      </c>
    </row>
    <row r="51" spans="1:6">
      <c r="A51" s="99" t="s">
        <v>73</v>
      </c>
      <c r="B51" s="99">
        <v>8</v>
      </c>
      <c r="C51" s="99" t="s">
        <v>178</v>
      </c>
      <c r="D51" s="101"/>
      <c r="E51" s="100" t="s">
        <v>179</v>
      </c>
      <c r="F51" s="100">
        <f>IF(AND(6&lt;=Setup!$B$6,B51&lt;=Setup!$B$7,D51&lt;&gt;""),1,0)</f>
        <v>0</v>
      </c>
    </row>
    <row r="52" spans="1:6">
      <c r="A52" s="99" t="s">
        <v>74</v>
      </c>
      <c r="B52" s="99">
        <v>1</v>
      </c>
      <c r="C52" s="99" t="s">
        <v>180</v>
      </c>
      <c r="D52" s="101"/>
      <c r="E52" s="100" t="s">
        <v>181</v>
      </c>
      <c r="F52" s="100">
        <f>IF(AND(7&lt;=Setup!$B$6,B52&lt;=Setup!$B$7,D52&lt;&gt;""),1,0)</f>
        <v>0</v>
      </c>
    </row>
    <row r="53" spans="1:6">
      <c r="A53" s="99" t="s">
        <v>74</v>
      </c>
      <c r="B53" s="99">
        <v>2</v>
      </c>
      <c r="C53" s="99" t="s">
        <v>182</v>
      </c>
      <c r="D53" s="101"/>
      <c r="E53" s="100" t="s">
        <v>183</v>
      </c>
      <c r="F53" s="100">
        <f>IF(AND(7&lt;=Setup!$B$6,B53&lt;=Setup!$B$7,D53&lt;&gt;""),1,0)</f>
        <v>0</v>
      </c>
    </row>
    <row r="54" spans="1:6">
      <c r="A54" s="99" t="s">
        <v>74</v>
      </c>
      <c r="B54" s="99">
        <v>3</v>
      </c>
      <c r="C54" s="99" t="s">
        <v>184</v>
      </c>
      <c r="D54" s="101"/>
      <c r="E54" s="100" t="s">
        <v>185</v>
      </c>
      <c r="F54" s="100">
        <f>IF(AND(7&lt;=Setup!$B$6,B54&lt;=Setup!$B$7,D54&lt;&gt;""),1,0)</f>
        <v>0</v>
      </c>
    </row>
    <row r="55" spans="1:6">
      <c r="A55" s="99" t="s">
        <v>74</v>
      </c>
      <c r="B55" s="99">
        <v>4</v>
      </c>
      <c r="C55" s="99" t="s">
        <v>186</v>
      </c>
      <c r="D55" s="101"/>
      <c r="E55" s="100" t="s">
        <v>187</v>
      </c>
      <c r="F55" s="100">
        <f>IF(AND(7&lt;=Setup!$B$6,B55&lt;=Setup!$B$7,D55&lt;&gt;""),1,0)</f>
        <v>0</v>
      </c>
    </row>
    <row r="56" spans="1:6">
      <c r="A56" s="99" t="s">
        <v>74</v>
      </c>
      <c r="B56" s="99">
        <v>5</v>
      </c>
      <c r="C56" s="99" t="s">
        <v>188</v>
      </c>
      <c r="D56" s="101"/>
      <c r="E56" s="100" t="s">
        <v>189</v>
      </c>
      <c r="F56" s="100">
        <f>IF(AND(7&lt;=Setup!$B$6,B56&lt;=Setup!$B$7,D56&lt;&gt;""),1,0)</f>
        <v>0</v>
      </c>
    </row>
    <row r="57" spans="1:6">
      <c r="A57" s="99" t="s">
        <v>74</v>
      </c>
      <c r="B57" s="99">
        <v>6</v>
      </c>
      <c r="C57" s="99" t="s">
        <v>190</v>
      </c>
      <c r="D57" s="101"/>
      <c r="E57" s="100" t="s">
        <v>191</v>
      </c>
      <c r="F57" s="100">
        <f>IF(AND(7&lt;=Setup!$B$6,B57&lt;=Setup!$B$7,D57&lt;&gt;""),1,0)</f>
        <v>0</v>
      </c>
    </row>
    <row r="58" spans="1:6">
      <c r="A58" s="99" t="s">
        <v>74</v>
      </c>
      <c r="B58" s="99">
        <v>7</v>
      </c>
      <c r="C58" s="99" t="s">
        <v>192</v>
      </c>
      <c r="D58" s="101"/>
      <c r="E58" s="100" t="s">
        <v>193</v>
      </c>
      <c r="F58" s="100">
        <f>IF(AND(7&lt;=Setup!$B$6,B58&lt;=Setup!$B$7,D58&lt;&gt;""),1,0)</f>
        <v>0</v>
      </c>
    </row>
    <row r="59" spans="1:6">
      <c r="A59" s="99" t="s">
        <v>74</v>
      </c>
      <c r="B59" s="99">
        <v>8</v>
      </c>
      <c r="C59" s="99" t="s">
        <v>194</v>
      </c>
      <c r="D59" s="101"/>
      <c r="E59" s="100" t="s">
        <v>195</v>
      </c>
      <c r="F59" s="100">
        <f>IF(AND(7&lt;=Setup!$B$6,B59&lt;=Setup!$B$7,D59&lt;&gt;""),1,0)</f>
        <v>0</v>
      </c>
    </row>
    <row r="60" spans="1:6">
      <c r="A60" s="99" t="s">
        <v>75</v>
      </c>
      <c r="B60" s="99">
        <v>1</v>
      </c>
      <c r="C60" s="99" t="s">
        <v>196</v>
      </c>
      <c r="D60" s="101"/>
      <c r="E60" s="100" t="s">
        <v>197</v>
      </c>
      <c r="F60" s="100">
        <f>IF(AND(8&lt;=Setup!$B$6,B60&lt;=Setup!$B$7,D60&lt;&gt;""),1,0)</f>
        <v>0</v>
      </c>
    </row>
    <row r="61" spans="1:6">
      <c r="A61" s="99" t="s">
        <v>75</v>
      </c>
      <c r="B61" s="99">
        <v>2</v>
      </c>
      <c r="C61" s="99" t="s">
        <v>198</v>
      </c>
      <c r="D61" s="101"/>
      <c r="E61" s="100" t="s">
        <v>199</v>
      </c>
      <c r="F61" s="100">
        <f>IF(AND(8&lt;=Setup!$B$6,B61&lt;=Setup!$B$7,D61&lt;&gt;""),1,0)</f>
        <v>0</v>
      </c>
    </row>
    <row r="62" spans="1:6">
      <c r="A62" s="99" t="s">
        <v>75</v>
      </c>
      <c r="B62" s="99">
        <v>3</v>
      </c>
      <c r="C62" s="99" t="s">
        <v>200</v>
      </c>
      <c r="D62" s="101"/>
      <c r="E62" s="100" t="s">
        <v>201</v>
      </c>
      <c r="F62" s="100">
        <f>IF(AND(8&lt;=Setup!$B$6,B62&lt;=Setup!$B$7,D62&lt;&gt;""),1,0)</f>
        <v>0</v>
      </c>
    </row>
    <row r="63" spans="1:6">
      <c r="A63" s="99" t="s">
        <v>75</v>
      </c>
      <c r="B63" s="99">
        <v>4</v>
      </c>
      <c r="C63" s="99" t="s">
        <v>202</v>
      </c>
      <c r="D63" s="101"/>
      <c r="E63" s="100" t="s">
        <v>203</v>
      </c>
      <c r="F63" s="100">
        <f>IF(AND(8&lt;=Setup!$B$6,B63&lt;=Setup!$B$7,D63&lt;&gt;""),1,0)</f>
        <v>0</v>
      </c>
    </row>
    <row r="64" spans="1:6">
      <c r="A64" s="99" t="s">
        <v>75</v>
      </c>
      <c r="B64" s="99">
        <v>5</v>
      </c>
      <c r="C64" s="99" t="s">
        <v>204</v>
      </c>
      <c r="D64" s="101"/>
      <c r="E64" s="100" t="s">
        <v>205</v>
      </c>
      <c r="F64" s="100">
        <f>IF(AND(8&lt;=Setup!$B$6,B64&lt;=Setup!$B$7,D64&lt;&gt;""),1,0)</f>
        <v>0</v>
      </c>
    </row>
    <row r="65" spans="1:6">
      <c r="A65" s="99" t="s">
        <v>75</v>
      </c>
      <c r="B65" s="99">
        <v>6</v>
      </c>
      <c r="C65" s="99" t="s">
        <v>206</v>
      </c>
      <c r="D65" s="101"/>
      <c r="E65" s="100" t="s">
        <v>207</v>
      </c>
      <c r="F65" s="100">
        <f>IF(AND(8&lt;=Setup!$B$6,B65&lt;=Setup!$B$7,D65&lt;&gt;""),1,0)</f>
        <v>0</v>
      </c>
    </row>
    <row r="66" spans="1:6">
      <c r="A66" s="99" t="s">
        <v>75</v>
      </c>
      <c r="B66" s="99">
        <v>7</v>
      </c>
      <c r="C66" s="99" t="s">
        <v>208</v>
      </c>
      <c r="D66" s="101"/>
      <c r="E66" s="100" t="s">
        <v>209</v>
      </c>
      <c r="F66" s="100">
        <f>IF(AND(8&lt;=Setup!$B$6,B66&lt;=Setup!$B$7,D66&lt;&gt;""),1,0)</f>
        <v>0</v>
      </c>
    </row>
    <row r="67" spans="1:6">
      <c r="A67" s="99" t="s">
        <v>75</v>
      </c>
      <c r="B67" s="99">
        <v>8</v>
      </c>
      <c r="C67" s="99" t="s">
        <v>210</v>
      </c>
      <c r="D67" s="101"/>
      <c r="E67" s="100" t="s">
        <v>211</v>
      </c>
      <c r="F67" s="100">
        <f>IF(AND(8&lt;=Setup!$B$6,B67&lt;=Setup!$B$7,D67&lt;&gt;""),1,0)</f>
        <v>0</v>
      </c>
    </row>
  </sheetData>
  <conditionalFormatting sqref="D4:D67">
    <cfRule type="expression" dxfId="15" priority="2">
      <formula>$F4=1</formula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" id="{00000000-000E-0000-0200-000005000000}">
            <xm:f>OR(1&gt;Setup!$B$6,$B4&gt;Setup!$B$7)</xm:f>
            <x14:dxf>
              <font>
                <color rgb="FFBFBFBF"/>
              </font>
              <fill>
                <patternFill patternType="solid">
                  <bgColor rgb="FFF2F2F2"/>
                </patternFill>
              </fill>
            </x14:dxf>
          </x14:cfRule>
          <xm:sqref>A4:F11</xm:sqref>
        </x14:conditionalFormatting>
        <x14:conditionalFormatting xmlns:xm="http://schemas.microsoft.com/office/excel/2006/main">
          <x14:cfRule type="expression" priority="21" id="{00000000-000E-0000-0200-000015000000}">
            <xm:f>OR(2&gt;Setup!$B$6,$B12&gt;Setup!$B$7)</xm:f>
            <x14:dxf>
              <font>
                <color rgb="FFBFBFBF"/>
              </font>
              <fill>
                <patternFill patternType="solid">
                  <bgColor rgb="FFF2F2F2"/>
                </patternFill>
              </fill>
            </x14:dxf>
          </x14:cfRule>
          <xm:sqref>A12:F19</xm:sqref>
        </x14:conditionalFormatting>
        <x14:conditionalFormatting xmlns:xm="http://schemas.microsoft.com/office/excel/2006/main">
          <x14:cfRule type="expression" priority="37" id="{00000000-000E-0000-0200-000025000000}">
            <xm:f>OR(3&gt;Setup!$B$6,$B20&gt;Setup!$B$7)</xm:f>
            <x14:dxf>
              <font>
                <color rgb="FFBFBFBF"/>
              </font>
              <fill>
                <patternFill patternType="solid">
                  <bgColor rgb="FFF2F2F2"/>
                </patternFill>
              </fill>
            </x14:dxf>
          </x14:cfRule>
          <xm:sqref>A20:F27</xm:sqref>
        </x14:conditionalFormatting>
        <x14:conditionalFormatting xmlns:xm="http://schemas.microsoft.com/office/excel/2006/main">
          <x14:cfRule type="expression" priority="53" id="{00000000-000E-0000-0200-000035000000}">
            <xm:f>OR(4&gt;Setup!$B$6,$B28&gt;Setup!$B$7)</xm:f>
            <x14:dxf>
              <font>
                <color rgb="FFBFBFBF"/>
              </font>
              <fill>
                <patternFill patternType="solid">
                  <bgColor rgb="FFF2F2F2"/>
                </patternFill>
              </fill>
            </x14:dxf>
          </x14:cfRule>
          <xm:sqref>A28:F35</xm:sqref>
        </x14:conditionalFormatting>
        <x14:conditionalFormatting xmlns:xm="http://schemas.microsoft.com/office/excel/2006/main">
          <x14:cfRule type="expression" priority="69" id="{00000000-000E-0000-0200-000045000000}">
            <xm:f>OR(5&gt;Setup!$B$6,$B36&gt;Setup!$B$7)</xm:f>
            <x14:dxf>
              <font>
                <color rgb="FFBFBFBF"/>
              </font>
              <fill>
                <patternFill patternType="solid">
                  <bgColor rgb="FFF2F2F2"/>
                </patternFill>
              </fill>
            </x14:dxf>
          </x14:cfRule>
          <xm:sqref>A36:F43</xm:sqref>
        </x14:conditionalFormatting>
        <x14:conditionalFormatting xmlns:xm="http://schemas.microsoft.com/office/excel/2006/main">
          <x14:cfRule type="expression" priority="85" id="{00000000-000E-0000-0200-000055000000}">
            <xm:f>OR(6&gt;Setup!$B$6,$B44&gt;Setup!$B$7)</xm:f>
            <x14:dxf>
              <font>
                <color rgb="FFBFBFBF"/>
              </font>
              <fill>
                <patternFill patternType="solid">
                  <bgColor rgb="FFF2F2F2"/>
                </patternFill>
              </fill>
            </x14:dxf>
          </x14:cfRule>
          <xm:sqref>A44:F51</xm:sqref>
        </x14:conditionalFormatting>
        <x14:conditionalFormatting xmlns:xm="http://schemas.microsoft.com/office/excel/2006/main">
          <x14:cfRule type="expression" priority="101" id="{00000000-000E-0000-0200-000065000000}">
            <xm:f>OR(7&gt;Setup!$B$6,$B52&gt;Setup!$B$7)</xm:f>
            <x14:dxf>
              <font>
                <color rgb="FFBFBFBF"/>
              </font>
              <fill>
                <patternFill patternType="solid">
                  <bgColor rgb="FFF2F2F2"/>
                </patternFill>
              </fill>
            </x14:dxf>
          </x14:cfRule>
          <xm:sqref>A52:F59</xm:sqref>
        </x14:conditionalFormatting>
        <x14:conditionalFormatting xmlns:xm="http://schemas.microsoft.com/office/excel/2006/main">
          <x14:cfRule type="expression" priority="117" id="{00000000-000E-0000-0200-000075000000}">
            <xm:f>OR(8&gt;Setup!$B$6,$B60&gt;Setup!$B$7)</xm:f>
            <x14:dxf>
              <font>
                <color rgb="FFBFBFBF"/>
              </font>
              <fill>
                <patternFill patternType="solid">
                  <bgColor rgb="FFF2F2F2"/>
                </patternFill>
              </fill>
            </x14:dxf>
          </x14:cfRule>
          <xm:sqref>A60:F67</xm:sqref>
        </x14:conditionalFormatting>
        <x14:conditionalFormatting xmlns:xm="http://schemas.microsoft.com/office/excel/2006/main">
          <x14:cfRule type="expression" priority="6" id="{00000000-000E-0000-0200-000006000000}">
            <xm:f>AND(1&lt;=Setup!$B$6,$B4&lt;=Setup!$B$7)</xm:f>
            <x14:dxf>
              <font>
                <color rgb="FF000000"/>
              </font>
              <fill>
                <patternFill patternType="solid">
                  <bgColor rgb="FFFFF2CC"/>
                </patternFill>
              </fill>
            </x14:dxf>
          </x14:cfRule>
          <xm:sqref>D4:D11</xm:sqref>
        </x14:conditionalFormatting>
        <x14:conditionalFormatting xmlns:xm="http://schemas.microsoft.com/office/excel/2006/main">
          <x14:cfRule type="expression" priority="22" id="{00000000-000E-0000-0200-000016000000}">
            <xm:f>AND(2&lt;=Setup!$B$6,$B12&lt;=Setup!$B$7)</xm:f>
            <x14:dxf>
              <font>
                <color rgb="FF000000"/>
              </font>
              <fill>
                <patternFill patternType="solid">
                  <bgColor rgb="FFFFF2CC"/>
                </patternFill>
              </fill>
            </x14:dxf>
          </x14:cfRule>
          <xm:sqref>D12:D19</xm:sqref>
        </x14:conditionalFormatting>
        <x14:conditionalFormatting xmlns:xm="http://schemas.microsoft.com/office/excel/2006/main">
          <x14:cfRule type="expression" priority="38" id="{00000000-000E-0000-0200-000026000000}">
            <xm:f>AND(3&lt;=Setup!$B$6,$B20&lt;=Setup!$B$7)</xm:f>
            <x14:dxf>
              <font>
                <color rgb="FF000000"/>
              </font>
              <fill>
                <patternFill patternType="solid">
                  <bgColor rgb="FFFFF2CC"/>
                </patternFill>
              </fill>
            </x14:dxf>
          </x14:cfRule>
          <xm:sqref>D20:D27</xm:sqref>
        </x14:conditionalFormatting>
        <x14:conditionalFormatting xmlns:xm="http://schemas.microsoft.com/office/excel/2006/main">
          <x14:cfRule type="expression" priority="54" id="{00000000-000E-0000-0200-000036000000}">
            <xm:f>AND(4&lt;=Setup!$B$6,$B28&lt;=Setup!$B$7)</xm:f>
            <x14:dxf>
              <font>
                <color rgb="FF000000"/>
              </font>
              <fill>
                <patternFill patternType="solid">
                  <bgColor rgb="FFFFF2CC"/>
                </patternFill>
              </fill>
            </x14:dxf>
          </x14:cfRule>
          <xm:sqref>D28:D35</xm:sqref>
        </x14:conditionalFormatting>
        <x14:conditionalFormatting xmlns:xm="http://schemas.microsoft.com/office/excel/2006/main">
          <x14:cfRule type="expression" priority="70" id="{00000000-000E-0000-0200-000046000000}">
            <xm:f>AND(5&lt;=Setup!$B$6,$B36&lt;=Setup!$B$7)</xm:f>
            <x14:dxf>
              <font>
                <color rgb="FF000000"/>
              </font>
              <fill>
                <patternFill patternType="solid">
                  <bgColor rgb="FFFFF2CC"/>
                </patternFill>
              </fill>
            </x14:dxf>
          </x14:cfRule>
          <xm:sqref>D36:D43</xm:sqref>
        </x14:conditionalFormatting>
        <x14:conditionalFormatting xmlns:xm="http://schemas.microsoft.com/office/excel/2006/main">
          <x14:cfRule type="expression" priority="86" id="{00000000-000E-0000-0200-000056000000}">
            <xm:f>AND(6&lt;=Setup!$B$6,$B44&lt;=Setup!$B$7)</xm:f>
            <x14:dxf>
              <font>
                <color rgb="FF000000"/>
              </font>
              <fill>
                <patternFill patternType="solid">
                  <bgColor rgb="FFFFF2CC"/>
                </patternFill>
              </fill>
            </x14:dxf>
          </x14:cfRule>
          <xm:sqref>D44:D51</xm:sqref>
        </x14:conditionalFormatting>
        <x14:conditionalFormatting xmlns:xm="http://schemas.microsoft.com/office/excel/2006/main">
          <x14:cfRule type="expression" priority="102" id="{00000000-000E-0000-0200-000066000000}">
            <xm:f>AND(7&lt;=Setup!$B$6,$B52&lt;=Setup!$B$7)</xm:f>
            <x14:dxf>
              <font>
                <color rgb="FF000000"/>
              </font>
              <fill>
                <patternFill patternType="solid">
                  <bgColor rgb="FFFFF2CC"/>
                </patternFill>
              </fill>
            </x14:dxf>
          </x14:cfRule>
          <xm:sqref>D52:D59</xm:sqref>
        </x14:conditionalFormatting>
        <x14:conditionalFormatting xmlns:xm="http://schemas.microsoft.com/office/excel/2006/main">
          <x14:cfRule type="expression" priority="118" id="{00000000-000E-0000-0200-000076000000}">
            <xm:f>AND(8&lt;=Setup!$B$6,$B60&lt;=Setup!$B$7)</xm:f>
            <x14:dxf>
              <font>
                <color rgb="FF000000"/>
              </font>
              <fill>
                <patternFill patternType="solid">
                  <bgColor rgb="FFFFF2CC"/>
                </patternFill>
              </fill>
            </x14:dxf>
          </x14:cfRule>
          <xm:sqref>D60:D67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30"/>
  <sheetViews>
    <sheetView workbookViewId="0">
      <selection activeCell="F185" sqref="F185"/>
    </sheetView>
  </sheetViews>
  <sheetFormatPr defaultRowHeight="14.25"/>
  <cols>
    <col min="1" max="1" width="8" customWidth="1"/>
    <col min="2" max="2" width="7" customWidth="1"/>
    <col min="3" max="3" width="8" style="3" customWidth="1"/>
    <col min="4" max="4" width="27" style="4" customWidth="1"/>
    <col min="5" max="6" width="9" style="3" customWidth="1"/>
    <col min="7" max="7" width="27" customWidth="1"/>
    <col min="8" max="8" width="12" customWidth="1"/>
    <col min="9" max="9" width="27" customWidth="1"/>
  </cols>
  <sheetData>
    <row r="1" spans="1:9" ht="20.25">
      <c r="A1" s="26" t="s">
        <v>212</v>
      </c>
      <c r="B1" s="27"/>
      <c r="C1" s="23"/>
      <c r="D1" s="96"/>
      <c r="E1" s="23"/>
      <c r="F1" s="23"/>
      <c r="G1" s="27"/>
      <c r="H1" s="27"/>
      <c r="I1" s="27"/>
    </row>
    <row r="2" spans="1:9">
      <c r="A2" s="63" t="s">
        <v>213</v>
      </c>
      <c r="B2" s="36"/>
      <c r="C2" s="95"/>
      <c r="D2" s="97"/>
      <c r="E2" s="95"/>
      <c r="F2" s="95"/>
      <c r="G2" s="36"/>
      <c r="H2" s="36"/>
      <c r="I2" s="36"/>
    </row>
    <row r="3" spans="1:9">
      <c r="A3" s="33"/>
      <c r="B3" s="33"/>
      <c r="C3" s="45"/>
      <c r="D3" s="81"/>
      <c r="E3" s="45"/>
      <c r="F3" s="45"/>
      <c r="G3" s="33"/>
      <c r="H3" s="33"/>
      <c r="I3" s="33"/>
    </row>
    <row r="4" spans="1:9">
      <c r="A4" s="70" t="s">
        <v>214</v>
      </c>
      <c r="B4" s="70" t="s">
        <v>78</v>
      </c>
      <c r="C4" s="70" t="s">
        <v>215</v>
      </c>
      <c r="D4" s="98" t="s">
        <v>216</v>
      </c>
      <c r="E4" s="70" t="s">
        <v>217</v>
      </c>
      <c r="F4" s="70" t="s">
        <v>218</v>
      </c>
      <c r="G4" s="70" t="s">
        <v>219</v>
      </c>
      <c r="H4" s="70" t="s">
        <v>220</v>
      </c>
      <c r="I4" s="70" t="s">
        <v>221</v>
      </c>
    </row>
    <row r="5" spans="1:9">
      <c r="A5" s="33">
        <f>IF(INT(0/Setup!$B$16)+1&lt;=Setup!$B$6,INDEX(Scores!$A$4:$A$227,(INT(0/Setup!$B$16)+1-1)*28+MOD(0,Setup!$B$16)+1),"")</f>
        <v>1</v>
      </c>
      <c r="B5" s="33" t="str">
        <f>IF(INT(0/Setup!$B$16)+1&lt;=Setup!$B$6,INDEX(Setup!$B$22:$B$29,INT(0/Setup!$B$16)+1),"")</f>
        <v>A</v>
      </c>
      <c r="C5" s="45">
        <f>IF(INT(0/Setup!$B$16)+1&lt;=Setup!$B$6,INDEX(Scores!$D$4:$D$227,(INT(0/Setup!$B$16)+1-1)*28+MOD(0,Setup!$B$16)+1),"")</f>
        <v>1</v>
      </c>
      <c r="D5" s="106">
        <f>IF(INT(0/Setup!$B$16)+1&lt;=Setup!$B$6,INDEX(Scores!$E$4:$E$227,(INT(0/Setup!$B$16)+1-1)*28+MOD(0,Setup!$B$16)+1),"")</f>
        <v>0</v>
      </c>
      <c r="E5" s="107"/>
      <c r="F5" s="107"/>
      <c r="G5" s="108">
        <f>IF(INT(0/Setup!$B$16)+1&lt;=Setup!$B$6,INDEX(Scores!$G$4:$G$227,(INT(0/Setup!$B$16)+1-1)*28+MOD(0,Setup!$B$16)+1),"")</f>
        <v>0</v>
      </c>
      <c r="H5" s="33" t="str">
        <f>IF(A5="","",IF(INDEX(Scores!$I$4:$I$227,(INT(0/Setup!$B$16)+1-1)*28+MOD(0,Setup!$B$16)+1)=1,"Complete","Waiting"))</f>
        <v>Complete</v>
      </c>
      <c r="I5" s="33" t="str">
        <f t="shared" ref="I5:I68" si="0">IF(H5&lt;&gt;"Complete","",IF(E5&gt;F5,D5,IF(F5&gt;E5,G5,"Draw")))</f>
        <v>Draw</v>
      </c>
    </row>
    <row r="6" spans="1:9">
      <c r="A6" s="33">
        <f>IF(INT(1/Setup!$B$16)+1&lt;=Setup!$B$6,INDEX(Scores!$A$4:$A$227,(INT(1/Setup!$B$16)+1-1)*28+MOD(1,Setup!$B$16)+1),"")</f>
        <v>2</v>
      </c>
      <c r="B6" s="33" t="str">
        <f>IF(INT(1/Setup!$B$16)+1&lt;=Setup!$B$6,INDEX(Setup!$B$22:$B$29,INT(1/Setup!$B$16)+1),"")</f>
        <v>A</v>
      </c>
      <c r="C6" s="45">
        <f>IF(INT(1/Setup!$B$16)+1&lt;=Setup!$B$6,INDEX(Scores!$D$4:$D$227,(INT(1/Setup!$B$16)+1-1)*28+MOD(1,Setup!$B$16)+1),"")</f>
        <v>1</v>
      </c>
      <c r="D6" s="106">
        <f>IF(INT(1/Setup!$B$16)+1&lt;=Setup!$B$6,INDEX(Scores!$E$4:$E$227,(INT(1/Setup!$B$16)+1-1)*28+MOD(1,Setup!$B$16)+1),"")</f>
        <v>0</v>
      </c>
      <c r="E6" s="107"/>
      <c r="F6" s="107"/>
      <c r="G6" s="108">
        <f>IF(INT(1/Setup!$B$16)+1&lt;=Setup!$B$6,INDEX(Scores!$G$4:$G$227,(INT(1/Setup!$B$16)+1-1)*28+MOD(1,Setup!$B$16)+1),"")</f>
        <v>0</v>
      </c>
      <c r="H6" s="33" t="str">
        <f>IF(A6="","",IF(INDEX(Scores!$I$4:$I$227,(INT(1/Setup!$B$16)+1-1)*28+MOD(1,Setup!$B$16)+1)=1,"Complete","Waiting"))</f>
        <v>Complete</v>
      </c>
      <c r="I6" s="33" t="str">
        <f t="shared" si="0"/>
        <v>Draw</v>
      </c>
    </row>
    <row r="7" spans="1:9">
      <c r="A7" s="33">
        <f>IF(INT(2/Setup!$B$16)+1&lt;=Setup!$B$6,INDEX(Scores!$A$4:$A$227,(INT(2/Setup!$B$16)+1-1)*28+MOD(2,Setup!$B$16)+1),"")</f>
        <v>3</v>
      </c>
      <c r="B7" s="33" t="str">
        <f>IF(INT(2/Setup!$B$16)+1&lt;=Setup!$B$6,INDEX(Setup!$B$22:$B$29,INT(2/Setup!$B$16)+1),"")</f>
        <v>A</v>
      </c>
      <c r="C7" s="45">
        <f>IF(INT(2/Setup!$B$16)+1&lt;=Setup!$B$6,INDEX(Scores!$D$4:$D$227,(INT(2/Setup!$B$16)+1-1)*28+MOD(2,Setup!$B$16)+1),"")</f>
        <v>1</v>
      </c>
      <c r="D7" s="106">
        <f>IF(INT(2/Setup!$B$16)+1&lt;=Setup!$B$6,INDEX(Scores!$E$4:$E$227,(INT(2/Setup!$B$16)+1-1)*28+MOD(2,Setup!$B$16)+1),"")</f>
        <v>0</v>
      </c>
      <c r="E7" s="107"/>
      <c r="F7" s="107"/>
      <c r="G7" s="108">
        <f>IF(INT(2/Setup!$B$16)+1&lt;=Setup!$B$6,INDEX(Scores!$G$4:$G$227,(INT(2/Setup!$B$16)+1-1)*28+MOD(2,Setup!$B$16)+1),"")</f>
        <v>0</v>
      </c>
      <c r="H7" s="33" t="str">
        <f>IF(A7="","",IF(INDEX(Scores!$I$4:$I$227,(INT(2/Setup!$B$16)+1-1)*28+MOD(2,Setup!$B$16)+1)=1,"Complete","Waiting"))</f>
        <v>Complete</v>
      </c>
      <c r="I7" s="33" t="str">
        <f t="shared" si="0"/>
        <v>Draw</v>
      </c>
    </row>
    <row r="8" spans="1:9">
      <c r="A8" s="33">
        <f>IF(INT(3/Setup!$B$16)+1&lt;=Setup!$B$6,INDEX(Scores!$A$4:$A$227,(INT(3/Setup!$B$16)+1-1)*28+MOD(3,Setup!$B$16)+1),"")</f>
        <v>4</v>
      </c>
      <c r="B8" s="33" t="str">
        <f>IF(INT(3/Setup!$B$16)+1&lt;=Setup!$B$6,INDEX(Setup!$B$22:$B$29,INT(3/Setup!$B$16)+1),"")</f>
        <v>A</v>
      </c>
      <c r="C8" s="45">
        <f>IF(INT(3/Setup!$B$16)+1&lt;=Setup!$B$6,INDEX(Scores!$D$4:$D$227,(INT(3/Setup!$B$16)+1-1)*28+MOD(3,Setup!$B$16)+1),"")</f>
        <v>1</v>
      </c>
      <c r="D8" s="106">
        <f>IF(INT(3/Setup!$B$16)+1&lt;=Setup!$B$6,INDEX(Scores!$E$4:$E$227,(INT(3/Setup!$B$16)+1-1)*28+MOD(3,Setup!$B$16)+1),"")</f>
        <v>0</v>
      </c>
      <c r="E8" s="107"/>
      <c r="F8" s="107"/>
      <c r="G8" s="108">
        <f>IF(INT(3/Setup!$B$16)+1&lt;=Setup!$B$6,INDEX(Scores!$G$4:$G$227,(INT(3/Setup!$B$16)+1-1)*28+MOD(3,Setup!$B$16)+1),"")</f>
        <v>0</v>
      </c>
      <c r="H8" s="33" t="str">
        <f>IF(A8="","",IF(INDEX(Scores!$I$4:$I$227,(INT(3/Setup!$B$16)+1-1)*28+MOD(3,Setup!$B$16)+1)=1,"Complete","Waiting"))</f>
        <v>Complete</v>
      </c>
      <c r="I8" s="33" t="str">
        <f t="shared" si="0"/>
        <v>Draw</v>
      </c>
    </row>
    <row r="9" spans="1:9">
      <c r="A9" s="33">
        <f>IF(INT(4/Setup!$B$16)+1&lt;=Setup!$B$6,INDEX(Scores!$A$4:$A$227,(INT(4/Setup!$B$16)+1-1)*28+MOD(4,Setup!$B$16)+1),"")</f>
        <v>5</v>
      </c>
      <c r="B9" s="33" t="str">
        <f>IF(INT(4/Setup!$B$16)+1&lt;=Setup!$B$6,INDEX(Setup!$B$22:$B$29,INT(4/Setup!$B$16)+1),"")</f>
        <v>A</v>
      </c>
      <c r="C9" s="45">
        <f>IF(INT(4/Setup!$B$16)+1&lt;=Setup!$B$6,INDEX(Scores!$D$4:$D$227,(INT(4/Setup!$B$16)+1-1)*28+MOD(4,Setup!$B$16)+1),"")</f>
        <v>2</v>
      </c>
      <c r="D9" s="106">
        <f>IF(INT(4/Setup!$B$16)+1&lt;=Setup!$B$6,INDEX(Scores!$E$4:$E$227,(INT(4/Setup!$B$16)+1-1)*28+MOD(4,Setup!$B$16)+1),"")</f>
        <v>0</v>
      </c>
      <c r="E9" s="107"/>
      <c r="F9" s="107"/>
      <c r="G9" s="108">
        <f>IF(INT(4/Setup!$B$16)+1&lt;=Setup!$B$6,INDEX(Scores!$G$4:$G$227,(INT(4/Setup!$B$16)+1-1)*28+MOD(4,Setup!$B$16)+1),"")</f>
        <v>0</v>
      </c>
      <c r="H9" s="33" t="str">
        <f>IF(A9="","",IF(INDEX(Scores!$I$4:$I$227,(INT(4/Setup!$B$16)+1-1)*28+MOD(4,Setup!$B$16)+1)=1,"Complete","Waiting"))</f>
        <v>Complete</v>
      </c>
      <c r="I9" s="33" t="str">
        <f t="shared" si="0"/>
        <v>Draw</v>
      </c>
    </row>
    <row r="10" spans="1:9">
      <c r="A10" s="33">
        <f>IF(INT(5/Setup!$B$16)+1&lt;=Setup!$B$6,INDEX(Scores!$A$4:$A$227,(INT(5/Setup!$B$16)+1-1)*28+MOD(5,Setup!$B$16)+1),"")</f>
        <v>6</v>
      </c>
      <c r="B10" s="33" t="str">
        <f>IF(INT(5/Setup!$B$16)+1&lt;=Setup!$B$6,INDEX(Setup!$B$22:$B$29,INT(5/Setup!$B$16)+1),"")</f>
        <v>A</v>
      </c>
      <c r="C10" s="45">
        <f>IF(INT(5/Setup!$B$16)+1&lt;=Setup!$B$6,INDEX(Scores!$D$4:$D$227,(INT(5/Setup!$B$16)+1-1)*28+MOD(5,Setup!$B$16)+1),"")</f>
        <v>2</v>
      </c>
      <c r="D10" s="106">
        <f>IF(INT(5/Setup!$B$16)+1&lt;=Setup!$B$6,INDEX(Scores!$E$4:$E$227,(INT(5/Setup!$B$16)+1-1)*28+MOD(5,Setup!$B$16)+1),"")</f>
        <v>0</v>
      </c>
      <c r="E10" s="107"/>
      <c r="F10" s="107"/>
      <c r="G10" s="108">
        <f>IF(INT(5/Setup!$B$16)+1&lt;=Setup!$B$6,INDEX(Scores!$G$4:$G$227,(INT(5/Setup!$B$16)+1-1)*28+MOD(5,Setup!$B$16)+1),"")</f>
        <v>0</v>
      </c>
      <c r="H10" s="33" t="str">
        <f>IF(A10="","",IF(INDEX(Scores!$I$4:$I$227,(INT(5/Setup!$B$16)+1-1)*28+MOD(5,Setup!$B$16)+1)=1,"Complete","Waiting"))</f>
        <v>Complete</v>
      </c>
      <c r="I10" s="33" t="str">
        <f t="shared" si="0"/>
        <v>Draw</v>
      </c>
    </row>
    <row r="11" spans="1:9">
      <c r="A11" s="33">
        <f>IF(INT(6/Setup!$B$16)+1&lt;=Setup!$B$6,INDEX(Scores!$A$4:$A$227,(INT(6/Setup!$B$16)+1-1)*28+MOD(6,Setup!$B$16)+1),"")</f>
        <v>7</v>
      </c>
      <c r="B11" s="33" t="str">
        <f>IF(INT(6/Setup!$B$16)+1&lt;=Setup!$B$6,INDEX(Setup!$B$22:$B$29,INT(6/Setup!$B$16)+1),"")</f>
        <v>A</v>
      </c>
      <c r="C11" s="45">
        <f>IF(INT(6/Setup!$B$16)+1&lt;=Setup!$B$6,INDEX(Scores!$D$4:$D$227,(INT(6/Setup!$B$16)+1-1)*28+MOD(6,Setup!$B$16)+1),"")</f>
        <v>2</v>
      </c>
      <c r="D11" s="106">
        <f>IF(INT(6/Setup!$B$16)+1&lt;=Setup!$B$6,INDEX(Scores!$E$4:$E$227,(INT(6/Setup!$B$16)+1-1)*28+MOD(6,Setup!$B$16)+1),"")</f>
        <v>0</v>
      </c>
      <c r="E11" s="107"/>
      <c r="F11" s="107"/>
      <c r="G11" s="108">
        <f>IF(INT(6/Setup!$B$16)+1&lt;=Setup!$B$6,INDEX(Scores!$G$4:$G$227,(INT(6/Setup!$B$16)+1-1)*28+MOD(6,Setup!$B$16)+1),"")</f>
        <v>0</v>
      </c>
      <c r="H11" s="33" t="str">
        <f>IF(A11="","",IF(INDEX(Scores!$I$4:$I$227,(INT(6/Setup!$B$16)+1-1)*28+MOD(6,Setup!$B$16)+1)=1,"Complete","Waiting"))</f>
        <v>Complete</v>
      </c>
      <c r="I11" s="33" t="str">
        <f t="shared" si="0"/>
        <v>Draw</v>
      </c>
    </row>
    <row r="12" spans="1:9">
      <c r="A12" s="33">
        <f>IF(INT(7/Setup!$B$16)+1&lt;=Setup!$B$6,INDEX(Scores!$A$4:$A$227,(INT(7/Setup!$B$16)+1-1)*28+MOD(7,Setup!$B$16)+1),"")</f>
        <v>8</v>
      </c>
      <c r="B12" s="33" t="str">
        <f>IF(INT(7/Setup!$B$16)+1&lt;=Setup!$B$6,INDEX(Setup!$B$22:$B$29,INT(7/Setup!$B$16)+1),"")</f>
        <v>A</v>
      </c>
      <c r="C12" s="45">
        <f>IF(INT(7/Setup!$B$16)+1&lt;=Setup!$B$6,INDEX(Scores!$D$4:$D$227,(INT(7/Setup!$B$16)+1-1)*28+MOD(7,Setup!$B$16)+1),"")</f>
        <v>2</v>
      </c>
      <c r="D12" s="106">
        <f>IF(INT(7/Setup!$B$16)+1&lt;=Setup!$B$6,INDEX(Scores!$E$4:$E$227,(INT(7/Setup!$B$16)+1-1)*28+MOD(7,Setup!$B$16)+1),"")</f>
        <v>0</v>
      </c>
      <c r="E12" s="107"/>
      <c r="F12" s="107"/>
      <c r="G12" s="108">
        <f>IF(INT(7/Setup!$B$16)+1&lt;=Setup!$B$6,INDEX(Scores!$G$4:$G$227,(INT(7/Setup!$B$16)+1-1)*28+MOD(7,Setup!$B$16)+1),"")</f>
        <v>0</v>
      </c>
      <c r="H12" s="33" t="str">
        <f>IF(A12="","",IF(INDEX(Scores!$I$4:$I$227,(INT(7/Setup!$B$16)+1-1)*28+MOD(7,Setup!$B$16)+1)=1,"Complete","Waiting"))</f>
        <v>Complete</v>
      </c>
      <c r="I12" s="33" t="str">
        <f t="shared" si="0"/>
        <v>Draw</v>
      </c>
    </row>
    <row r="13" spans="1:9">
      <c r="A13" s="33">
        <f>IF(INT(8/Setup!$B$16)+1&lt;=Setup!$B$6,INDEX(Scores!$A$4:$A$227,(INT(8/Setup!$B$16)+1-1)*28+MOD(8,Setup!$B$16)+1),"")</f>
        <v>9</v>
      </c>
      <c r="B13" s="33" t="str">
        <f>IF(INT(8/Setup!$B$16)+1&lt;=Setup!$B$6,INDEX(Setup!$B$22:$B$29,INT(8/Setup!$B$16)+1),"")</f>
        <v>A</v>
      </c>
      <c r="C13" s="45">
        <f>IF(INT(8/Setup!$B$16)+1&lt;=Setup!$B$6,INDEX(Scores!$D$4:$D$227,(INT(8/Setup!$B$16)+1-1)*28+MOD(8,Setup!$B$16)+1),"")</f>
        <v>3</v>
      </c>
      <c r="D13" s="106">
        <f>IF(INT(8/Setup!$B$16)+1&lt;=Setup!$B$6,INDEX(Scores!$E$4:$E$227,(INT(8/Setup!$B$16)+1-1)*28+MOD(8,Setup!$B$16)+1),"")</f>
        <v>0</v>
      </c>
      <c r="E13" s="107"/>
      <c r="F13" s="107"/>
      <c r="G13" s="108">
        <f>IF(INT(8/Setup!$B$16)+1&lt;=Setup!$B$6,INDEX(Scores!$G$4:$G$227,(INT(8/Setup!$B$16)+1-1)*28+MOD(8,Setup!$B$16)+1),"")</f>
        <v>0</v>
      </c>
      <c r="H13" s="33" t="str">
        <f>IF(A13="","",IF(INDEX(Scores!$I$4:$I$227,(INT(8/Setup!$B$16)+1-1)*28+MOD(8,Setup!$B$16)+1)=1,"Complete","Waiting"))</f>
        <v>Complete</v>
      </c>
      <c r="I13" s="33" t="str">
        <f t="shared" si="0"/>
        <v>Draw</v>
      </c>
    </row>
    <row r="14" spans="1:9">
      <c r="A14" s="33">
        <f>IF(INT(9/Setup!$B$16)+1&lt;=Setup!$B$6,INDEX(Scores!$A$4:$A$227,(INT(9/Setup!$B$16)+1-1)*28+MOD(9,Setup!$B$16)+1),"")</f>
        <v>10</v>
      </c>
      <c r="B14" s="33" t="str">
        <f>IF(INT(9/Setup!$B$16)+1&lt;=Setup!$B$6,INDEX(Setup!$B$22:$B$29,INT(9/Setup!$B$16)+1),"")</f>
        <v>A</v>
      </c>
      <c r="C14" s="45">
        <f>IF(INT(9/Setup!$B$16)+1&lt;=Setup!$B$6,INDEX(Scores!$D$4:$D$227,(INT(9/Setup!$B$16)+1-1)*28+MOD(9,Setup!$B$16)+1),"")</f>
        <v>3</v>
      </c>
      <c r="D14" s="106">
        <f>IF(INT(9/Setup!$B$16)+1&lt;=Setup!$B$6,INDEX(Scores!$E$4:$E$227,(INT(9/Setup!$B$16)+1-1)*28+MOD(9,Setup!$B$16)+1),"")</f>
        <v>0</v>
      </c>
      <c r="E14" s="107"/>
      <c r="F14" s="107"/>
      <c r="G14" s="108">
        <f>IF(INT(9/Setup!$B$16)+1&lt;=Setup!$B$6,INDEX(Scores!$G$4:$G$227,(INT(9/Setup!$B$16)+1-1)*28+MOD(9,Setup!$B$16)+1),"")</f>
        <v>0</v>
      </c>
      <c r="H14" s="33" t="str">
        <f>IF(A14="","",IF(INDEX(Scores!$I$4:$I$227,(INT(9/Setup!$B$16)+1-1)*28+MOD(9,Setup!$B$16)+1)=1,"Complete","Waiting"))</f>
        <v>Complete</v>
      </c>
      <c r="I14" s="33" t="str">
        <f t="shared" si="0"/>
        <v>Draw</v>
      </c>
    </row>
    <row r="15" spans="1:9">
      <c r="A15" s="33">
        <f>IF(INT(10/Setup!$B$16)+1&lt;=Setup!$B$6,INDEX(Scores!$A$4:$A$227,(INT(10/Setup!$B$16)+1-1)*28+MOD(10,Setup!$B$16)+1),"")</f>
        <v>11</v>
      </c>
      <c r="B15" s="33" t="str">
        <f>IF(INT(10/Setup!$B$16)+1&lt;=Setup!$B$6,INDEX(Setup!$B$22:$B$29,INT(10/Setup!$B$16)+1),"")</f>
        <v>A</v>
      </c>
      <c r="C15" s="45">
        <f>IF(INT(10/Setup!$B$16)+1&lt;=Setup!$B$6,INDEX(Scores!$D$4:$D$227,(INT(10/Setup!$B$16)+1-1)*28+MOD(10,Setup!$B$16)+1),"")</f>
        <v>3</v>
      </c>
      <c r="D15" s="106">
        <f>IF(INT(10/Setup!$B$16)+1&lt;=Setup!$B$6,INDEX(Scores!$E$4:$E$227,(INT(10/Setup!$B$16)+1-1)*28+MOD(10,Setup!$B$16)+1),"")</f>
        <v>0</v>
      </c>
      <c r="E15" s="107"/>
      <c r="F15" s="107"/>
      <c r="G15" s="108">
        <f>IF(INT(10/Setup!$B$16)+1&lt;=Setup!$B$6,INDEX(Scores!$G$4:$G$227,(INT(10/Setup!$B$16)+1-1)*28+MOD(10,Setup!$B$16)+1),"")</f>
        <v>0</v>
      </c>
      <c r="H15" s="33" t="str">
        <f>IF(A15="","",IF(INDEX(Scores!$I$4:$I$227,(INT(10/Setup!$B$16)+1-1)*28+MOD(10,Setup!$B$16)+1)=1,"Complete","Waiting"))</f>
        <v>Complete</v>
      </c>
      <c r="I15" s="33" t="str">
        <f t="shared" si="0"/>
        <v>Draw</v>
      </c>
    </row>
    <row r="16" spans="1:9">
      <c r="A16" s="33">
        <f>IF(INT(11/Setup!$B$16)+1&lt;=Setup!$B$6,INDEX(Scores!$A$4:$A$227,(INT(11/Setup!$B$16)+1-1)*28+MOD(11,Setup!$B$16)+1),"")</f>
        <v>12</v>
      </c>
      <c r="B16" s="33" t="str">
        <f>IF(INT(11/Setup!$B$16)+1&lt;=Setup!$B$6,INDEX(Setup!$B$22:$B$29,INT(11/Setup!$B$16)+1),"")</f>
        <v>A</v>
      </c>
      <c r="C16" s="45">
        <f>IF(INT(11/Setup!$B$16)+1&lt;=Setup!$B$6,INDEX(Scores!$D$4:$D$227,(INT(11/Setup!$B$16)+1-1)*28+MOD(11,Setup!$B$16)+1),"")</f>
        <v>3</v>
      </c>
      <c r="D16" s="106">
        <f>IF(INT(11/Setup!$B$16)+1&lt;=Setup!$B$6,INDEX(Scores!$E$4:$E$227,(INT(11/Setup!$B$16)+1-1)*28+MOD(11,Setup!$B$16)+1),"")</f>
        <v>0</v>
      </c>
      <c r="E16" s="107"/>
      <c r="F16" s="107"/>
      <c r="G16" s="108">
        <f>IF(INT(11/Setup!$B$16)+1&lt;=Setup!$B$6,INDEX(Scores!$G$4:$G$227,(INT(11/Setup!$B$16)+1-1)*28+MOD(11,Setup!$B$16)+1),"")</f>
        <v>0</v>
      </c>
      <c r="H16" s="33" t="str">
        <f>IF(A16="","",IF(INDEX(Scores!$I$4:$I$227,(INT(11/Setup!$B$16)+1-1)*28+MOD(11,Setup!$B$16)+1)=1,"Complete","Waiting"))</f>
        <v>Complete</v>
      </c>
      <c r="I16" s="33" t="str">
        <f t="shared" si="0"/>
        <v>Draw</v>
      </c>
    </row>
    <row r="17" spans="1:9">
      <c r="A17" s="33">
        <f>IF(INT(12/Setup!$B$16)+1&lt;=Setup!$B$6,INDEX(Scores!$A$4:$A$227,(INT(12/Setup!$B$16)+1-1)*28+MOD(12,Setup!$B$16)+1),"")</f>
        <v>13</v>
      </c>
      <c r="B17" s="33" t="str">
        <f>IF(INT(12/Setup!$B$16)+1&lt;=Setup!$B$6,INDEX(Setup!$B$22:$B$29,INT(12/Setup!$B$16)+1),"")</f>
        <v>A</v>
      </c>
      <c r="C17" s="45">
        <f>IF(INT(12/Setup!$B$16)+1&lt;=Setup!$B$6,INDEX(Scores!$D$4:$D$227,(INT(12/Setup!$B$16)+1-1)*28+MOD(12,Setup!$B$16)+1),"")</f>
        <v>4</v>
      </c>
      <c r="D17" s="106">
        <f>IF(INT(12/Setup!$B$16)+1&lt;=Setup!$B$6,INDEX(Scores!$E$4:$E$227,(INT(12/Setup!$B$16)+1-1)*28+MOD(12,Setup!$B$16)+1),"")</f>
        <v>0</v>
      </c>
      <c r="E17" s="107"/>
      <c r="F17" s="107"/>
      <c r="G17" s="108">
        <f>IF(INT(12/Setup!$B$16)+1&lt;=Setup!$B$6,INDEX(Scores!$G$4:$G$227,(INT(12/Setup!$B$16)+1-1)*28+MOD(12,Setup!$B$16)+1),"")</f>
        <v>0</v>
      </c>
      <c r="H17" s="33" t="str">
        <f>IF(A17="","",IF(INDEX(Scores!$I$4:$I$227,(INT(12/Setup!$B$16)+1-1)*28+MOD(12,Setup!$B$16)+1)=1,"Complete","Waiting"))</f>
        <v>Complete</v>
      </c>
      <c r="I17" s="33" t="str">
        <f t="shared" si="0"/>
        <v>Draw</v>
      </c>
    </row>
    <row r="18" spans="1:9">
      <c r="A18" s="33">
        <f>IF(INT(13/Setup!$B$16)+1&lt;=Setup!$B$6,INDEX(Scores!$A$4:$A$227,(INT(13/Setup!$B$16)+1-1)*28+MOD(13,Setup!$B$16)+1),"")</f>
        <v>14</v>
      </c>
      <c r="B18" s="33" t="str">
        <f>IF(INT(13/Setup!$B$16)+1&lt;=Setup!$B$6,INDEX(Setup!$B$22:$B$29,INT(13/Setup!$B$16)+1),"")</f>
        <v>A</v>
      </c>
      <c r="C18" s="45">
        <f>IF(INT(13/Setup!$B$16)+1&lt;=Setup!$B$6,INDEX(Scores!$D$4:$D$227,(INT(13/Setup!$B$16)+1-1)*28+MOD(13,Setup!$B$16)+1),"")</f>
        <v>4</v>
      </c>
      <c r="D18" s="106">
        <f>IF(INT(13/Setup!$B$16)+1&lt;=Setup!$B$6,INDEX(Scores!$E$4:$E$227,(INT(13/Setup!$B$16)+1-1)*28+MOD(13,Setup!$B$16)+1),"")</f>
        <v>0</v>
      </c>
      <c r="E18" s="107"/>
      <c r="F18" s="107"/>
      <c r="G18" s="108">
        <f>IF(INT(13/Setup!$B$16)+1&lt;=Setup!$B$6,INDEX(Scores!$G$4:$G$227,(INT(13/Setup!$B$16)+1-1)*28+MOD(13,Setup!$B$16)+1),"")</f>
        <v>0</v>
      </c>
      <c r="H18" s="33" t="str">
        <f>IF(A18="","",IF(INDEX(Scores!$I$4:$I$227,(INT(13/Setup!$B$16)+1-1)*28+MOD(13,Setup!$B$16)+1)=1,"Complete","Waiting"))</f>
        <v>Complete</v>
      </c>
      <c r="I18" s="33" t="str">
        <f t="shared" si="0"/>
        <v>Draw</v>
      </c>
    </row>
    <row r="19" spans="1:9">
      <c r="A19" s="33">
        <f>IF(INT(14/Setup!$B$16)+1&lt;=Setup!$B$6,INDEX(Scores!$A$4:$A$227,(INT(14/Setup!$B$16)+1-1)*28+MOD(14,Setup!$B$16)+1),"")</f>
        <v>15</v>
      </c>
      <c r="B19" s="33" t="str">
        <f>IF(INT(14/Setup!$B$16)+1&lt;=Setup!$B$6,INDEX(Setup!$B$22:$B$29,INT(14/Setup!$B$16)+1),"")</f>
        <v>A</v>
      </c>
      <c r="C19" s="45">
        <f>IF(INT(14/Setup!$B$16)+1&lt;=Setup!$B$6,INDEX(Scores!$D$4:$D$227,(INT(14/Setup!$B$16)+1-1)*28+MOD(14,Setup!$B$16)+1),"")</f>
        <v>4</v>
      </c>
      <c r="D19" s="106">
        <f>IF(INT(14/Setup!$B$16)+1&lt;=Setup!$B$6,INDEX(Scores!$E$4:$E$227,(INT(14/Setup!$B$16)+1-1)*28+MOD(14,Setup!$B$16)+1),"")</f>
        <v>0</v>
      </c>
      <c r="E19" s="107"/>
      <c r="F19" s="107"/>
      <c r="G19" s="108">
        <f>IF(INT(14/Setup!$B$16)+1&lt;=Setup!$B$6,INDEX(Scores!$G$4:$G$227,(INT(14/Setup!$B$16)+1-1)*28+MOD(14,Setup!$B$16)+1),"")</f>
        <v>0</v>
      </c>
      <c r="H19" s="33" t="str">
        <f>IF(A19="","",IF(INDEX(Scores!$I$4:$I$227,(INT(14/Setup!$B$16)+1-1)*28+MOD(14,Setup!$B$16)+1)=1,"Complete","Waiting"))</f>
        <v>Complete</v>
      </c>
      <c r="I19" s="33" t="str">
        <f t="shared" si="0"/>
        <v>Draw</v>
      </c>
    </row>
    <row r="20" spans="1:9">
      <c r="A20" s="33">
        <f>IF(INT(15/Setup!$B$16)+1&lt;=Setup!$B$6,INDEX(Scores!$A$4:$A$227,(INT(15/Setup!$B$16)+1-1)*28+MOD(15,Setup!$B$16)+1),"")</f>
        <v>16</v>
      </c>
      <c r="B20" s="33" t="str">
        <f>IF(INT(15/Setup!$B$16)+1&lt;=Setup!$B$6,INDEX(Setup!$B$22:$B$29,INT(15/Setup!$B$16)+1),"")</f>
        <v>A</v>
      </c>
      <c r="C20" s="45">
        <f>IF(INT(15/Setup!$B$16)+1&lt;=Setup!$B$6,INDEX(Scores!$D$4:$D$227,(INT(15/Setup!$B$16)+1-1)*28+MOD(15,Setup!$B$16)+1),"")</f>
        <v>4</v>
      </c>
      <c r="D20" s="106">
        <f>IF(INT(15/Setup!$B$16)+1&lt;=Setup!$B$6,INDEX(Scores!$E$4:$E$227,(INT(15/Setup!$B$16)+1-1)*28+MOD(15,Setup!$B$16)+1),"")</f>
        <v>0</v>
      </c>
      <c r="E20" s="107"/>
      <c r="F20" s="107"/>
      <c r="G20" s="108">
        <f>IF(INT(15/Setup!$B$16)+1&lt;=Setup!$B$6,INDEX(Scores!$G$4:$G$227,(INT(15/Setup!$B$16)+1-1)*28+MOD(15,Setup!$B$16)+1),"")</f>
        <v>0</v>
      </c>
      <c r="H20" s="33" t="str">
        <f>IF(A20="","",IF(INDEX(Scores!$I$4:$I$227,(INT(15/Setup!$B$16)+1-1)*28+MOD(15,Setup!$B$16)+1)=1,"Complete","Waiting"))</f>
        <v>Complete</v>
      </c>
      <c r="I20" s="33" t="str">
        <f t="shared" si="0"/>
        <v>Draw</v>
      </c>
    </row>
    <row r="21" spans="1:9">
      <c r="A21" s="33">
        <f>IF(INT(16/Setup!$B$16)+1&lt;=Setup!$B$6,INDEX(Scores!$A$4:$A$227,(INT(16/Setup!$B$16)+1-1)*28+MOD(16,Setup!$B$16)+1),"")</f>
        <v>17</v>
      </c>
      <c r="B21" s="33" t="str">
        <f>IF(INT(16/Setup!$B$16)+1&lt;=Setup!$B$6,INDEX(Setup!$B$22:$B$29,INT(16/Setup!$B$16)+1),"")</f>
        <v>A</v>
      </c>
      <c r="C21" s="45">
        <f>IF(INT(16/Setup!$B$16)+1&lt;=Setup!$B$6,INDEX(Scores!$D$4:$D$227,(INT(16/Setup!$B$16)+1-1)*28+MOD(16,Setup!$B$16)+1),"")</f>
        <v>5</v>
      </c>
      <c r="D21" s="106">
        <f>IF(INT(16/Setup!$B$16)+1&lt;=Setup!$B$6,INDEX(Scores!$E$4:$E$227,(INT(16/Setup!$B$16)+1-1)*28+MOD(16,Setup!$B$16)+1),"")</f>
        <v>0</v>
      </c>
      <c r="E21" s="107"/>
      <c r="F21" s="107"/>
      <c r="G21" s="108">
        <f>IF(INT(16/Setup!$B$16)+1&lt;=Setup!$B$6,INDEX(Scores!$G$4:$G$227,(INT(16/Setup!$B$16)+1-1)*28+MOD(16,Setup!$B$16)+1),"")</f>
        <v>0</v>
      </c>
      <c r="H21" s="33" t="str">
        <f>IF(A21="","",IF(INDEX(Scores!$I$4:$I$227,(INT(16/Setup!$B$16)+1-1)*28+MOD(16,Setup!$B$16)+1)=1,"Complete","Waiting"))</f>
        <v>Complete</v>
      </c>
      <c r="I21" s="33" t="str">
        <f t="shared" si="0"/>
        <v>Draw</v>
      </c>
    </row>
    <row r="22" spans="1:9">
      <c r="A22" s="33">
        <f>IF(INT(17/Setup!$B$16)+1&lt;=Setup!$B$6,INDEX(Scores!$A$4:$A$227,(INT(17/Setup!$B$16)+1-1)*28+MOD(17,Setup!$B$16)+1),"")</f>
        <v>18</v>
      </c>
      <c r="B22" s="33" t="str">
        <f>IF(INT(17/Setup!$B$16)+1&lt;=Setup!$B$6,INDEX(Setup!$B$22:$B$29,INT(17/Setup!$B$16)+1),"")</f>
        <v>A</v>
      </c>
      <c r="C22" s="45">
        <f>IF(INT(17/Setup!$B$16)+1&lt;=Setup!$B$6,INDEX(Scores!$D$4:$D$227,(INT(17/Setup!$B$16)+1-1)*28+MOD(17,Setup!$B$16)+1),"")</f>
        <v>5</v>
      </c>
      <c r="D22" s="106">
        <f>IF(INT(17/Setup!$B$16)+1&lt;=Setup!$B$6,INDEX(Scores!$E$4:$E$227,(INT(17/Setup!$B$16)+1-1)*28+MOD(17,Setup!$B$16)+1),"")</f>
        <v>0</v>
      </c>
      <c r="E22" s="107"/>
      <c r="F22" s="107"/>
      <c r="G22" s="108">
        <f>IF(INT(17/Setup!$B$16)+1&lt;=Setup!$B$6,INDEX(Scores!$G$4:$G$227,(INT(17/Setup!$B$16)+1-1)*28+MOD(17,Setup!$B$16)+1),"")</f>
        <v>0</v>
      </c>
      <c r="H22" s="33" t="str">
        <f>IF(A22="","",IF(INDEX(Scores!$I$4:$I$227,(INT(17/Setup!$B$16)+1-1)*28+MOD(17,Setup!$B$16)+1)=1,"Complete","Waiting"))</f>
        <v>Complete</v>
      </c>
      <c r="I22" s="33" t="str">
        <f t="shared" si="0"/>
        <v>Draw</v>
      </c>
    </row>
    <row r="23" spans="1:9">
      <c r="A23" s="33">
        <f>IF(INT(18/Setup!$B$16)+1&lt;=Setup!$B$6,INDEX(Scores!$A$4:$A$227,(INT(18/Setup!$B$16)+1-1)*28+MOD(18,Setup!$B$16)+1),"")</f>
        <v>19</v>
      </c>
      <c r="B23" s="33" t="str">
        <f>IF(INT(18/Setup!$B$16)+1&lt;=Setup!$B$6,INDEX(Setup!$B$22:$B$29,INT(18/Setup!$B$16)+1),"")</f>
        <v>A</v>
      </c>
      <c r="C23" s="45">
        <f>IF(INT(18/Setup!$B$16)+1&lt;=Setup!$B$6,INDEX(Scores!$D$4:$D$227,(INT(18/Setup!$B$16)+1-1)*28+MOD(18,Setup!$B$16)+1),"")</f>
        <v>5</v>
      </c>
      <c r="D23" s="106">
        <f>IF(INT(18/Setup!$B$16)+1&lt;=Setup!$B$6,INDEX(Scores!$E$4:$E$227,(INT(18/Setup!$B$16)+1-1)*28+MOD(18,Setup!$B$16)+1),"")</f>
        <v>0</v>
      </c>
      <c r="E23" s="107"/>
      <c r="F23" s="107"/>
      <c r="G23" s="108">
        <f>IF(INT(18/Setup!$B$16)+1&lt;=Setup!$B$6,INDEX(Scores!$G$4:$G$227,(INT(18/Setup!$B$16)+1-1)*28+MOD(18,Setup!$B$16)+1),"")</f>
        <v>0</v>
      </c>
      <c r="H23" s="33" t="str">
        <f>IF(A23="","",IF(INDEX(Scores!$I$4:$I$227,(INT(18/Setup!$B$16)+1-1)*28+MOD(18,Setup!$B$16)+1)=1,"Complete","Waiting"))</f>
        <v>Complete</v>
      </c>
      <c r="I23" s="33" t="str">
        <f t="shared" si="0"/>
        <v>Draw</v>
      </c>
    </row>
    <row r="24" spans="1:9">
      <c r="A24" s="33">
        <f>IF(INT(19/Setup!$B$16)+1&lt;=Setup!$B$6,INDEX(Scores!$A$4:$A$227,(INT(19/Setup!$B$16)+1-1)*28+MOD(19,Setup!$B$16)+1),"")</f>
        <v>20</v>
      </c>
      <c r="B24" s="33" t="str">
        <f>IF(INT(19/Setup!$B$16)+1&lt;=Setup!$B$6,INDEX(Setup!$B$22:$B$29,INT(19/Setup!$B$16)+1),"")</f>
        <v>A</v>
      </c>
      <c r="C24" s="45">
        <f>IF(INT(19/Setup!$B$16)+1&lt;=Setup!$B$6,INDEX(Scores!$D$4:$D$227,(INT(19/Setup!$B$16)+1-1)*28+MOD(19,Setup!$B$16)+1),"")</f>
        <v>5</v>
      </c>
      <c r="D24" s="106">
        <f>IF(INT(19/Setup!$B$16)+1&lt;=Setup!$B$6,INDEX(Scores!$E$4:$E$227,(INT(19/Setup!$B$16)+1-1)*28+MOD(19,Setup!$B$16)+1),"")</f>
        <v>0</v>
      </c>
      <c r="E24" s="107"/>
      <c r="F24" s="107"/>
      <c r="G24" s="108">
        <f>IF(INT(19/Setup!$B$16)+1&lt;=Setup!$B$6,INDEX(Scores!$G$4:$G$227,(INT(19/Setup!$B$16)+1-1)*28+MOD(19,Setup!$B$16)+1),"")</f>
        <v>0</v>
      </c>
      <c r="H24" s="33" t="str">
        <f>IF(A24="","",IF(INDEX(Scores!$I$4:$I$227,(INT(19/Setup!$B$16)+1-1)*28+MOD(19,Setup!$B$16)+1)=1,"Complete","Waiting"))</f>
        <v>Complete</v>
      </c>
      <c r="I24" s="33" t="str">
        <f t="shared" si="0"/>
        <v>Draw</v>
      </c>
    </row>
    <row r="25" spans="1:9">
      <c r="A25" s="33">
        <f>IF(INT(20/Setup!$B$16)+1&lt;=Setup!$B$6,INDEX(Scores!$A$4:$A$227,(INT(20/Setup!$B$16)+1-1)*28+MOD(20,Setup!$B$16)+1),"")</f>
        <v>21</v>
      </c>
      <c r="B25" s="33" t="str">
        <f>IF(INT(20/Setup!$B$16)+1&lt;=Setup!$B$6,INDEX(Setup!$B$22:$B$29,INT(20/Setup!$B$16)+1),"")</f>
        <v>A</v>
      </c>
      <c r="C25" s="45">
        <f>IF(INT(20/Setup!$B$16)+1&lt;=Setup!$B$6,INDEX(Scores!$D$4:$D$227,(INT(20/Setup!$B$16)+1-1)*28+MOD(20,Setup!$B$16)+1),"")</f>
        <v>6</v>
      </c>
      <c r="D25" s="106">
        <f>IF(INT(20/Setup!$B$16)+1&lt;=Setup!$B$6,INDEX(Scores!$E$4:$E$227,(INT(20/Setup!$B$16)+1-1)*28+MOD(20,Setup!$B$16)+1),"")</f>
        <v>0</v>
      </c>
      <c r="E25" s="107"/>
      <c r="F25" s="107"/>
      <c r="G25" s="108">
        <f>IF(INT(20/Setup!$B$16)+1&lt;=Setup!$B$6,INDEX(Scores!$G$4:$G$227,(INT(20/Setup!$B$16)+1-1)*28+MOD(20,Setup!$B$16)+1),"")</f>
        <v>0</v>
      </c>
      <c r="H25" s="33" t="str">
        <f>IF(A25="","",IF(INDEX(Scores!$I$4:$I$227,(INT(20/Setup!$B$16)+1-1)*28+MOD(20,Setup!$B$16)+1)=1,"Complete","Waiting"))</f>
        <v>Complete</v>
      </c>
      <c r="I25" s="33" t="str">
        <f t="shared" si="0"/>
        <v>Draw</v>
      </c>
    </row>
    <row r="26" spans="1:9">
      <c r="A26" s="33">
        <f>IF(INT(21/Setup!$B$16)+1&lt;=Setup!$B$6,INDEX(Scores!$A$4:$A$227,(INT(21/Setup!$B$16)+1-1)*28+MOD(21,Setup!$B$16)+1),"")</f>
        <v>22</v>
      </c>
      <c r="B26" s="33" t="str">
        <f>IF(INT(21/Setup!$B$16)+1&lt;=Setup!$B$6,INDEX(Setup!$B$22:$B$29,INT(21/Setup!$B$16)+1),"")</f>
        <v>A</v>
      </c>
      <c r="C26" s="45">
        <f>IF(INT(21/Setup!$B$16)+1&lt;=Setup!$B$6,INDEX(Scores!$D$4:$D$227,(INT(21/Setup!$B$16)+1-1)*28+MOD(21,Setup!$B$16)+1),"")</f>
        <v>6</v>
      </c>
      <c r="D26" s="106">
        <f>IF(INT(21/Setup!$B$16)+1&lt;=Setup!$B$6,INDEX(Scores!$E$4:$E$227,(INT(21/Setup!$B$16)+1-1)*28+MOD(21,Setup!$B$16)+1),"")</f>
        <v>0</v>
      </c>
      <c r="E26" s="107"/>
      <c r="F26" s="107"/>
      <c r="G26" s="108">
        <f>IF(INT(21/Setup!$B$16)+1&lt;=Setup!$B$6,INDEX(Scores!$G$4:$G$227,(INT(21/Setup!$B$16)+1-1)*28+MOD(21,Setup!$B$16)+1),"")</f>
        <v>0</v>
      </c>
      <c r="H26" s="33" t="str">
        <f>IF(A26="","",IF(INDEX(Scores!$I$4:$I$227,(INT(21/Setup!$B$16)+1-1)*28+MOD(21,Setup!$B$16)+1)=1,"Complete","Waiting"))</f>
        <v>Complete</v>
      </c>
      <c r="I26" s="33" t="str">
        <f t="shared" si="0"/>
        <v>Draw</v>
      </c>
    </row>
    <row r="27" spans="1:9">
      <c r="A27" s="33">
        <f>IF(INT(22/Setup!$B$16)+1&lt;=Setup!$B$6,INDEX(Scores!$A$4:$A$227,(INT(22/Setup!$B$16)+1-1)*28+MOD(22,Setup!$B$16)+1),"")</f>
        <v>23</v>
      </c>
      <c r="B27" s="33" t="str">
        <f>IF(INT(22/Setup!$B$16)+1&lt;=Setup!$B$6,INDEX(Setup!$B$22:$B$29,INT(22/Setup!$B$16)+1),"")</f>
        <v>A</v>
      </c>
      <c r="C27" s="45">
        <f>IF(INT(22/Setup!$B$16)+1&lt;=Setup!$B$6,INDEX(Scores!$D$4:$D$227,(INT(22/Setup!$B$16)+1-1)*28+MOD(22,Setup!$B$16)+1),"")</f>
        <v>6</v>
      </c>
      <c r="D27" s="106">
        <f>IF(INT(22/Setup!$B$16)+1&lt;=Setup!$B$6,INDEX(Scores!$E$4:$E$227,(INT(22/Setup!$B$16)+1-1)*28+MOD(22,Setup!$B$16)+1),"")</f>
        <v>0</v>
      </c>
      <c r="E27" s="107"/>
      <c r="F27" s="107"/>
      <c r="G27" s="108">
        <f>IF(INT(22/Setup!$B$16)+1&lt;=Setup!$B$6,INDEX(Scores!$G$4:$G$227,(INT(22/Setup!$B$16)+1-1)*28+MOD(22,Setup!$B$16)+1),"")</f>
        <v>0</v>
      </c>
      <c r="H27" s="33" t="str">
        <f>IF(A27="","",IF(INDEX(Scores!$I$4:$I$227,(INT(22/Setup!$B$16)+1-1)*28+MOD(22,Setup!$B$16)+1)=1,"Complete","Waiting"))</f>
        <v>Complete</v>
      </c>
      <c r="I27" s="33" t="str">
        <f t="shared" si="0"/>
        <v>Draw</v>
      </c>
    </row>
    <row r="28" spans="1:9">
      <c r="A28" s="33">
        <f>IF(INT(23/Setup!$B$16)+1&lt;=Setup!$B$6,INDEX(Scores!$A$4:$A$227,(INT(23/Setup!$B$16)+1-1)*28+MOD(23,Setup!$B$16)+1),"")</f>
        <v>24</v>
      </c>
      <c r="B28" s="33" t="str">
        <f>IF(INT(23/Setup!$B$16)+1&lt;=Setup!$B$6,INDEX(Setup!$B$22:$B$29,INT(23/Setup!$B$16)+1),"")</f>
        <v>A</v>
      </c>
      <c r="C28" s="45">
        <f>IF(INT(23/Setup!$B$16)+1&lt;=Setup!$B$6,INDEX(Scores!$D$4:$D$227,(INT(23/Setup!$B$16)+1-1)*28+MOD(23,Setup!$B$16)+1),"")</f>
        <v>6</v>
      </c>
      <c r="D28" s="106">
        <f>IF(INT(23/Setup!$B$16)+1&lt;=Setup!$B$6,INDEX(Scores!$E$4:$E$227,(INT(23/Setup!$B$16)+1-1)*28+MOD(23,Setup!$B$16)+1),"")</f>
        <v>0</v>
      </c>
      <c r="E28" s="107"/>
      <c r="F28" s="107"/>
      <c r="G28" s="108">
        <f>IF(INT(23/Setup!$B$16)+1&lt;=Setup!$B$6,INDEX(Scores!$G$4:$G$227,(INT(23/Setup!$B$16)+1-1)*28+MOD(23,Setup!$B$16)+1),"")</f>
        <v>0</v>
      </c>
      <c r="H28" s="33" t="str">
        <f>IF(A28="","",IF(INDEX(Scores!$I$4:$I$227,(INT(23/Setup!$B$16)+1-1)*28+MOD(23,Setup!$B$16)+1)=1,"Complete","Waiting"))</f>
        <v>Complete</v>
      </c>
      <c r="I28" s="33" t="str">
        <f t="shared" si="0"/>
        <v>Draw</v>
      </c>
    </row>
    <row r="29" spans="1:9">
      <c r="A29" s="33">
        <f>IF(INT(24/Setup!$B$16)+1&lt;=Setup!$B$6,INDEX(Scores!$A$4:$A$227,(INT(24/Setup!$B$16)+1-1)*28+MOD(24,Setup!$B$16)+1),"")</f>
        <v>25</v>
      </c>
      <c r="B29" s="33" t="str">
        <f>IF(INT(24/Setup!$B$16)+1&lt;=Setup!$B$6,INDEX(Setup!$B$22:$B$29,INT(24/Setup!$B$16)+1),"")</f>
        <v>A</v>
      </c>
      <c r="C29" s="45">
        <f>IF(INT(24/Setup!$B$16)+1&lt;=Setup!$B$6,INDEX(Scores!$D$4:$D$227,(INT(24/Setup!$B$16)+1-1)*28+MOD(24,Setup!$B$16)+1),"")</f>
        <v>7</v>
      </c>
      <c r="D29" s="106">
        <f>IF(INT(24/Setup!$B$16)+1&lt;=Setup!$B$6,INDEX(Scores!$E$4:$E$227,(INT(24/Setup!$B$16)+1-1)*28+MOD(24,Setup!$B$16)+1),"")</f>
        <v>0</v>
      </c>
      <c r="E29" s="107"/>
      <c r="F29" s="107"/>
      <c r="G29" s="108">
        <f>IF(INT(24/Setup!$B$16)+1&lt;=Setup!$B$6,INDEX(Scores!$G$4:$G$227,(INT(24/Setup!$B$16)+1-1)*28+MOD(24,Setup!$B$16)+1),"")</f>
        <v>0</v>
      </c>
      <c r="H29" s="33" t="str">
        <f>IF(A29="","",IF(INDEX(Scores!$I$4:$I$227,(INT(24/Setup!$B$16)+1-1)*28+MOD(24,Setup!$B$16)+1)=1,"Complete","Waiting"))</f>
        <v>Complete</v>
      </c>
      <c r="I29" s="33" t="str">
        <f t="shared" si="0"/>
        <v>Draw</v>
      </c>
    </row>
    <row r="30" spans="1:9">
      <c r="A30" s="33">
        <f>IF(INT(25/Setup!$B$16)+1&lt;=Setup!$B$6,INDEX(Scores!$A$4:$A$227,(INT(25/Setup!$B$16)+1-1)*28+MOD(25,Setup!$B$16)+1),"")</f>
        <v>26</v>
      </c>
      <c r="B30" s="33" t="str">
        <f>IF(INT(25/Setup!$B$16)+1&lt;=Setup!$B$6,INDEX(Setup!$B$22:$B$29,INT(25/Setup!$B$16)+1),"")</f>
        <v>A</v>
      </c>
      <c r="C30" s="45">
        <f>IF(INT(25/Setup!$B$16)+1&lt;=Setup!$B$6,INDEX(Scores!$D$4:$D$227,(INT(25/Setup!$B$16)+1-1)*28+MOD(25,Setup!$B$16)+1),"")</f>
        <v>7</v>
      </c>
      <c r="D30" s="106">
        <f>IF(INT(25/Setup!$B$16)+1&lt;=Setup!$B$6,INDEX(Scores!$E$4:$E$227,(INT(25/Setup!$B$16)+1-1)*28+MOD(25,Setup!$B$16)+1),"")</f>
        <v>0</v>
      </c>
      <c r="E30" s="107"/>
      <c r="F30" s="107"/>
      <c r="G30" s="108">
        <f>IF(INT(25/Setup!$B$16)+1&lt;=Setup!$B$6,INDEX(Scores!$G$4:$G$227,(INT(25/Setup!$B$16)+1-1)*28+MOD(25,Setup!$B$16)+1),"")</f>
        <v>0</v>
      </c>
      <c r="H30" s="33" t="str">
        <f>IF(A30="","",IF(INDEX(Scores!$I$4:$I$227,(INT(25/Setup!$B$16)+1-1)*28+MOD(25,Setup!$B$16)+1)=1,"Complete","Waiting"))</f>
        <v>Complete</v>
      </c>
      <c r="I30" s="33" t="str">
        <f t="shared" si="0"/>
        <v>Draw</v>
      </c>
    </row>
    <row r="31" spans="1:9">
      <c r="A31" s="33">
        <f>IF(INT(26/Setup!$B$16)+1&lt;=Setup!$B$6,INDEX(Scores!$A$4:$A$227,(INT(26/Setup!$B$16)+1-1)*28+MOD(26,Setup!$B$16)+1),"")</f>
        <v>27</v>
      </c>
      <c r="B31" s="33" t="str">
        <f>IF(INT(26/Setup!$B$16)+1&lt;=Setup!$B$6,INDEX(Setup!$B$22:$B$29,INT(26/Setup!$B$16)+1),"")</f>
        <v>A</v>
      </c>
      <c r="C31" s="45">
        <f>IF(INT(26/Setup!$B$16)+1&lt;=Setup!$B$6,INDEX(Scores!$D$4:$D$227,(INT(26/Setup!$B$16)+1-1)*28+MOD(26,Setup!$B$16)+1),"")</f>
        <v>7</v>
      </c>
      <c r="D31" s="106">
        <f>IF(INT(26/Setup!$B$16)+1&lt;=Setup!$B$6,INDEX(Scores!$E$4:$E$227,(INT(26/Setup!$B$16)+1-1)*28+MOD(26,Setup!$B$16)+1),"")</f>
        <v>0</v>
      </c>
      <c r="E31" s="107"/>
      <c r="F31" s="107"/>
      <c r="G31" s="108">
        <f>IF(INT(26/Setup!$B$16)+1&lt;=Setup!$B$6,INDEX(Scores!$G$4:$G$227,(INT(26/Setup!$B$16)+1-1)*28+MOD(26,Setup!$B$16)+1),"")</f>
        <v>0</v>
      </c>
      <c r="H31" s="33" t="str">
        <f>IF(A31="","",IF(INDEX(Scores!$I$4:$I$227,(INT(26/Setup!$B$16)+1-1)*28+MOD(26,Setup!$B$16)+1)=1,"Complete","Waiting"))</f>
        <v>Complete</v>
      </c>
      <c r="I31" s="33" t="str">
        <f t="shared" si="0"/>
        <v>Draw</v>
      </c>
    </row>
    <row r="32" spans="1:9">
      <c r="A32" s="33">
        <f>IF(INT(27/Setup!$B$16)+1&lt;=Setup!$B$6,INDEX(Scores!$A$4:$A$227,(INT(27/Setup!$B$16)+1-1)*28+MOD(27,Setup!$B$16)+1),"")</f>
        <v>28</v>
      </c>
      <c r="B32" s="33" t="str">
        <f>IF(INT(27/Setup!$B$16)+1&lt;=Setup!$B$6,INDEX(Setup!$B$22:$B$29,INT(27/Setup!$B$16)+1),"")</f>
        <v>A</v>
      </c>
      <c r="C32" s="45">
        <f>IF(INT(27/Setup!$B$16)+1&lt;=Setup!$B$6,INDEX(Scores!$D$4:$D$227,(INT(27/Setup!$B$16)+1-1)*28+MOD(27,Setup!$B$16)+1),"")</f>
        <v>7</v>
      </c>
      <c r="D32" s="106">
        <f>IF(INT(27/Setup!$B$16)+1&lt;=Setup!$B$6,INDEX(Scores!$E$4:$E$227,(INT(27/Setup!$B$16)+1-1)*28+MOD(27,Setup!$B$16)+1),"")</f>
        <v>0</v>
      </c>
      <c r="E32" s="107"/>
      <c r="F32" s="107"/>
      <c r="G32" s="108">
        <f>IF(INT(27/Setup!$B$16)+1&lt;=Setup!$B$6,INDEX(Scores!$G$4:$G$227,(INT(27/Setup!$B$16)+1-1)*28+MOD(27,Setup!$B$16)+1),"")</f>
        <v>0</v>
      </c>
      <c r="H32" s="33" t="str">
        <f>IF(A32="","",IF(INDEX(Scores!$I$4:$I$227,(INT(27/Setup!$B$16)+1-1)*28+MOD(27,Setup!$B$16)+1)=1,"Complete","Waiting"))</f>
        <v>Complete</v>
      </c>
      <c r="I32" s="33" t="str">
        <f t="shared" si="0"/>
        <v>Draw</v>
      </c>
    </row>
    <row r="33" spans="1:9">
      <c r="A33" s="33">
        <f>IF(INT(28/Setup!$B$16)+1&lt;=Setup!$B$6,INDEX(Scores!$A$4:$A$227,(INT(28/Setup!$B$16)+1-1)*28+MOD(28,Setup!$B$16)+1),"")</f>
        <v>29</v>
      </c>
      <c r="B33" s="33" t="str">
        <f>IF(INT(28/Setup!$B$16)+1&lt;=Setup!$B$6,INDEX(Setup!$B$22:$B$29,INT(28/Setup!$B$16)+1),"")</f>
        <v>B</v>
      </c>
      <c r="C33" s="45">
        <f>IF(INT(28/Setup!$B$16)+1&lt;=Setup!$B$6,INDEX(Scores!$D$4:$D$227,(INT(28/Setup!$B$16)+1-1)*28+MOD(28,Setup!$B$16)+1),"")</f>
        <v>1</v>
      </c>
      <c r="D33" s="106">
        <f>IF(INT(28/Setup!$B$16)+1&lt;=Setup!$B$6,INDEX(Scores!$E$4:$E$227,(INT(28/Setup!$B$16)+1-1)*28+MOD(28,Setup!$B$16)+1),"")</f>
        <v>0</v>
      </c>
      <c r="E33" s="107"/>
      <c r="F33" s="107"/>
      <c r="G33" s="108">
        <f>IF(INT(28/Setup!$B$16)+1&lt;=Setup!$B$6,INDEX(Scores!$G$4:$G$227,(INT(28/Setup!$B$16)+1-1)*28+MOD(28,Setup!$B$16)+1),"")</f>
        <v>0</v>
      </c>
      <c r="H33" s="33" t="str">
        <f>IF(A33="","",IF(INDEX(Scores!$I$4:$I$227,(INT(28/Setup!$B$16)+1-1)*28+MOD(28,Setup!$B$16)+1)=1,"Complete","Waiting"))</f>
        <v>Complete</v>
      </c>
      <c r="I33" s="33" t="str">
        <f t="shared" si="0"/>
        <v>Draw</v>
      </c>
    </row>
    <row r="34" spans="1:9">
      <c r="A34" s="33">
        <f>IF(INT(29/Setup!$B$16)+1&lt;=Setup!$B$6,INDEX(Scores!$A$4:$A$227,(INT(29/Setup!$B$16)+1-1)*28+MOD(29,Setup!$B$16)+1),"")</f>
        <v>30</v>
      </c>
      <c r="B34" s="33" t="str">
        <f>IF(INT(29/Setup!$B$16)+1&lt;=Setup!$B$6,INDEX(Setup!$B$22:$B$29,INT(29/Setup!$B$16)+1),"")</f>
        <v>B</v>
      </c>
      <c r="C34" s="45">
        <f>IF(INT(29/Setup!$B$16)+1&lt;=Setup!$B$6,INDEX(Scores!$D$4:$D$227,(INT(29/Setup!$B$16)+1-1)*28+MOD(29,Setup!$B$16)+1),"")</f>
        <v>1</v>
      </c>
      <c r="D34" s="106">
        <f>IF(INT(29/Setup!$B$16)+1&lt;=Setup!$B$6,INDEX(Scores!$E$4:$E$227,(INT(29/Setup!$B$16)+1-1)*28+MOD(29,Setup!$B$16)+1),"")</f>
        <v>0</v>
      </c>
      <c r="E34" s="107"/>
      <c r="F34" s="107"/>
      <c r="G34" s="108">
        <f>IF(INT(29/Setup!$B$16)+1&lt;=Setup!$B$6,INDEX(Scores!$G$4:$G$227,(INT(29/Setup!$B$16)+1-1)*28+MOD(29,Setup!$B$16)+1),"")</f>
        <v>0</v>
      </c>
      <c r="H34" s="33" t="str">
        <f>IF(A34="","",IF(INDEX(Scores!$I$4:$I$227,(INT(29/Setup!$B$16)+1-1)*28+MOD(29,Setup!$B$16)+1)=1,"Complete","Waiting"))</f>
        <v>Complete</v>
      </c>
      <c r="I34" s="33" t="str">
        <f t="shared" si="0"/>
        <v>Draw</v>
      </c>
    </row>
    <row r="35" spans="1:9">
      <c r="A35" s="33">
        <f>IF(INT(30/Setup!$B$16)+1&lt;=Setup!$B$6,INDEX(Scores!$A$4:$A$227,(INT(30/Setup!$B$16)+1-1)*28+MOD(30,Setup!$B$16)+1),"")</f>
        <v>31</v>
      </c>
      <c r="B35" s="33" t="str">
        <f>IF(INT(30/Setup!$B$16)+1&lt;=Setup!$B$6,INDEX(Setup!$B$22:$B$29,INT(30/Setup!$B$16)+1),"")</f>
        <v>B</v>
      </c>
      <c r="C35" s="45">
        <f>IF(INT(30/Setup!$B$16)+1&lt;=Setup!$B$6,INDEX(Scores!$D$4:$D$227,(INT(30/Setup!$B$16)+1-1)*28+MOD(30,Setup!$B$16)+1),"")</f>
        <v>1</v>
      </c>
      <c r="D35" s="106">
        <f>IF(INT(30/Setup!$B$16)+1&lt;=Setup!$B$6,INDEX(Scores!$E$4:$E$227,(INT(30/Setup!$B$16)+1-1)*28+MOD(30,Setup!$B$16)+1),"")</f>
        <v>0</v>
      </c>
      <c r="E35" s="107"/>
      <c r="F35" s="107"/>
      <c r="G35" s="108">
        <f>IF(INT(30/Setup!$B$16)+1&lt;=Setup!$B$6,INDEX(Scores!$G$4:$G$227,(INT(30/Setup!$B$16)+1-1)*28+MOD(30,Setup!$B$16)+1),"")</f>
        <v>0</v>
      </c>
      <c r="H35" s="33" t="str">
        <f>IF(A35="","",IF(INDEX(Scores!$I$4:$I$227,(INT(30/Setup!$B$16)+1-1)*28+MOD(30,Setup!$B$16)+1)=1,"Complete","Waiting"))</f>
        <v>Complete</v>
      </c>
      <c r="I35" s="33" t="str">
        <f t="shared" si="0"/>
        <v>Draw</v>
      </c>
    </row>
    <row r="36" spans="1:9">
      <c r="A36" s="33">
        <f>IF(INT(31/Setup!$B$16)+1&lt;=Setup!$B$6,INDEX(Scores!$A$4:$A$227,(INT(31/Setup!$B$16)+1-1)*28+MOD(31,Setup!$B$16)+1),"")</f>
        <v>32</v>
      </c>
      <c r="B36" s="33" t="str">
        <f>IF(INT(31/Setup!$B$16)+1&lt;=Setup!$B$6,INDEX(Setup!$B$22:$B$29,INT(31/Setup!$B$16)+1),"")</f>
        <v>B</v>
      </c>
      <c r="C36" s="45">
        <f>IF(INT(31/Setup!$B$16)+1&lt;=Setup!$B$6,INDEX(Scores!$D$4:$D$227,(INT(31/Setup!$B$16)+1-1)*28+MOD(31,Setup!$B$16)+1),"")</f>
        <v>1</v>
      </c>
      <c r="D36" s="106">
        <f>IF(INT(31/Setup!$B$16)+1&lt;=Setup!$B$6,INDEX(Scores!$E$4:$E$227,(INT(31/Setup!$B$16)+1-1)*28+MOD(31,Setup!$B$16)+1),"")</f>
        <v>0</v>
      </c>
      <c r="E36" s="107"/>
      <c r="F36" s="107"/>
      <c r="G36" s="108">
        <f>IF(INT(31/Setup!$B$16)+1&lt;=Setup!$B$6,INDEX(Scores!$G$4:$G$227,(INT(31/Setup!$B$16)+1-1)*28+MOD(31,Setup!$B$16)+1),"")</f>
        <v>0</v>
      </c>
      <c r="H36" s="33" t="str">
        <f>IF(A36="","",IF(INDEX(Scores!$I$4:$I$227,(INT(31/Setup!$B$16)+1-1)*28+MOD(31,Setup!$B$16)+1)=1,"Complete","Waiting"))</f>
        <v>Complete</v>
      </c>
      <c r="I36" s="33" t="str">
        <f t="shared" si="0"/>
        <v>Draw</v>
      </c>
    </row>
    <row r="37" spans="1:9">
      <c r="A37" s="33">
        <f>IF(INT(32/Setup!$B$16)+1&lt;=Setup!$B$6,INDEX(Scores!$A$4:$A$227,(INT(32/Setup!$B$16)+1-1)*28+MOD(32,Setup!$B$16)+1),"")</f>
        <v>33</v>
      </c>
      <c r="B37" s="33" t="str">
        <f>IF(INT(32/Setup!$B$16)+1&lt;=Setup!$B$6,INDEX(Setup!$B$22:$B$29,INT(32/Setup!$B$16)+1),"")</f>
        <v>B</v>
      </c>
      <c r="C37" s="45">
        <f>IF(INT(32/Setup!$B$16)+1&lt;=Setup!$B$6,INDEX(Scores!$D$4:$D$227,(INT(32/Setup!$B$16)+1-1)*28+MOD(32,Setup!$B$16)+1),"")</f>
        <v>2</v>
      </c>
      <c r="D37" s="106">
        <f>IF(INT(32/Setup!$B$16)+1&lt;=Setup!$B$6,INDEX(Scores!$E$4:$E$227,(INT(32/Setup!$B$16)+1-1)*28+MOD(32,Setup!$B$16)+1),"")</f>
        <v>0</v>
      </c>
      <c r="E37" s="107"/>
      <c r="F37" s="107"/>
      <c r="G37" s="108">
        <f>IF(INT(32/Setup!$B$16)+1&lt;=Setup!$B$6,INDEX(Scores!$G$4:$G$227,(INT(32/Setup!$B$16)+1-1)*28+MOD(32,Setup!$B$16)+1),"")</f>
        <v>0</v>
      </c>
      <c r="H37" s="33" t="str">
        <f>IF(A37="","",IF(INDEX(Scores!$I$4:$I$227,(INT(32/Setup!$B$16)+1-1)*28+MOD(32,Setup!$B$16)+1)=1,"Complete","Waiting"))</f>
        <v>Complete</v>
      </c>
      <c r="I37" s="33" t="str">
        <f t="shared" si="0"/>
        <v>Draw</v>
      </c>
    </row>
    <row r="38" spans="1:9">
      <c r="A38" s="33">
        <f>IF(INT(33/Setup!$B$16)+1&lt;=Setup!$B$6,INDEX(Scores!$A$4:$A$227,(INT(33/Setup!$B$16)+1-1)*28+MOD(33,Setup!$B$16)+1),"")</f>
        <v>34</v>
      </c>
      <c r="B38" s="33" t="str">
        <f>IF(INT(33/Setup!$B$16)+1&lt;=Setup!$B$6,INDEX(Setup!$B$22:$B$29,INT(33/Setup!$B$16)+1),"")</f>
        <v>B</v>
      </c>
      <c r="C38" s="45">
        <f>IF(INT(33/Setup!$B$16)+1&lt;=Setup!$B$6,INDEX(Scores!$D$4:$D$227,(INT(33/Setup!$B$16)+1-1)*28+MOD(33,Setup!$B$16)+1),"")</f>
        <v>2</v>
      </c>
      <c r="D38" s="106">
        <f>IF(INT(33/Setup!$B$16)+1&lt;=Setup!$B$6,INDEX(Scores!$E$4:$E$227,(INT(33/Setup!$B$16)+1-1)*28+MOD(33,Setup!$B$16)+1),"")</f>
        <v>0</v>
      </c>
      <c r="E38" s="107"/>
      <c r="F38" s="107"/>
      <c r="G38" s="108">
        <f>IF(INT(33/Setup!$B$16)+1&lt;=Setup!$B$6,INDEX(Scores!$G$4:$G$227,(INT(33/Setup!$B$16)+1-1)*28+MOD(33,Setup!$B$16)+1),"")</f>
        <v>0</v>
      </c>
      <c r="H38" s="33" t="str">
        <f>IF(A38="","",IF(INDEX(Scores!$I$4:$I$227,(INT(33/Setup!$B$16)+1-1)*28+MOD(33,Setup!$B$16)+1)=1,"Complete","Waiting"))</f>
        <v>Complete</v>
      </c>
      <c r="I38" s="33" t="str">
        <f t="shared" si="0"/>
        <v>Draw</v>
      </c>
    </row>
    <row r="39" spans="1:9">
      <c r="A39" s="33">
        <f>IF(INT(34/Setup!$B$16)+1&lt;=Setup!$B$6,INDEX(Scores!$A$4:$A$227,(INT(34/Setup!$B$16)+1-1)*28+MOD(34,Setup!$B$16)+1),"")</f>
        <v>35</v>
      </c>
      <c r="B39" s="33" t="str">
        <f>IF(INT(34/Setup!$B$16)+1&lt;=Setup!$B$6,INDEX(Setup!$B$22:$B$29,INT(34/Setup!$B$16)+1),"")</f>
        <v>B</v>
      </c>
      <c r="C39" s="45">
        <f>IF(INT(34/Setup!$B$16)+1&lt;=Setup!$B$6,INDEX(Scores!$D$4:$D$227,(INT(34/Setup!$B$16)+1-1)*28+MOD(34,Setup!$B$16)+1),"")</f>
        <v>2</v>
      </c>
      <c r="D39" s="106">
        <f>IF(INT(34/Setup!$B$16)+1&lt;=Setup!$B$6,INDEX(Scores!$E$4:$E$227,(INT(34/Setup!$B$16)+1-1)*28+MOD(34,Setup!$B$16)+1),"")</f>
        <v>0</v>
      </c>
      <c r="E39" s="107"/>
      <c r="F39" s="107"/>
      <c r="G39" s="108">
        <f>IF(INT(34/Setup!$B$16)+1&lt;=Setup!$B$6,INDEX(Scores!$G$4:$G$227,(INT(34/Setup!$B$16)+1-1)*28+MOD(34,Setup!$B$16)+1),"")</f>
        <v>0</v>
      </c>
      <c r="H39" s="33" t="str">
        <f>IF(A39="","",IF(INDEX(Scores!$I$4:$I$227,(INT(34/Setup!$B$16)+1-1)*28+MOD(34,Setup!$B$16)+1)=1,"Complete","Waiting"))</f>
        <v>Complete</v>
      </c>
      <c r="I39" s="33" t="str">
        <f t="shared" si="0"/>
        <v>Draw</v>
      </c>
    </row>
    <row r="40" spans="1:9">
      <c r="A40" s="33">
        <f>IF(INT(35/Setup!$B$16)+1&lt;=Setup!$B$6,INDEX(Scores!$A$4:$A$227,(INT(35/Setup!$B$16)+1-1)*28+MOD(35,Setup!$B$16)+1),"")</f>
        <v>36</v>
      </c>
      <c r="B40" s="33" t="str">
        <f>IF(INT(35/Setup!$B$16)+1&lt;=Setup!$B$6,INDEX(Setup!$B$22:$B$29,INT(35/Setup!$B$16)+1),"")</f>
        <v>B</v>
      </c>
      <c r="C40" s="45">
        <f>IF(INT(35/Setup!$B$16)+1&lt;=Setup!$B$6,INDEX(Scores!$D$4:$D$227,(INT(35/Setup!$B$16)+1-1)*28+MOD(35,Setup!$B$16)+1),"")</f>
        <v>2</v>
      </c>
      <c r="D40" s="106">
        <f>IF(INT(35/Setup!$B$16)+1&lt;=Setup!$B$6,INDEX(Scores!$E$4:$E$227,(INT(35/Setup!$B$16)+1-1)*28+MOD(35,Setup!$B$16)+1),"")</f>
        <v>0</v>
      </c>
      <c r="E40" s="107"/>
      <c r="F40" s="107"/>
      <c r="G40" s="108">
        <f>IF(INT(35/Setup!$B$16)+1&lt;=Setup!$B$6,INDEX(Scores!$G$4:$G$227,(INT(35/Setup!$B$16)+1-1)*28+MOD(35,Setup!$B$16)+1),"")</f>
        <v>0</v>
      </c>
      <c r="H40" s="33" t="str">
        <f>IF(A40="","",IF(INDEX(Scores!$I$4:$I$227,(INT(35/Setup!$B$16)+1-1)*28+MOD(35,Setup!$B$16)+1)=1,"Complete","Waiting"))</f>
        <v>Complete</v>
      </c>
      <c r="I40" s="33" t="str">
        <f t="shared" si="0"/>
        <v>Draw</v>
      </c>
    </row>
    <row r="41" spans="1:9">
      <c r="A41" s="33">
        <f>IF(INT(36/Setup!$B$16)+1&lt;=Setup!$B$6,INDEX(Scores!$A$4:$A$227,(INT(36/Setup!$B$16)+1-1)*28+MOD(36,Setup!$B$16)+1),"")</f>
        <v>37</v>
      </c>
      <c r="B41" s="33" t="str">
        <f>IF(INT(36/Setup!$B$16)+1&lt;=Setup!$B$6,INDEX(Setup!$B$22:$B$29,INT(36/Setup!$B$16)+1),"")</f>
        <v>B</v>
      </c>
      <c r="C41" s="45">
        <f>IF(INT(36/Setup!$B$16)+1&lt;=Setup!$B$6,INDEX(Scores!$D$4:$D$227,(INT(36/Setup!$B$16)+1-1)*28+MOD(36,Setup!$B$16)+1),"")</f>
        <v>3</v>
      </c>
      <c r="D41" s="106">
        <f>IF(INT(36/Setup!$B$16)+1&lt;=Setup!$B$6,INDEX(Scores!$E$4:$E$227,(INT(36/Setup!$B$16)+1-1)*28+MOD(36,Setup!$B$16)+1),"")</f>
        <v>0</v>
      </c>
      <c r="E41" s="107"/>
      <c r="F41" s="107"/>
      <c r="G41" s="108">
        <f>IF(INT(36/Setup!$B$16)+1&lt;=Setup!$B$6,INDEX(Scores!$G$4:$G$227,(INT(36/Setup!$B$16)+1-1)*28+MOD(36,Setup!$B$16)+1),"")</f>
        <v>0</v>
      </c>
      <c r="H41" s="33" t="str">
        <f>IF(A41="","",IF(INDEX(Scores!$I$4:$I$227,(INT(36/Setup!$B$16)+1-1)*28+MOD(36,Setup!$B$16)+1)=1,"Complete","Waiting"))</f>
        <v>Complete</v>
      </c>
      <c r="I41" s="33" t="str">
        <f t="shared" si="0"/>
        <v>Draw</v>
      </c>
    </row>
    <row r="42" spans="1:9">
      <c r="A42" s="33">
        <f>IF(INT(37/Setup!$B$16)+1&lt;=Setup!$B$6,INDEX(Scores!$A$4:$A$227,(INT(37/Setup!$B$16)+1-1)*28+MOD(37,Setup!$B$16)+1),"")</f>
        <v>38</v>
      </c>
      <c r="B42" s="33" t="str">
        <f>IF(INT(37/Setup!$B$16)+1&lt;=Setup!$B$6,INDEX(Setup!$B$22:$B$29,INT(37/Setup!$B$16)+1),"")</f>
        <v>B</v>
      </c>
      <c r="C42" s="45">
        <f>IF(INT(37/Setup!$B$16)+1&lt;=Setup!$B$6,INDEX(Scores!$D$4:$D$227,(INT(37/Setup!$B$16)+1-1)*28+MOD(37,Setup!$B$16)+1),"")</f>
        <v>3</v>
      </c>
      <c r="D42" s="106">
        <f>IF(INT(37/Setup!$B$16)+1&lt;=Setup!$B$6,INDEX(Scores!$E$4:$E$227,(INT(37/Setup!$B$16)+1-1)*28+MOD(37,Setup!$B$16)+1),"")</f>
        <v>0</v>
      </c>
      <c r="E42" s="107"/>
      <c r="F42" s="107"/>
      <c r="G42" s="108">
        <f>IF(INT(37/Setup!$B$16)+1&lt;=Setup!$B$6,INDEX(Scores!$G$4:$G$227,(INT(37/Setup!$B$16)+1-1)*28+MOD(37,Setup!$B$16)+1),"")</f>
        <v>0</v>
      </c>
      <c r="H42" s="33" t="str">
        <f>IF(A42="","",IF(INDEX(Scores!$I$4:$I$227,(INT(37/Setup!$B$16)+1-1)*28+MOD(37,Setup!$B$16)+1)=1,"Complete","Waiting"))</f>
        <v>Complete</v>
      </c>
      <c r="I42" s="33" t="str">
        <f t="shared" si="0"/>
        <v>Draw</v>
      </c>
    </row>
    <row r="43" spans="1:9">
      <c r="A43" s="33">
        <f>IF(INT(38/Setup!$B$16)+1&lt;=Setup!$B$6,INDEX(Scores!$A$4:$A$227,(INT(38/Setup!$B$16)+1-1)*28+MOD(38,Setup!$B$16)+1),"")</f>
        <v>39</v>
      </c>
      <c r="B43" s="33" t="str">
        <f>IF(INT(38/Setup!$B$16)+1&lt;=Setup!$B$6,INDEX(Setup!$B$22:$B$29,INT(38/Setup!$B$16)+1),"")</f>
        <v>B</v>
      </c>
      <c r="C43" s="45">
        <f>IF(INT(38/Setup!$B$16)+1&lt;=Setup!$B$6,INDEX(Scores!$D$4:$D$227,(INT(38/Setup!$B$16)+1-1)*28+MOD(38,Setup!$B$16)+1),"")</f>
        <v>3</v>
      </c>
      <c r="D43" s="106">
        <f>IF(INT(38/Setup!$B$16)+1&lt;=Setup!$B$6,INDEX(Scores!$E$4:$E$227,(INT(38/Setup!$B$16)+1-1)*28+MOD(38,Setup!$B$16)+1),"")</f>
        <v>0</v>
      </c>
      <c r="E43" s="107"/>
      <c r="F43" s="107"/>
      <c r="G43" s="108">
        <f>IF(INT(38/Setup!$B$16)+1&lt;=Setup!$B$6,INDEX(Scores!$G$4:$G$227,(INT(38/Setup!$B$16)+1-1)*28+MOD(38,Setup!$B$16)+1),"")</f>
        <v>0</v>
      </c>
      <c r="H43" s="33" t="str">
        <f>IF(A43="","",IF(INDEX(Scores!$I$4:$I$227,(INT(38/Setup!$B$16)+1-1)*28+MOD(38,Setup!$B$16)+1)=1,"Complete","Waiting"))</f>
        <v>Complete</v>
      </c>
      <c r="I43" s="33" t="str">
        <f t="shared" si="0"/>
        <v>Draw</v>
      </c>
    </row>
    <row r="44" spans="1:9">
      <c r="A44" s="33">
        <f>IF(INT(39/Setup!$B$16)+1&lt;=Setup!$B$6,INDEX(Scores!$A$4:$A$227,(INT(39/Setup!$B$16)+1-1)*28+MOD(39,Setup!$B$16)+1),"")</f>
        <v>40</v>
      </c>
      <c r="B44" s="33" t="str">
        <f>IF(INT(39/Setup!$B$16)+1&lt;=Setup!$B$6,INDEX(Setup!$B$22:$B$29,INT(39/Setup!$B$16)+1),"")</f>
        <v>B</v>
      </c>
      <c r="C44" s="45">
        <f>IF(INT(39/Setup!$B$16)+1&lt;=Setup!$B$6,INDEX(Scores!$D$4:$D$227,(INT(39/Setup!$B$16)+1-1)*28+MOD(39,Setup!$B$16)+1),"")</f>
        <v>3</v>
      </c>
      <c r="D44" s="106">
        <f>IF(INT(39/Setup!$B$16)+1&lt;=Setup!$B$6,INDEX(Scores!$E$4:$E$227,(INT(39/Setup!$B$16)+1-1)*28+MOD(39,Setup!$B$16)+1),"")</f>
        <v>0</v>
      </c>
      <c r="E44" s="107"/>
      <c r="F44" s="107"/>
      <c r="G44" s="108">
        <f>IF(INT(39/Setup!$B$16)+1&lt;=Setup!$B$6,INDEX(Scores!$G$4:$G$227,(INT(39/Setup!$B$16)+1-1)*28+MOD(39,Setup!$B$16)+1),"")</f>
        <v>0</v>
      </c>
      <c r="H44" s="33" t="str">
        <f>IF(A44="","",IF(INDEX(Scores!$I$4:$I$227,(INT(39/Setup!$B$16)+1-1)*28+MOD(39,Setup!$B$16)+1)=1,"Complete","Waiting"))</f>
        <v>Complete</v>
      </c>
      <c r="I44" s="33" t="str">
        <f t="shared" si="0"/>
        <v>Draw</v>
      </c>
    </row>
    <row r="45" spans="1:9">
      <c r="A45" s="33">
        <f>IF(INT(40/Setup!$B$16)+1&lt;=Setup!$B$6,INDEX(Scores!$A$4:$A$227,(INT(40/Setup!$B$16)+1-1)*28+MOD(40,Setup!$B$16)+1),"")</f>
        <v>41</v>
      </c>
      <c r="B45" s="33" t="str">
        <f>IF(INT(40/Setup!$B$16)+1&lt;=Setup!$B$6,INDEX(Setup!$B$22:$B$29,INT(40/Setup!$B$16)+1),"")</f>
        <v>B</v>
      </c>
      <c r="C45" s="45">
        <f>IF(INT(40/Setup!$B$16)+1&lt;=Setup!$B$6,INDEX(Scores!$D$4:$D$227,(INT(40/Setup!$B$16)+1-1)*28+MOD(40,Setup!$B$16)+1),"")</f>
        <v>4</v>
      </c>
      <c r="D45" s="106">
        <f>IF(INT(40/Setup!$B$16)+1&lt;=Setup!$B$6,INDEX(Scores!$E$4:$E$227,(INT(40/Setup!$B$16)+1-1)*28+MOD(40,Setup!$B$16)+1),"")</f>
        <v>0</v>
      </c>
      <c r="E45" s="107"/>
      <c r="F45" s="107"/>
      <c r="G45" s="108">
        <f>IF(INT(40/Setup!$B$16)+1&lt;=Setup!$B$6,INDEX(Scores!$G$4:$G$227,(INT(40/Setup!$B$16)+1-1)*28+MOD(40,Setup!$B$16)+1),"")</f>
        <v>0</v>
      </c>
      <c r="H45" s="33" t="str">
        <f>IF(A45="","",IF(INDEX(Scores!$I$4:$I$227,(INT(40/Setup!$B$16)+1-1)*28+MOD(40,Setup!$B$16)+1)=1,"Complete","Waiting"))</f>
        <v>Complete</v>
      </c>
      <c r="I45" s="33" t="str">
        <f t="shared" si="0"/>
        <v>Draw</v>
      </c>
    </row>
    <row r="46" spans="1:9">
      <c r="A46" s="33">
        <f>IF(INT(41/Setup!$B$16)+1&lt;=Setup!$B$6,INDEX(Scores!$A$4:$A$227,(INT(41/Setup!$B$16)+1-1)*28+MOD(41,Setup!$B$16)+1),"")</f>
        <v>42</v>
      </c>
      <c r="B46" s="33" t="str">
        <f>IF(INT(41/Setup!$B$16)+1&lt;=Setup!$B$6,INDEX(Setup!$B$22:$B$29,INT(41/Setup!$B$16)+1),"")</f>
        <v>B</v>
      </c>
      <c r="C46" s="45">
        <f>IF(INT(41/Setup!$B$16)+1&lt;=Setup!$B$6,INDEX(Scores!$D$4:$D$227,(INT(41/Setup!$B$16)+1-1)*28+MOD(41,Setup!$B$16)+1),"")</f>
        <v>4</v>
      </c>
      <c r="D46" s="106">
        <f>IF(INT(41/Setup!$B$16)+1&lt;=Setup!$B$6,INDEX(Scores!$E$4:$E$227,(INT(41/Setup!$B$16)+1-1)*28+MOD(41,Setup!$B$16)+1),"")</f>
        <v>0</v>
      </c>
      <c r="E46" s="107"/>
      <c r="F46" s="107"/>
      <c r="G46" s="108">
        <f>IF(INT(41/Setup!$B$16)+1&lt;=Setup!$B$6,INDEX(Scores!$G$4:$G$227,(INT(41/Setup!$B$16)+1-1)*28+MOD(41,Setup!$B$16)+1),"")</f>
        <v>0</v>
      </c>
      <c r="H46" s="33" t="str">
        <f>IF(A46="","",IF(INDEX(Scores!$I$4:$I$227,(INT(41/Setup!$B$16)+1-1)*28+MOD(41,Setup!$B$16)+1)=1,"Complete","Waiting"))</f>
        <v>Complete</v>
      </c>
      <c r="I46" s="33" t="str">
        <f t="shared" si="0"/>
        <v>Draw</v>
      </c>
    </row>
    <row r="47" spans="1:9">
      <c r="A47" s="33">
        <f>IF(INT(42/Setup!$B$16)+1&lt;=Setup!$B$6,INDEX(Scores!$A$4:$A$227,(INT(42/Setup!$B$16)+1-1)*28+MOD(42,Setup!$B$16)+1),"")</f>
        <v>43</v>
      </c>
      <c r="B47" s="33" t="str">
        <f>IF(INT(42/Setup!$B$16)+1&lt;=Setup!$B$6,INDEX(Setup!$B$22:$B$29,INT(42/Setup!$B$16)+1),"")</f>
        <v>B</v>
      </c>
      <c r="C47" s="45">
        <f>IF(INT(42/Setup!$B$16)+1&lt;=Setup!$B$6,INDEX(Scores!$D$4:$D$227,(INT(42/Setup!$B$16)+1-1)*28+MOD(42,Setup!$B$16)+1),"")</f>
        <v>4</v>
      </c>
      <c r="D47" s="106">
        <f>IF(INT(42/Setup!$B$16)+1&lt;=Setup!$B$6,INDEX(Scores!$E$4:$E$227,(INT(42/Setup!$B$16)+1-1)*28+MOD(42,Setup!$B$16)+1),"")</f>
        <v>0</v>
      </c>
      <c r="E47" s="107"/>
      <c r="F47" s="107"/>
      <c r="G47" s="108">
        <f>IF(INT(42/Setup!$B$16)+1&lt;=Setup!$B$6,INDEX(Scores!$G$4:$G$227,(INT(42/Setup!$B$16)+1-1)*28+MOD(42,Setup!$B$16)+1),"")</f>
        <v>0</v>
      </c>
      <c r="H47" s="33" t="str">
        <f>IF(A47="","",IF(INDEX(Scores!$I$4:$I$227,(INT(42/Setup!$B$16)+1-1)*28+MOD(42,Setup!$B$16)+1)=1,"Complete","Waiting"))</f>
        <v>Complete</v>
      </c>
      <c r="I47" s="33" t="str">
        <f t="shared" si="0"/>
        <v>Draw</v>
      </c>
    </row>
    <row r="48" spans="1:9">
      <c r="A48" s="33">
        <f>IF(INT(43/Setup!$B$16)+1&lt;=Setup!$B$6,INDEX(Scores!$A$4:$A$227,(INT(43/Setup!$B$16)+1-1)*28+MOD(43,Setup!$B$16)+1),"")</f>
        <v>44</v>
      </c>
      <c r="B48" s="33" t="str">
        <f>IF(INT(43/Setup!$B$16)+1&lt;=Setup!$B$6,INDEX(Setup!$B$22:$B$29,INT(43/Setup!$B$16)+1),"")</f>
        <v>B</v>
      </c>
      <c r="C48" s="45">
        <f>IF(INT(43/Setup!$B$16)+1&lt;=Setup!$B$6,INDEX(Scores!$D$4:$D$227,(INT(43/Setup!$B$16)+1-1)*28+MOD(43,Setup!$B$16)+1),"")</f>
        <v>4</v>
      </c>
      <c r="D48" s="106">
        <f>IF(INT(43/Setup!$B$16)+1&lt;=Setup!$B$6,INDEX(Scores!$E$4:$E$227,(INT(43/Setup!$B$16)+1-1)*28+MOD(43,Setup!$B$16)+1),"")</f>
        <v>0</v>
      </c>
      <c r="E48" s="107"/>
      <c r="F48" s="107"/>
      <c r="G48" s="108">
        <f>IF(INT(43/Setup!$B$16)+1&lt;=Setup!$B$6,INDEX(Scores!$G$4:$G$227,(INT(43/Setup!$B$16)+1-1)*28+MOD(43,Setup!$B$16)+1),"")</f>
        <v>0</v>
      </c>
      <c r="H48" s="33" t="str">
        <f>IF(A48="","",IF(INDEX(Scores!$I$4:$I$227,(INT(43/Setup!$B$16)+1-1)*28+MOD(43,Setup!$B$16)+1)=1,"Complete","Waiting"))</f>
        <v>Complete</v>
      </c>
      <c r="I48" s="33" t="str">
        <f t="shared" si="0"/>
        <v>Draw</v>
      </c>
    </row>
    <row r="49" spans="1:9">
      <c r="A49" s="33">
        <f>IF(INT(44/Setup!$B$16)+1&lt;=Setup!$B$6,INDEX(Scores!$A$4:$A$227,(INT(44/Setup!$B$16)+1-1)*28+MOD(44,Setup!$B$16)+1),"")</f>
        <v>45</v>
      </c>
      <c r="B49" s="33" t="str">
        <f>IF(INT(44/Setup!$B$16)+1&lt;=Setup!$B$6,INDEX(Setup!$B$22:$B$29,INT(44/Setup!$B$16)+1),"")</f>
        <v>B</v>
      </c>
      <c r="C49" s="45">
        <f>IF(INT(44/Setup!$B$16)+1&lt;=Setup!$B$6,INDEX(Scores!$D$4:$D$227,(INT(44/Setup!$B$16)+1-1)*28+MOD(44,Setup!$B$16)+1),"")</f>
        <v>5</v>
      </c>
      <c r="D49" s="106">
        <f>IF(INT(44/Setup!$B$16)+1&lt;=Setup!$B$6,INDEX(Scores!$E$4:$E$227,(INT(44/Setup!$B$16)+1-1)*28+MOD(44,Setup!$B$16)+1),"")</f>
        <v>0</v>
      </c>
      <c r="E49" s="107"/>
      <c r="F49" s="107"/>
      <c r="G49" s="108">
        <f>IF(INT(44/Setup!$B$16)+1&lt;=Setup!$B$6,INDEX(Scores!$G$4:$G$227,(INT(44/Setup!$B$16)+1-1)*28+MOD(44,Setup!$B$16)+1),"")</f>
        <v>0</v>
      </c>
      <c r="H49" s="33" t="str">
        <f>IF(A49="","",IF(INDEX(Scores!$I$4:$I$227,(INT(44/Setup!$B$16)+1-1)*28+MOD(44,Setup!$B$16)+1)=1,"Complete","Waiting"))</f>
        <v>Complete</v>
      </c>
      <c r="I49" s="33" t="str">
        <f t="shared" si="0"/>
        <v>Draw</v>
      </c>
    </row>
    <row r="50" spans="1:9">
      <c r="A50" s="33">
        <f>IF(INT(45/Setup!$B$16)+1&lt;=Setup!$B$6,INDEX(Scores!$A$4:$A$227,(INT(45/Setup!$B$16)+1-1)*28+MOD(45,Setup!$B$16)+1),"")</f>
        <v>46</v>
      </c>
      <c r="B50" s="33" t="str">
        <f>IF(INT(45/Setup!$B$16)+1&lt;=Setup!$B$6,INDEX(Setup!$B$22:$B$29,INT(45/Setup!$B$16)+1),"")</f>
        <v>B</v>
      </c>
      <c r="C50" s="45">
        <f>IF(INT(45/Setup!$B$16)+1&lt;=Setup!$B$6,INDEX(Scores!$D$4:$D$227,(INT(45/Setup!$B$16)+1-1)*28+MOD(45,Setup!$B$16)+1),"")</f>
        <v>5</v>
      </c>
      <c r="D50" s="106">
        <f>IF(INT(45/Setup!$B$16)+1&lt;=Setup!$B$6,INDEX(Scores!$E$4:$E$227,(INT(45/Setup!$B$16)+1-1)*28+MOD(45,Setup!$B$16)+1),"")</f>
        <v>0</v>
      </c>
      <c r="E50" s="107"/>
      <c r="F50" s="107"/>
      <c r="G50" s="108">
        <f>IF(INT(45/Setup!$B$16)+1&lt;=Setup!$B$6,INDEX(Scores!$G$4:$G$227,(INT(45/Setup!$B$16)+1-1)*28+MOD(45,Setup!$B$16)+1),"")</f>
        <v>0</v>
      </c>
      <c r="H50" s="33" t="str">
        <f>IF(A50="","",IF(INDEX(Scores!$I$4:$I$227,(INT(45/Setup!$B$16)+1-1)*28+MOD(45,Setup!$B$16)+1)=1,"Complete","Waiting"))</f>
        <v>Complete</v>
      </c>
      <c r="I50" s="33" t="str">
        <f t="shared" si="0"/>
        <v>Draw</v>
      </c>
    </row>
    <row r="51" spans="1:9">
      <c r="A51" s="33">
        <f>IF(INT(46/Setup!$B$16)+1&lt;=Setup!$B$6,INDEX(Scores!$A$4:$A$227,(INT(46/Setup!$B$16)+1-1)*28+MOD(46,Setup!$B$16)+1),"")</f>
        <v>47</v>
      </c>
      <c r="B51" s="33" t="str">
        <f>IF(INT(46/Setup!$B$16)+1&lt;=Setup!$B$6,INDEX(Setup!$B$22:$B$29,INT(46/Setup!$B$16)+1),"")</f>
        <v>B</v>
      </c>
      <c r="C51" s="45">
        <f>IF(INT(46/Setup!$B$16)+1&lt;=Setup!$B$6,INDEX(Scores!$D$4:$D$227,(INT(46/Setup!$B$16)+1-1)*28+MOD(46,Setup!$B$16)+1),"")</f>
        <v>5</v>
      </c>
      <c r="D51" s="106">
        <f>IF(INT(46/Setup!$B$16)+1&lt;=Setup!$B$6,INDEX(Scores!$E$4:$E$227,(INT(46/Setup!$B$16)+1-1)*28+MOD(46,Setup!$B$16)+1),"")</f>
        <v>0</v>
      </c>
      <c r="E51" s="107"/>
      <c r="F51" s="107"/>
      <c r="G51" s="108">
        <f>IF(INT(46/Setup!$B$16)+1&lt;=Setup!$B$6,INDEX(Scores!$G$4:$G$227,(INT(46/Setup!$B$16)+1-1)*28+MOD(46,Setup!$B$16)+1),"")</f>
        <v>0</v>
      </c>
      <c r="H51" s="33" t="str">
        <f>IF(A51="","",IF(INDEX(Scores!$I$4:$I$227,(INT(46/Setup!$B$16)+1-1)*28+MOD(46,Setup!$B$16)+1)=1,"Complete","Waiting"))</f>
        <v>Complete</v>
      </c>
      <c r="I51" s="33" t="str">
        <f t="shared" si="0"/>
        <v>Draw</v>
      </c>
    </row>
    <row r="52" spans="1:9">
      <c r="A52" s="33">
        <f>IF(INT(47/Setup!$B$16)+1&lt;=Setup!$B$6,INDEX(Scores!$A$4:$A$227,(INT(47/Setup!$B$16)+1-1)*28+MOD(47,Setup!$B$16)+1),"")</f>
        <v>48</v>
      </c>
      <c r="B52" s="33" t="str">
        <f>IF(INT(47/Setup!$B$16)+1&lt;=Setup!$B$6,INDEX(Setup!$B$22:$B$29,INT(47/Setup!$B$16)+1),"")</f>
        <v>B</v>
      </c>
      <c r="C52" s="45">
        <f>IF(INT(47/Setup!$B$16)+1&lt;=Setup!$B$6,INDEX(Scores!$D$4:$D$227,(INT(47/Setup!$B$16)+1-1)*28+MOD(47,Setup!$B$16)+1),"")</f>
        <v>5</v>
      </c>
      <c r="D52" s="106">
        <f>IF(INT(47/Setup!$B$16)+1&lt;=Setup!$B$6,INDEX(Scores!$E$4:$E$227,(INT(47/Setup!$B$16)+1-1)*28+MOD(47,Setup!$B$16)+1),"")</f>
        <v>0</v>
      </c>
      <c r="E52" s="107"/>
      <c r="F52" s="107"/>
      <c r="G52" s="108">
        <f>IF(INT(47/Setup!$B$16)+1&lt;=Setup!$B$6,INDEX(Scores!$G$4:$G$227,(INT(47/Setup!$B$16)+1-1)*28+MOD(47,Setup!$B$16)+1),"")</f>
        <v>0</v>
      </c>
      <c r="H52" s="33" t="str">
        <f>IF(A52="","",IF(INDEX(Scores!$I$4:$I$227,(INT(47/Setup!$B$16)+1-1)*28+MOD(47,Setup!$B$16)+1)=1,"Complete","Waiting"))</f>
        <v>Complete</v>
      </c>
      <c r="I52" s="33" t="str">
        <f t="shared" si="0"/>
        <v>Draw</v>
      </c>
    </row>
    <row r="53" spans="1:9">
      <c r="A53" s="33">
        <f>IF(INT(48/Setup!$B$16)+1&lt;=Setup!$B$6,INDEX(Scores!$A$4:$A$227,(INT(48/Setup!$B$16)+1-1)*28+MOD(48,Setup!$B$16)+1),"")</f>
        <v>49</v>
      </c>
      <c r="B53" s="33" t="str">
        <f>IF(INT(48/Setup!$B$16)+1&lt;=Setup!$B$6,INDEX(Setup!$B$22:$B$29,INT(48/Setup!$B$16)+1),"")</f>
        <v>B</v>
      </c>
      <c r="C53" s="45">
        <f>IF(INT(48/Setup!$B$16)+1&lt;=Setup!$B$6,INDEX(Scores!$D$4:$D$227,(INT(48/Setup!$B$16)+1-1)*28+MOD(48,Setup!$B$16)+1),"")</f>
        <v>6</v>
      </c>
      <c r="D53" s="106">
        <f>IF(INT(48/Setup!$B$16)+1&lt;=Setup!$B$6,INDEX(Scores!$E$4:$E$227,(INT(48/Setup!$B$16)+1-1)*28+MOD(48,Setup!$B$16)+1),"")</f>
        <v>0</v>
      </c>
      <c r="E53" s="107"/>
      <c r="F53" s="107"/>
      <c r="G53" s="108">
        <f>IF(INT(48/Setup!$B$16)+1&lt;=Setup!$B$6,INDEX(Scores!$G$4:$G$227,(INT(48/Setup!$B$16)+1-1)*28+MOD(48,Setup!$B$16)+1),"")</f>
        <v>0</v>
      </c>
      <c r="H53" s="33" t="str">
        <f>IF(A53="","",IF(INDEX(Scores!$I$4:$I$227,(INT(48/Setup!$B$16)+1-1)*28+MOD(48,Setup!$B$16)+1)=1,"Complete","Waiting"))</f>
        <v>Complete</v>
      </c>
      <c r="I53" s="33" t="str">
        <f t="shared" si="0"/>
        <v>Draw</v>
      </c>
    </row>
    <row r="54" spans="1:9">
      <c r="A54" s="33">
        <f>IF(INT(49/Setup!$B$16)+1&lt;=Setup!$B$6,INDEX(Scores!$A$4:$A$227,(INT(49/Setup!$B$16)+1-1)*28+MOD(49,Setup!$B$16)+1),"")</f>
        <v>50</v>
      </c>
      <c r="B54" s="33" t="str">
        <f>IF(INT(49/Setup!$B$16)+1&lt;=Setup!$B$6,INDEX(Setup!$B$22:$B$29,INT(49/Setup!$B$16)+1),"")</f>
        <v>B</v>
      </c>
      <c r="C54" s="45">
        <f>IF(INT(49/Setup!$B$16)+1&lt;=Setup!$B$6,INDEX(Scores!$D$4:$D$227,(INT(49/Setup!$B$16)+1-1)*28+MOD(49,Setup!$B$16)+1),"")</f>
        <v>6</v>
      </c>
      <c r="D54" s="106">
        <f>IF(INT(49/Setup!$B$16)+1&lt;=Setup!$B$6,INDEX(Scores!$E$4:$E$227,(INT(49/Setup!$B$16)+1-1)*28+MOD(49,Setup!$B$16)+1),"")</f>
        <v>0</v>
      </c>
      <c r="E54" s="107"/>
      <c r="F54" s="107"/>
      <c r="G54" s="108">
        <f>IF(INT(49/Setup!$B$16)+1&lt;=Setup!$B$6,INDEX(Scores!$G$4:$G$227,(INT(49/Setup!$B$16)+1-1)*28+MOD(49,Setup!$B$16)+1),"")</f>
        <v>0</v>
      </c>
      <c r="H54" s="33" t="str">
        <f>IF(A54="","",IF(INDEX(Scores!$I$4:$I$227,(INT(49/Setup!$B$16)+1-1)*28+MOD(49,Setup!$B$16)+1)=1,"Complete","Waiting"))</f>
        <v>Complete</v>
      </c>
      <c r="I54" s="33" t="str">
        <f t="shared" si="0"/>
        <v>Draw</v>
      </c>
    </row>
    <row r="55" spans="1:9">
      <c r="A55" s="33">
        <f>IF(INT(50/Setup!$B$16)+1&lt;=Setup!$B$6,INDEX(Scores!$A$4:$A$227,(INT(50/Setup!$B$16)+1-1)*28+MOD(50,Setup!$B$16)+1),"")</f>
        <v>51</v>
      </c>
      <c r="B55" s="33" t="str">
        <f>IF(INT(50/Setup!$B$16)+1&lt;=Setup!$B$6,INDEX(Setup!$B$22:$B$29,INT(50/Setup!$B$16)+1),"")</f>
        <v>B</v>
      </c>
      <c r="C55" s="45">
        <f>IF(INT(50/Setup!$B$16)+1&lt;=Setup!$B$6,INDEX(Scores!$D$4:$D$227,(INT(50/Setup!$B$16)+1-1)*28+MOD(50,Setup!$B$16)+1),"")</f>
        <v>6</v>
      </c>
      <c r="D55" s="106">
        <f>IF(INT(50/Setup!$B$16)+1&lt;=Setup!$B$6,INDEX(Scores!$E$4:$E$227,(INT(50/Setup!$B$16)+1-1)*28+MOD(50,Setup!$B$16)+1),"")</f>
        <v>0</v>
      </c>
      <c r="E55" s="107"/>
      <c r="F55" s="107"/>
      <c r="G55" s="108">
        <f>IF(INT(50/Setup!$B$16)+1&lt;=Setup!$B$6,INDEX(Scores!$G$4:$G$227,(INT(50/Setup!$B$16)+1-1)*28+MOD(50,Setup!$B$16)+1),"")</f>
        <v>0</v>
      </c>
      <c r="H55" s="33" t="str">
        <f>IF(A55="","",IF(INDEX(Scores!$I$4:$I$227,(INT(50/Setup!$B$16)+1-1)*28+MOD(50,Setup!$B$16)+1)=1,"Complete","Waiting"))</f>
        <v>Complete</v>
      </c>
      <c r="I55" s="33" t="str">
        <f t="shared" si="0"/>
        <v>Draw</v>
      </c>
    </row>
    <row r="56" spans="1:9">
      <c r="A56" s="33">
        <f>IF(INT(51/Setup!$B$16)+1&lt;=Setup!$B$6,INDEX(Scores!$A$4:$A$227,(INT(51/Setup!$B$16)+1-1)*28+MOD(51,Setup!$B$16)+1),"")</f>
        <v>52</v>
      </c>
      <c r="B56" s="33" t="str">
        <f>IF(INT(51/Setup!$B$16)+1&lt;=Setup!$B$6,INDEX(Setup!$B$22:$B$29,INT(51/Setup!$B$16)+1),"")</f>
        <v>B</v>
      </c>
      <c r="C56" s="45">
        <f>IF(INT(51/Setup!$B$16)+1&lt;=Setup!$B$6,INDEX(Scores!$D$4:$D$227,(INT(51/Setup!$B$16)+1-1)*28+MOD(51,Setup!$B$16)+1),"")</f>
        <v>6</v>
      </c>
      <c r="D56" s="106">
        <f>IF(INT(51/Setup!$B$16)+1&lt;=Setup!$B$6,INDEX(Scores!$E$4:$E$227,(INT(51/Setup!$B$16)+1-1)*28+MOD(51,Setup!$B$16)+1),"")</f>
        <v>0</v>
      </c>
      <c r="E56" s="107"/>
      <c r="F56" s="107"/>
      <c r="G56" s="108">
        <f>IF(INT(51/Setup!$B$16)+1&lt;=Setup!$B$6,INDEX(Scores!$G$4:$G$227,(INT(51/Setup!$B$16)+1-1)*28+MOD(51,Setup!$B$16)+1),"")</f>
        <v>0</v>
      </c>
      <c r="H56" s="33" t="str">
        <f>IF(A56="","",IF(INDEX(Scores!$I$4:$I$227,(INT(51/Setup!$B$16)+1-1)*28+MOD(51,Setup!$B$16)+1)=1,"Complete","Waiting"))</f>
        <v>Complete</v>
      </c>
      <c r="I56" s="33" t="str">
        <f t="shared" si="0"/>
        <v>Draw</v>
      </c>
    </row>
    <row r="57" spans="1:9">
      <c r="A57" s="33">
        <f>IF(INT(52/Setup!$B$16)+1&lt;=Setup!$B$6,INDEX(Scores!$A$4:$A$227,(INT(52/Setup!$B$16)+1-1)*28+MOD(52,Setup!$B$16)+1),"")</f>
        <v>53</v>
      </c>
      <c r="B57" s="33" t="str">
        <f>IF(INT(52/Setup!$B$16)+1&lt;=Setup!$B$6,INDEX(Setup!$B$22:$B$29,INT(52/Setup!$B$16)+1),"")</f>
        <v>B</v>
      </c>
      <c r="C57" s="45">
        <f>IF(INT(52/Setup!$B$16)+1&lt;=Setup!$B$6,INDEX(Scores!$D$4:$D$227,(INT(52/Setup!$B$16)+1-1)*28+MOD(52,Setup!$B$16)+1),"")</f>
        <v>7</v>
      </c>
      <c r="D57" s="106">
        <f>IF(INT(52/Setup!$B$16)+1&lt;=Setup!$B$6,INDEX(Scores!$E$4:$E$227,(INT(52/Setup!$B$16)+1-1)*28+MOD(52,Setup!$B$16)+1),"")</f>
        <v>0</v>
      </c>
      <c r="E57" s="107"/>
      <c r="F57" s="107"/>
      <c r="G57" s="108">
        <f>IF(INT(52/Setup!$B$16)+1&lt;=Setup!$B$6,INDEX(Scores!$G$4:$G$227,(INT(52/Setup!$B$16)+1-1)*28+MOD(52,Setup!$B$16)+1),"")</f>
        <v>0</v>
      </c>
      <c r="H57" s="33" t="str">
        <f>IF(A57="","",IF(INDEX(Scores!$I$4:$I$227,(INT(52/Setup!$B$16)+1-1)*28+MOD(52,Setup!$B$16)+1)=1,"Complete","Waiting"))</f>
        <v>Complete</v>
      </c>
      <c r="I57" s="33" t="str">
        <f t="shared" si="0"/>
        <v>Draw</v>
      </c>
    </row>
    <row r="58" spans="1:9">
      <c r="A58" s="33">
        <f>IF(INT(53/Setup!$B$16)+1&lt;=Setup!$B$6,INDEX(Scores!$A$4:$A$227,(INT(53/Setup!$B$16)+1-1)*28+MOD(53,Setup!$B$16)+1),"")</f>
        <v>54</v>
      </c>
      <c r="B58" s="33" t="str">
        <f>IF(INT(53/Setup!$B$16)+1&lt;=Setup!$B$6,INDEX(Setup!$B$22:$B$29,INT(53/Setup!$B$16)+1),"")</f>
        <v>B</v>
      </c>
      <c r="C58" s="45">
        <f>IF(INT(53/Setup!$B$16)+1&lt;=Setup!$B$6,INDEX(Scores!$D$4:$D$227,(INT(53/Setup!$B$16)+1-1)*28+MOD(53,Setup!$B$16)+1),"")</f>
        <v>7</v>
      </c>
      <c r="D58" s="106">
        <f>IF(INT(53/Setup!$B$16)+1&lt;=Setup!$B$6,INDEX(Scores!$E$4:$E$227,(INT(53/Setup!$B$16)+1-1)*28+MOD(53,Setup!$B$16)+1),"")</f>
        <v>0</v>
      </c>
      <c r="E58" s="107"/>
      <c r="F58" s="107"/>
      <c r="G58" s="108">
        <f>IF(INT(53/Setup!$B$16)+1&lt;=Setup!$B$6,INDEX(Scores!$G$4:$G$227,(INT(53/Setup!$B$16)+1-1)*28+MOD(53,Setup!$B$16)+1),"")</f>
        <v>0</v>
      </c>
      <c r="H58" s="33" t="str">
        <f>IF(A58="","",IF(INDEX(Scores!$I$4:$I$227,(INT(53/Setup!$B$16)+1-1)*28+MOD(53,Setup!$B$16)+1)=1,"Complete","Waiting"))</f>
        <v>Complete</v>
      </c>
      <c r="I58" s="33" t="str">
        <f t="shared" si="0"/>
        <v>Draw</v>
      </c>
    </row>
    <row r="59" spans="1:9">
      <c r="A59" s="33">
        <f>IF(INT(54/Setup!$B$16)+1&lt;=Setup!$B$6,INDEX(Scores!$A$4:$A$227,(INT(54/Setup!$B$16)+1-1)*28+MOD(54,Setup!$B$16)+1),"")</f>
        <v>55</v>
      </c>
      <c r="B59" s="33" t="str">
        <f>IF(INT(54/Setup!$B$16)+1&lt;=Setup!$B$6,INDEX(Setup!$B$22:$B$29,INT(54/Setup!$B$16)+1),"")</f>
        <v>B</v>
      </c>
      <c r="C59" s="45">
        <f>IF(INT(54/Setup!$B$16)+1&lt;=Setup!$B$6,INDEX(Scores!$D$4:$D$227,(INT(54/Setup!$B$16)+1-1)*28+MOD(54,Setup!$B$16)+1),"")</f>
        <v>7</v>
      </c>
      <c r="D59" s="106">
        <f>IF(INT(54/Setup!$B$16)+1&lt;=Setup!$B$6,INDEX(Scores!$E$4:$E$227,(INT(54/Setup!$B$16)+1-1)*28+MOD(54,Setup!$B$16)+1),"")</f>
        <v>0</v>
      </c>
      <c r="E59" s="107"/>
      <c r="F59" s="107"/>
      <c r="G59" s="108">
        <f>IF(INT(54/Setup!$B$16)+1&lt;=Setup!$B$6,INDEX(Scores!$G$4:$G$227,(INT(54/Setup!$B$16)+1-1)*28+MOD(54,Setup!$B$16)+1),"")</f>
        <v>0</v>
      </c>
      <c r="H59" s="33" t="str">
        <f>IF(A59="","",IF(INDEX(Scores!$I$4:$I$227,(INT(54/Setup!$B$16)+1-1)*28+MOD(54,Setup!$B$16)+1)=1,"Complete","Waiting"))</f>
        <v>Complete</v>
      </c>
      <c r="I59" s="33" t="str">
        <f t="shared" si="0"/>
        <v>Draw</v>
      </c>
    </row>
    <row r="60" spans="1:9">
      <c r="A60" s="33">
        <f>IF(INT(55/Setup!$B$16)+1&lt;=Setup!$B$6,INDEX(Scores!$A$4:$A$227,(INT(55/Setup!$B$16)+1-1)*28+MOD(55,Setup!$B$16)+1),"")</f>
        <v>56</v>
      </c>
      <c r="B60" s="33" t="str">
        <f>IF(INT(55/Setup!$B$16)+1&lt;=Setup!$B$6,INDEX(Setup!$B$22:$B$29,INT(55/Setup!$B$16)+1),"")</f>
        <v>B</v>
      </c>
      <c r="C60" s="45">
        <f>IF(INT(55/Setup!$B$16)+1&lt;=Setup!$B$6,INDEX(Scores!$D$4:$D$227,(INT(55/Setup!$B$16)+1-1)*28+MOD(55,Setup!$B$16)+1),"")</f>
        <v>7</v>
      </c>
      <c r="D60" s="106">
        <f>IF(INT(55/Setup!$B$16)+1&lt;=Setup!$B$6,INDEX(Scores!$E$4:$E$227,(INT(55/Setup!$B$16)+1-1)*28+MOD(55,Setup!$B$16)+1),"")</f>
        <v>0</v>
      </c>
      <c r="E60" s="107"/>
      <c r="F60" s="107"/>
      <c r="G60" s="108">
        <f>IF(INT(55/Setup!$B$16)+1&lt;=Setup!$B$6,INDEX(Scores!$G$4:$G$227,(INT(55/Setup!$B$16)+1-1)*28+MOD(55,Setup!$B$16)+1),"")</f>
        <v>0</v>
      </c>
      <c r="H60" s="33" t="str">
        <f>IF(A60="","",IF(INDEX(Scores!$I$4:$I$227,(INT(55/Setup!$B$16)+1-1)*28+MOD(55,Setup!$B$16)+1)=1,"Complete","Waiting"))</f>
        <v>Complete</v>
      </c>
      <c r="I60" s="33" t="str">
        <f t="shared" si="0"/>
        <v>Draw</v>
      </c>
    </row>
    <row r="61" spans="1:9">
      <c r="A61" s="33" t="str">
        <f>IF(INT(56/Setup!$B$16)+1&lt;=Setup!$B$6,INDEX(Scores!$A$4:$A$227,(INT(56/Setup!$B$16)+1-1)*28+MOD(56,Setup!$B$16)+1),"")</f>
        <v/>
      </c>
      <c r="B61" s="33" t="str">
        <f>IF(INT(56/Setup!$B$16)+1&lt;=Setup!$B$6,INDEX(Setup!$B$22:$B$29,INT(56/Setup!$B$16)+1),"")</f>
        <v/>
      </c>
      <c r="C61" s="45" t="str">
        <f>IF(INT(56/Setup!$B$16)+1&lt;=Setup!$B$6,INDEX(Scores!$D$4:$D$227,(INT(56/Setup!$B$16)+1-1)*28+MOD(56,Setup!$B$16)+1),"")</f>
        <v/>
      </c>
      <c r="D61" s="106" t="str">
        <f>IF(INT(56/Setup!$B$16)+1&lt;=Setup!$B$6,INDEX(Scores!$E$4:$E$227,(INT(56/Setup!$B$16)+1-1)*28+MOD(56,Setup!$B$16)+1),"")</f>
        <v/>
      </c>
      <c r="E61" s="107"/>
      <c r="F61" s="107"/>
      <c r="G61" s="108" t="str">
        <f>IF(INT(56/Setup!$B$16)+1&lt;=Setup!$B$6,INDEX(Scores!$G$4:$G$227,(INT(56/Setup!$B$16)+1-1)*28+MOD(56,Setup!$B$16)+1),"")</f>
        <v/>
      </c>
      <c r="H61" s="33" t="str">
        <f>IF(A61="","",IF(INDEX(Scores!$I$4:$I$227,(INT(56/Setup!$B$16)+1-1)*28+MOD(56,Setup!$B$16)+1)=1,"Complete","Waiting"))</f>
        <v/>
      </c>
      <c r="I61" s="33" t="str">
        <f t="shared" si="0"/>
        <v/>
      </c>
    </row>
    <row r="62" spans="1:9">
      <c r="A62" s="33" t="str">
        <f>IF(INT(57/Setup!$B$16)+1&lt;=Setup!$B$6,INDEX(Scores!$A$4:$A$227,(INT(57/Setup!$B$16)+1-1)*28+MOD(57,Setup!$B$16)+1),"")</f>
        <v/>
      </c>
      <c r="B62" s="33" t="str">
        <f>IF(INT(57/Setup!$B$16)+1&lt;=Setup!$B$6,INDEX(Setup!$B$22:$B$29,INT(57/Setup!$B$16)+1),"")</f>
        <v/>
      </c>
      <c r="C62" s="45" t="str">
        <f>IF(INT(57/Setup!$B$16)+1&lt;=Setup!$B$6,INDEX(Scores!$D$4:$D$227,(INT(57/Setup!$B$16)+1-1)*28+MOD(57,Setup!$B$16)+1),"")</f>
        <v/>
      </c>
      <c r="D62" s="106" t="str">
        <f>IF(INT(57/Setup!$B$16)+1&lt;=Setup!$B$6,INDEX(Scores!$E$4:$E$227,(INT(57/Setup!$B$16)+1-1)*28+MOD(57,Setup!$B$16)+1),"")</f>
        <v/>
      </c>
      <c r="E62" s="107"/>
      <c r="F62" s="107"/>
      <c r="G62" s="108" t="str">
        <f>IF(INT(57/Setup!$B$16)+1&lt;=Setup!$B$6,INDEX(Scores!$G$4:$G$227,(INT(57/Setup!$B$16)+1-1)*28+MOD(57,Setup!$B$16)+1),"")</f>
        <v/>
      </c>
      <c r="H62" s="33" t="str">
        <f>IF(A62="","",IF(INDEX(Scores!$I$4:$I$227,(INT(57/Setup!$B$16)+1-1)*28+MOD(57,Setup!$B$16)+1)=1,"Complete","Waiting"))</f>
        <v/>
      </c>
      <c r="I62" s="33" t="str">
        <f t="shared" si="0"/>
        <v/>
      </c>
    </row>
    <row r="63" spans="1:9">
      <c r="A63" s="33" t="str">
        <f>IF(INT(58/Setup!$B$16)+1&lt;=Setup!$B$6,INDEX(Scores!$A$4:$A$227,(INT(58/Setup!$B$16)+1-1)*28+MOD(58,Setup!$B$16)+1),"")</f>
        <v/>
      </c>
      <c r="B63" s="33" t="str">
        <f>IF(INT(58/Setup!$B$16)+1&lt;=Setup!$B$6,INDEX(Setup!$B$22:$B$29,INT(58/Setup!$B$16)+1),"")</f>
        <v/>
      </c>
      <c r="C63" s="45" t="str">
        <f>IF(INT(58/Setup!$B$16)+1&lt;=Setup!$B$6,INDEX(Scores!$D$4:$D$227,(INT(58/Setup!$B$16)+1-1)*28+MOD(58,Setup!$B$16)+1),"")</f>
        <v/>
      </c>
      <c r="D63" s="106" t="str">
        <f>IF(INT(58/Setup!$B$16)+1&lt;=Setup!$B$6,INDEX(Scores!$E$4:$E$227,(INT(58/Setup!$B$16)+1-1)*28+MOD(58,Setup!$B$16)+1),"")</f>
        <v/>
      </c>
      <c r="E63" s="107"/>
      <c r="F63" s="107"/>
      <c r="G63" s="108" t="str">
        <f>IF(INT(58/Setup!$B$16)+1&lt;=Setup!$B$6,INDEX(Scores!$G$4:$G$227,(INT(58/Setup!$B$16)+1-1)*28+MOD(58,Setup!$B$16)+1),"")</f>
        <v/>
      </c>
      <c r="H63" s="33" t="str">
        <f>IF(A63="","",IF(INDEX(Scores!$I$4:$I$227,(INT(58/Setup!$B$16)+1-1)*28+MOD(58,Setup!$B$16)+1)=1,"Complete","Waiting"))</f>
        <v/>
      </c>
      <c r="I63" s="33" t="str">
        <f t="shared" si="0"/>
        <v/>
      </c>
    </row>
    <row r="64" spans="1:9">
      <c r="A64" s="33" t="str">
        <f>IF(INT(59/Setup!$B$16)+1&lt;=Setup!$B$6,INDEX(Scores!$A$4:$A$227,(INT(59/Setup!$B$16)+1-1)*28+MOD(59,Setup!$B$16)+1),"")</f>
        <v/>
      </c>
      <c r="B64" s="33" t="str">
        <f>IF(INT(59/Setup!$B$16)+1&lt;=Setup!$B$6,INDEX(Setup!$B$22:$B$29,INT(59/Setup!$B$16)+1),"")</f>
        <v/>
      </c>
      <c r="C64" s="45" t="str">
        <f>IF(INT(59/Setup!$B$16)+1&lt;=Setup!$B$6,INDEX(Scores!$D$4:$D$227,(INT(59/Setup!$B$16)+1-1)*28+MOD(59,Setup!$B$16)+1),"")</f>
        <v/>
      </c>
      <c r="D64" s="106" t="str">
        <f>IF(INT(59/Setup!$B$16)+1&lt;=Setup!$B$6,INDEX(Scores!$E$4:$E$227,(INT(59/Setup!$B$16)+1-1)*28+MOD(59,Setup!$B$16)+1),"")</f>
        <v/>
      </c>
      <c r="E64" s="107"/>
      <c r="F64" s="107"/>
      <c r="G64" s="108" t="str">
        <f>IF(INT(59/Setup!$B$16)+1&lt;=Setup!$B$6,INDEX(Scores!$G$4:$G$227,(INT(59/Setup!$B$16)+1-1)*28+MOD(59,Setup!$B$16)+1),"")</f>
        <v/>
      </c>
      <c r="H64" s="33" t="str">
        <f>IF(A64="","",IF(INDEX(Scores!$I$4:$I$227,(INT(59/Setup!$B$16)+1-1)*28+MOD(59,Setup!$B$16)+1)=1,"Complete","Waiting"))</f>
        <v/>
      </c>
      <c r="I64" s="33" t="str">
        <f t="shared" si="0"/>
        <v/>
      </c>
    </row>
    <row r="65" spans="1:9">
      <c r="A65" s="33" t="str">
        <f>IF(INT(60/Setup!$B$16)+1&lt;=Setup!$B$6,INDEX(Scores!$A$4:$A$227,(INT(60/Setup!$B$16)+1-1)*28+MOD(60,Setup!$B$16)+1),"")</f>
        <v/>
      </c>
      <c r="B65" s="33" t="str">
        <f>IF(INT(60/Setup!$B$16)+1&lt;=Setup!$B$6,INDEX(Setup!$B$22:$B$29,INT(60/Setup!$B$16)+1),"")</f>
        <v/>
      </c>
      <c r="C65" s="45" t="str">
        <f>IF(INT(60/Setup!$B$16)+1&lt;=Setup!$B$6,INDEX(Scores!$D$4:$D$227,(INT(60/Setup!$B$16)+1-1)*28+MOD(60,Setup!$B$16)+1),"")</f>
        <v/>
      </c>
      <c r="D65" s="106" t="str">
        <f>IF(INT(60/Setup!$B$16)+1&lt;=Setup!$B$6,INDEX(Scores!$E$4:$E$227,(INT(60/Setup!$B$16)+1-1)*28+MOD(60,Setup!$B$16)+1),"")</f>
        <v/>
      </c>
      <c r="E65" s="107"/>
      <c r="F65" s="107"/>
      <c r="G65" s="108" t="str">
        <f>IF(INT(60/Setup!$B$16)+1&lt;=Setup!$B$6,INDEX(Scores!$G$4:$G$227,(INT(60/Setup!$B$16)+1-1)*28+MOD(60,Setup!$B$16)+1),"")</f>
        <v/>
      </c>
      <c r="H65" s="33" t="str">
        <f>IF(A65="","",IF(INDEX(Scores!$I$4:$I$227,(INT(60/Setup!$B$16)+1-1)*28+MOD(60,Setup!$B$16)+1)=1,"Complete","Waiting"))</f>
        <v/>
      </c>
      <c r="I65" s="33" t="str">
        <f t="shared" si="0"/>
        <v/>
      </c>
    </row>
    <row r="66" spans="1:9">
      <c r="A66" s="33" t="str">
        <f>IF(INT(61/Setup!$B$16)+1&lt;=Setup!$B$6,INDEX(Scores!$A$4:$A$227,(INT(61/Setup!$B$16)+1-1)*28+MOD(61,Setup!$B$16)+1),"")</f>
        <v/>
      </c>
      <c r="B66" s="33" t="str">
        <f>IF(INT(61/Setup!$B$16)+1&lt;=Setup!$B$6,INDEX(Setup!$B$22:$B$29,INT(61/Setup!$B$16)+1),"")</f>
        <v/>
      </c>
      <c r="C66" s="45" t="str">
        <f>IF(INT(61/Setup!$B$16)+1&lt;=Setup!$B$6,INDEX(Scores!$D$4:$D$227,(INT(61/Setup!$B$16)+1-1)*28+MOD(61,Setup!$B$16)+1),"")</f>
        <v/>
      </c>
      <c r="D66" s="106" t="str">
        <f>IF(INT(61/Setup!$B$16)+1&lt;=Setup!$B$6,INDEX(Scores!$E$4:$E$227,(INT(61/Setup!$B$16)+1-1)*28+MOD(61,Setup!$B$16)+1),"")</f>
        <v/>
      </c>
      <c r="E66" s="107"/>
      <c r="F66" s="107"/>
      <c r="G66" s="108" t="str">
        <f>IF(INT(61/Setup!$B$16)+1&lt;=Setup!$B$6,INDEX(Scores!$G$4:$G$227,(INT(61/Setup!$B$16)+1-1)*28+MOD(61,Setup!$B$16)+1),"")</f>
        <v/>
      </c>
      <c r="H66" s="33" t="str">
        <f>IF(A66="","",IF(INDEX(Scores!$I$4:$I$227,(INT(61/Setup!$B$16)+1-1)*28+MOD(61,Setup!$B$16)+1)=1,"Complete","Waiting"))</f>
        <v/>
      </c>
      <c r="I66" s="33" t="str">
        <f t="shared" si="0"/>
        <v/>
      </c>
    </row>
    <row r="67" spans="1:9">
      <c r="A67" s="33" t="str">
        <f>IF(INT(62/Setup!$B$16)+1&lt;=Setup!$B$6,INDEX(Scores!$A$4:$A$227,(INT(62/Setup!$B$16)+1-1)*28+MOD(62,Setup!$B$16)+1),"")</f>
        <v/>
      </c>
      <c r="B67" s="33" t="str">
        <f>IF(INT(62/Setup!$B$16)+1&lt;=Setup!$B$6,INDEX(Setup!$B$22:$B$29,INT(62/Setup!$B$16)+1),"")</f>
        <v/>
      </c>
      <c r="C67" s="45" t="str">
        <f>IF(INT(62/Setup!$B$16)+1&lt;=Setup!$B$6,INDEX(Scores!$D$4:$D$227,(INT(62/Setup!$B$16)+1-1)*28+MOD(62,Setup!$B$16)+1),"")</f>
        <v/>
      </c>
      <c r="D67" s="106" t="str">
        <f>IF(INT(62/Setup!$B$16)+1&lt;=Setup!$B$6,INDEX(Scores!$E$4:$E$227,(INT(62/Setup!$B$16)+1-1)*28+MOD(62,Setup!$B$16)+1),"")</f>
        <v/>
      </c>
      <c r="E67" s="107"/>
      <c r="F67" s="107"/>
      <c r="G67" s="108" t="str">
        <f>IF(INT(62/Setup!$B$16)+1&lt;=Setup!$B$6,INDEX(Scores!$G$4:$G$227,(INT(62/Setup!$B$16)+1-1)*28+MOD(62,Setup!$B$16)+1),"")</f>
        <v/>
      </c>
      <c r="H67" s="33" t="str">
        <f>IF(A67="","",IF(INDEX(Scores!$I$4:$I$227,(INT(62/Setup!$B$16)+1-1)*28+MOD(62,Setup!$B$16)+1)=1,"Complete","Waiting"))</f>
        <v/>
      </c>
      <c r="I67" s="33" t="str">
        <f t="shared" si="0"/>
        <v/>
      </c>
    </row>
    <row r="68" spans="1:9">
      <c r="A68" s="33" t="str">
        <f>IF(INT(63/Setup!$B$16)+1&lt;=Setup!$B$6,INDEX(Scores!$A$4:$A$227,(INT(63/Setup!$B$16)+1-1)*28+MOD(63,Setup!$B$16)+1),"")</f>
        <v/>
      </c>
      <c r="B68" s="33" t="str">
        <f>IF(INT(63/Setup!$B$16)+1&lt;=Setup!$B$6,INDEX(Setup!$B$22:$B$29,INT(63/Setup!$B$16)+1),"")</f>
        <v/>
      </c>
      <c r="C68" s="45" t="str">
        <f>IF(INT(63/Setup!$B$16)+1&lt;=Setup!$B$6,INDEX(Scores!$D$4:$D$227,(INT(63/Setup!$B$16)+1-1)*28+MOD(63,Setup!$B$16)+1),"")</f>
        <v/>
      </c>
      <c r="D68" s="106" t="str">
        <f>IF(INT(63/Setup!$B$16)+1&lt;=Setup!$B$6,INDEX(Scores!$E$4:$E$227,(INT(63/Setup!$B$16)+1-1)*28+MOD(63,Setup!$B$16)+1),"")</f>
        <v/>
      </c>
      <c r="E68" s="107"/>
      <c r="F68" s="107"/>
      <c r="G68" s="108" t="str">
        <f>IF(INT(63/Setup!$B$16)+1&lt;=Setup!$B$6,INDEX(Scores!$G$4:$G$227,(INT(63/Setup!$B$16)+1-1)*28+MOD(63,Setup!$B$16)+1),"")</f>
        <v/>
      </c>
      <c r="H68" s="33" t="str">
        <f>IF(A68="","",IF(INDEX(Scores!$I$4:$I$227,(INT(63/Setup!$B$16)+1-1)*28+MOD(63,Setup!$B$16)+1)=1,"Complete","Waiting"))</f>
        <v/>
      </c>
      <c r="I68" s="33" t="str">
        <f t="shared" si="0"/>
        <v/>
      </c>
    </row>
    <row r="69" spans="1:9">
      <c r="A69" s="33" t="str">
        <f>IF(INT(64/Setup!$B$16)+1&lt;=Setup!$B$6,INDEX(Scores!$A$4:$A$227,(INT(64/Setup!$B$16)+1-1)*28+MOD(64,Setup!$B$16)+1),"")</f>
        <v/>
      </c>
      <c r="B69" s="33" t="str">
        <f>IF(INT(64/Setup!$B$16)+1&lt;=Setup!$B$6,INDEX(Setup!$B$22:$B$29,INT(64/Setup!$B$16)+1),"")</f>
        <v/>
      </c>
      <c r="C69" s="45" t="str">
        <f>IF(INT(64/Setup!$B$16)+1&lt;=Setup!$B$6,INDEX(Scores!$D$4:$D$227,(INT(64/Setup!$B$16)+1-1)*28+MOD(64,Setup!$B$16)+1),"")</f>
        <v/>
      </c>
      <c r="D69" s="106" t="str">
        <f>IF(INT(64/Setup!$B$16)+1&lt;=Setup!$B$6,INDEX(Scores!$E$4:$E$227,(INT(64/Setup!$B$16)+1-1)*28+MOD(64,Setup!$B$16)+1),"")</f>
        <v/>
      </c>
      <c r="E69" s="107"/>
      <c r="F69" s="107"/>
      <c r="G69" s="108" t="str">
        <f>IF(INT(64/Setup!$B$16)+1&lt;=Setup!$B$6,INDEX(Scores!$G$4:$G$227,(INT(64/Setup!$B$16)+1-1)*28+MOD(64,Setup!$B$16)+1),"")</f>
        <v/>
      </c>
      <c r="H69" s="33" t="str">
        <f>IF(A69="","",IF(INDEX(Scores!$I$4:$I$227,(INT(64/Setup!$B$16)+1-1)*28+MOD(64,Setup!$B$16)+1)=1,"Complete","Waiting"))</f>
        <v/>
      </c>
      <c r="I69" s="33" t="str">
        <f t="shared" ref="I69:I132" si="1">IF(H69&lt;&gt;"Complete","",IF(E69&gt;F69,D69,IF(F69&gt;E69,G69,"Draw")))</f>
        <v/>
      </c>
    </row>
    <row r="70" spans="1:9">
      <c r="A70" s="33" t="str">
        <f>IF(INT(65/Setup!$B$16)+1&lt;=Setup!$B$6,INDEX(Scores!$A$4:$A$227,(INT(65/Setup!$B$16)+1-1)*28+MOD(65,Setup!$B$16)+1),"")</f>
        <v/>
      </c>
      <c r="B70" s="33" t="str">
        <f>IF(INT(65/Setup!$B$16)+1&lt;=Setup!$B$6,INDEX(Setup!$B$22:$B$29,INT(65/Setup!$B$16)+1),"")</f>
        <v/>
      </c>
      <c r="C70" s="45" t="str">
        <f>IF(INT(65/Setup!$B$16)+1&lt;=Setup!$B$6,INDEX(Scores!$D$4:$D$227,(INT(65/Setup!$B$16)+1-1)*28+MOD(65,Setup!$B$16)+1),"")</f>
        <v/>
      </c>
      <c r="D70" s="106" t="str">
        <f>IF(INT(65/Setup!$B$16)+1&lt;=Setup!$B$6,INDEX(Scores!$E$4:$E$227,(INT(65/Setup!$B$16)+1-1)*28+MOD(65,Setup!$B$16)+1),"")</f>
        <v/>
      </c>
      <c r="E70" s="107"/>
      <c r="F70" s="107"/>
      <c r="G70" s="108" t="str">
        <f>IF(INT(65/Setup!$B$16)+1&lt;=Setup!$B$6,INDEX(Scores!$G$4:$G$227,(INT(65/Setup!$B$16)+1-1)*28+MOD(65,Setup!$B$16)+1),"")</f>
        <v/>
      </c>
      <c r="H70" s="33" t="str">
        <f>IF(A70="","",IF(INDEX(Scores!$I$4:$I$227,(INT(65/Setup!$B$16)+1-1)*28+MOD(65,Setup!$B$16)+1)=1,"Complete","Waiting"))</f>
        <v/>
      </c>
      <c r="I70" s="33" t="str">
        <f t="shared" si="1"/>
        <v/>
      </c>
    </row>
    <row r="71" spans="1:9">
      <c r="A71" s="33" t="str">
        <f>IF(INT(66/Setup!$B$16)+1&lt;=Setup!$B$6,INDEX(Scores!$A$4:$A$227,(INT(66/Setup!$B$16)+1-1)*28+MOD(66,Setup!$B$16)+1),"")</f>
        <v/>
      </c>
      <c r="B71" s="33" t="str">
        <f>IF(INT(66/Setup!$B$16)+1&lt;=Setup!$B$6,INDEX(Setup!$B$22:$B$29,INT(66/Setup!$B$16)+1),"")</f>
        <v/>
      </c>
      <c r="C71" s="45" t="str">
        <f>IF(INT(66/Setup!$B$16)+1&lt;=Setup!$B$6,INDEX(Scores!$D$4:$D$227,(INT(66/Setup!$B$16)+1-1)*28+MOD(66,Setup!$B$16)+1),"")</f>
        <v/>
      </c>
      <c r="D71" s="106" t="str">
        <f>IF(INT(66/Setup!$B$16)+1&lt;=Setup!$B$6,INDEX(Scores!$E$4:$E$227,(INT(66/Setup!$B$16)+1-1)*28+MOD(66,Setup!$B$16)+1),"")</f>
        <v/>
      </c>
      <c r="E71" s="107"/>
      <c r="F71" s="107"/>
      <c r="G71" s="108" t="str">
        <f>IF(INT(66/Setup!$B$16)+1&lt;=Setup!$B$6,INDEX(Scores!$G$4:$G$227,(INT(66/Setup!$B$16)+1-1)*28+MOD(66,Setup!$B$16)+1),"")</f>
        <v/>
      </c>
      <c r="H71" s="33" t="str">
        <f>IF(A71="","",IF(INDEX(Scores!$I$4:$I$227,(INT(66/Setup!$B$16)+1-1)*28+MOD(66,Setup!$B$16)+1)=1,"Complete","Waiting"))</f>
        <v/>
      </c>
      <c r="I71" s="33" t="str">
        <f t="shared" si="1"/>
        <v/>
      </c>
    </row>
    <row r="72" spans="1:9">
      <c r="A72" s="33" t="str">
        <f>IF(INT(67/Setup!$B$16)+1&lt;=Setup!$B$6,INDEX(Scores!$A$4:$A$227,(INT(67/Setup!$B$16)+1-1)*28+MOD(67,Setup!$B$16)+1),"")</f>
        <v/>
      </c>
      <c r="B72" s="33" t="str">
        <f>IF(INT(67/Setup!$B$16)+1&lt;=Setup!$B$6,INDEX(Setup!$B$22:$B$29,INT(67/Setup!$B$16)+1),"")</f>
        <v/>
      </c>
      <c r="C72" s="45" t="str">
        <f>IF(INT(67/Setup!$B$16)+1&lt;=Setup!$B$6,INDEX(Scores!$D$4:$D$227,(INT(67/Setup!$B$16)+1-1)*28+MOD(67,Setup!$B$16)+1),"")</f>
        <v/>
      </c>
      <c r="D72" s="106" t="str">
        <f>IF(INT(67/Setup!$B$16)+1&lt;=Setup!$B$6,INDEX(Scores!$E$4:$E$227,(INT(67/Setup!$B$16)+1-1)*28+MOD(67,Setup!$B$16)+1),"")</f>
        <v/>
      </c>
      <c r="E72" s="107"/>
      <c r="F72" s="107"/>
      <c r="G72" s="108" t="str">
        <f>IF(INT(67/Setup!$B$16)+1&lt;=Setup!$B$6,INDEX(Scores!$G$4:$G$227,(INT(67/Setup!$B$16)+1-1)*28+MOD(67,Setup!$B$16)+1),"")</f>
        <v/>
      </c>
      <c r="H72" s="33" t="str">
        <f>IF(A72="","",IF(INDEX(Scores!$I$4:$I$227,(INT(67/Setup!$B$16)+1-1)*28+MOD(67,Setup!$B$16)+1)=1,"Complete","Waiting"))</f>
        <v/>
      </c>
      <c r="I72" s="33" t="str">
        <f t="shared" si="1"/>
        <v/>
      </c>
    </row>
    <row r="73" spans="1:9">
      <c r="A73" s="33" t="str">
        <f>IF(INT(68/Setup!$B$16)+1&lt;=Setup!$B$6,INDEX(Scores!$A$4:$A$227,(INT(68/Setup!$B$16)+1-1)*28+MOD(68,Setup!$B$16)+1),"")</f>
        <v/>
      </c>
      <c r="B73" s="33" t="str">
        <f>IF(INT(68/Setup!$B$16)+1&lt;=Setup!$B$6,INDEX(Setup!$B$22:$B$29,INT(68/Setup!$B$16)+1),"")</f>
        <v/>
      </c>
      <c r="C73" s="45" t="str">
        <f>IF(INT(68/Setup!$B$16)+1&lt;=Setup!$B$6,INDEX(Scores!$D$4:$D$227,(INT(68/Setup!$B$16)+1-1)*28+MOD(68,Setup!$B$16)+1),"")</f>
        <v/>
      </c>
      <c r="D73" s="106" t="str">
        <f>IF(INT(68/Setup!$B$16)+1&lt;=Setup!$B$6,INDEX(Scores!$E$4:$E$227,(INT(68/Setup!$B$16)+1-1)*28+MOD(68,Setup!$B$16)+1),"")</f>
        <v/>
      </c>
      <c r="E73" s="107"/>
      <c r="F73" s="107"/>
      <c r="G73" s="108" t="str">
        <f>IF(INT(68/Setup!$B$16)+1&lt;=Setup!$B$6,INDEX(Scores!$G$4:$G$227,(INT(68/Setup!$B$16)+1-1)*28+MOD(68,Setup!$B$16)+1),"")</f>
        <v/>
      </c>
      <c r="H73" s="33" t="str">
        <f>IF(A73="","",IF(INDEX(Scores!$I$4:$I$227,(INT(68/Setup!$B$16)+1-1)*28+MOD(68,Setup!$B$16)+1)=1,"Complete","Waiting"))</f>
        <v/>
      </c>
      <c r="I73" s="33" t="str">
        <f t="shared" si="1"/>
        <v/>
      </c>
    </row>
    <row r="74" spans="1:9">
      <c r="A74" s="33" t="str">
        <f>IF(INT(69/Setup!$B$16)+1&lt;=Setup!$B$6,INDEX(Scores!$A$4:$A$227,(INT(69/Setup!$B$16)+1-1)*28+MOD(69,Setup!$B$16)+1),"")</f>
        <v/>
      </c>
      <c r="B74" s="33" t="str">
        <f>IF(INT(69/Setup!$B$16)+1&lt;=Setup!$B$6,INDEX(Setup!$B$22:$B$29,INT(69/Setup!$B$16)+1),"")</f>
        <v/>
      </c>
      <c r="C74" s="45" t="str">
        <f>IF(INT(69/Setup!$B$16)+1&lt;=Setup!$B$6,INDEX(Scores!$D$4:$D$227,(INT(69/Setup!$B$16)+1-1)*28+MOD(69,Setup!$B$16)+1),"")</f>
        <v/>
      </c>
      <c r="D74" s="106" t="str">
        <f>IF(INT(69/Setup!$B$16)+1&lt;=Setup!$B$6,INDEX(Scores!$E$4:$E$227,(INT(69/Setup!$B$16)+1-1)*28+MOD(69,Setup!$B$16)+1),"")</f>
        <v/>
      </c>
      <c r="E74" s="107"/>
      <c r="F74" s="107"/>
      <c r="G74" s="108" t="str">
        <f>IF(INT(69/Setup!$B$16)+1&lt;=Setup!$B$6,INDEX(Scores!$G$4:$G$227,(INT(69/Setup!$B$16)+1-1)*28+MOD(69,Setup!$B$16)+1),"")</f>
        <v/>
      </c>
      <c r="H74" s="33" t="str">
        <f>IF(A74="","",IF(INDEX(Scores!$I$4:$I$227,(INT(69/Setup!$B$16)+1-1)*28+MOD(69,Setup!$B$16)+1)=1,"Complete","Waiting"))</f>
        <v/>
      </c>
      <c r="I74" s="33" t="str">
        <f t="shared" si="1"/>
        <v/>
      </c>
    </row>
    <row r="75" spans="1:9">
      <c r="A75" s="33" t="str">
        <f>IF(INT(70/Setup!$B$16)+1&lt;=Setup!$B$6,INDEX(Scores!$A$4:$A$227,(INT(70/Setup!$B$16)+1-1)*28+MOD(70,Setup!$B$16)+1),"")</f>
        <v/>
      </c>
      <c r="B75" s="33" t="str">
        <f>IF(INT(70/Setup!$B$16)+1&lt;=Setup!$B$6,INDEX(Setup!$B$22:$B$29,INT(70/Setup!$B$16)+1),"")</f>
        <v/>
      </c>
      <c r="C75" s="45" t="str">
        <f>IF(INT(70/Setup!$B$16)+1&lt;=Setup!$B$6,INDEX(Scores!$D$4:$D$227,(INT(70/Setup!$B$16)+1-1)*28+MOD(70,Setup!$B$16)+1),"")</f>
        <v/>
      </c>
      <c r="D75" s="106" t="str">
        <f>IF(INT(70/Setup!$B$16)+1&lt;=Setup!$B$6,INDEX(Scores!$E$4:$E$227,(INT(70/Setup!$B$16)+1-1)*28+MOD(70,Setup!$B$16)+1),"")</f>
        <v/>
      </c>
      <c r="E75" s="107"/>
      <c r="F75" s="107"/>
      <c r="G75" s="108" t="str">
        <f>IF(INT(70/Setup!$B$16)+1&lt;=Setup!$B$6,INDEX(Scores!$G$4:$G$227,(INT(70/Setup!$B$16)+1-1)*28+MOD(70,Setup!$B$16)+1),"")</f>
        <v/>
      </c>
      <c r="H75" s="33" t="str">
        <f>IF(A75="","",IF(INDEX(Scores!$I$4:$I$227,(INT(70/Setup!$B$16)+1-1)*28+MOD(70,Setup!$B$16)+1)=1,"Complete","Waiting"))</f>
        <v/>
      </c>
      <c r="I75" s="33" t="str">
        <f t="shared" si="1"/>
        <v/>
      </c>
    </row>
    <row r="76" spans="1:9">
      <c r="A76" s="33" t="str">
        <f>IF(INT(71/Setup!$B$16)+1&lt;=Setup!$B$6,INDEX(Scores!$A$4:$A$227,(INT(71/Setup!$B$16)+1-1)*28+MOD(71,Setup!$B$16)+1),"")</f>
        <v/>
      </c>
      <c r="B76" s="33" t="str">
        <f>IF(INT(71/Setup!$B$16)+1&lt;=Setup!$B$6,INDEX(Setup!$B$22:$B$29,INT(71/Setup!$B$16)+1),"")</f>
        <v/>
      </c>
      <c r="C76" s="45" t="str">
        <f>IF(INT(71/Setup!$B$16)+1&lt;=Setup!$B$6,INDEX(Scores!$D$4:$D$227,(INT(71/Setup!$B$16)+1-1)*28+MOD(71,Setup!$B$16)+1),"")</f>
        <v/>
      </c>
      <c r="D76" s="106" t="str">
        <f>IF(INT(71/Setup!$B$16)+1&lt;=Setup!$B$6,INDEX(Scores!$E$4:$E$227,(INT(71/Setup!$B$16)+1-1)*28+MOD(71,Setup!$B$16)+1),"")</f>
        <v/>
      </c>
      <c r="E76" s="107"/>
      <c r="F76" s="107"/>
      <c r="G76" s="108" t="str">
        <f>IF(INT(71/Setup!$B$16)+1&lt;=Setup!$B$6,INDEX(Scores!$G$4:$G$227,(INT(71/Setup!$B$16)+1-1)*28+MOD(71,Setup!$B$16)+1),"")</f>
        <v/>
      </c>
      <c r="H76" s="33" t="str">
        <f>IF(A76="","",IF(INDEX(Scores!$I$4:$I$227,(INT(71/Setup!$B$16)+1-1)*28+MOD(71,Setup!$B$16)+1)=1,"Complete","Waiting"))</f>
        <v/>
      </c>
      <c r="I76" s="33" t="str">
        <f t="shared" si="1"/>
        <v/>
      </c>
    </row>
    <row r="77" spans="1:9">
      <c r="A77" s="33" t="str">
        <f>IF(INT(72/Setup!$B$16)+1&lt;=Setup!$B$6,INDEX(Scores!$A$4:$A$227,(INT(72/Setup!$B$16)+1-1)*28+MOD(72,Setup!$B$16)+1),"")</f>
        <v/>
      </c>
      <c r="B77" s="33" t="str">
        <f>IF(INT(72/Setup!$B$16)+1&lt;=Setup!$B$6,INDEX(Setup!$B$22:$B$29,INT(72/Setup!$B$16)+1),"")</f>
        <v/>
      </c>
      <c r="C77" s="45" t="str">
        <f>IF(INT(72/Setup!$B$16)+1&lt;=Setup!$B$6,INDEX(Scores!$D$4:$D$227,(INT(72/Setup!$B$16)+1-1)*28+MOD(72,Setup!$B$16)+1),"")</f>
        <v/>
      </c>
      <c r="D77" s="106" t="str">
        <f>IF(INT(72/Setup!$B$16)+1&lt;=Setup!$B$6,INDEX(Scores!$E$4:$E$227,(INT(72/Setup!$B$16)+1-1)*28+MOD(72,Setup!$B$16)+1),"")</f>
        <v/>
      </c>
      <c r="E77" s="107"/>
      <c r="F77" s="107"/>
      <c r="G77" s="108" t="str">
        <f>IF(INT(72/Setup!$B$16)+1&lt;=Setup!$B$6,INDEX(Scores!$G$4:$G$227,(INT(72/Setup!$B$16)+1-1)*28+MOD(72,Setup!$B$16)+1),"")</f>
        <v/>
      </c>
      <c r="H77" s="33" t="str">
        <f>IF(A77="","",IF(INDEX(Scores!$I$4:$I$227,(INT(72/Setup!$B$16)+1-1)*28+MOD(72,Setup!$B$16)+1)=1,"Complete","Waiting"))</f>
        <v/>
      </c>
      <c r="I77" s="33" t="str">
        <f t="shared" si="1"/>
        <v/>
      </c>
    </row>
    <row r="78" spans="1:9">
      <c r="A78" s="33" t="str">
        <f>IF(INT(73/Setup!$B$16)+1&lt;=Setup!$B$6,INDEX(Scores!$A$4:$A$227,(INT(73/Setup!$B$16)+1-1)*28+MOD(73,Setup!$B$16)+1),"")</f>
        <v/>
      </c>
      <c r="B78" s="33" t="str">
        <f>IF(INT(73/Setup!$B$16)+1&lt;=Setup!$B$6,INDEX(Setup!$B$22:$B$29,INT(73/Setup!$B$16)+1),"")</f>
        <v/>
      </c>
      <c r="C78" s="45" t="str">
        <f>IF(INT(73/Setup!$B$16)+1&lt;=Setup!$B$6,INDEX(Scores!$D$4:$D$227,(INT(73/Setup!$B$16)+1-1)*28+MOD(73,Setup!$B$16)+1),"")</f>
        <v/>
      </c>
      <c r="D78" s="106" t="str">
        <f>IF(INT(73/Setup!$B$16)+1&lt;=Setup!$B$6,INDEX(Scores!$E$4:$E$227,(INT(73/Setup!$B$16)+1-1)*28+MOD(73,Setup!$B$16)+1),"")</f>
        <v/>
      </c>
      <c r="E78" s="107"/>
      <c r="F78" s="107"/>
      <c r="G78" s="108" t="str">
        <f>IF(INT(73/Setup!$B$16)+1&lt;=Setup!$B$6,INDEX(Scores!$G$4:$G$227,(INT(73/Setup!$B$16)+1-1)*28+MOD(73,Setup!$B$16)+1),"")</f>
        <v/>
      </c>
      <c r="H78" s="33" t="str">
        <f>IF(A78="","",IF(INDEX(Scores!$I$4:$I$227,(INT(73/Setup!$B$16)+1-1)*28+MOD(73,Setup!$B$16)+1)=1,"Complete","Waiting"))</f>
        <v/>
      </c>
      <c r="I78" s="33" t="str">
        <f t="shared" si="1"/>
        <v/>
      </c>
    </row>
    <row r="79" spans="1:9">
      <c r="A79" s="33" t="str">
        <f>IF(INT(74/Setup!$B$16)+1&lt;=Setup!$B$6,INDEX(Scores!$A$4:$A$227,(INT(74/Setup!$B$16)+1-1)*28+MOD(74,Setup!$B$16)+1),"")</f>
        <v/>
      </c>
      <c r="B79" s="33" t="str">
        <f>IF(INT(74/Setup!$B$16)+1&lt;=Setup!$B$6,INDEX(Setup!$B$22:$B$29,INT(74/Setup!$B$16)+1),"")</f>
        <v/>
      </c>
      <c r="C79" s="45" t="str">
        <f>IF(INT(74/Setup!$B$16)+1&lt;=Setup!$B$6,INDEX(Scores!$D$4:$D$227,(INT(74/Setup!$B$16)+1-1)*28+MOD(74,Setup!$B$16)+1),"")</f>
        <v/>
      </c>
      <c r="D79" s="106" t="str">
        <f>IF(INT(74/Setup!$B$16)+1&lt;=Setup!$B$6,INDEX(Scores!$E$4:$E$227,(INT(74/Setup!$B$16)+1-1)*28+MOD(74,Setup!$B$16)+1),"")</f>
        <v/>
      </c>
      <c r="E79" s="107"/>
      <c r="F79" s="107"/>
      <c r="G79" s="108" t="str">
        <f>IF(INT(74/Setup!$B$16)+1&lt;=Setup!$B$6,INDEX(Scores!$G$4:$G$227,(INT(74/Setup!$B$16)+1-1)*28+MOD(74,Setup!$B$16)+1),"")</f>
        <v/>
      </c>
      <c r="H79" s="33" t="str">
        <f>IF(A79="","",IF(INDEX(Scores!$I$4:$I$227,(INT(74/Setup!$B$16)+1-1)*28+MOD(74,Setup!$B$16)+1)=1,"Complete","Waiting"))</f>
        <v/>
      </c>
      <c r="I79" s="33" t="str">
        <f t="shared" si="1"/>
        <v/>
      </c>
    </row>
    <row r="80" spans="1:9">
      <c r="A80" s="33" t="str">
        <f>IF(INT(75/Setup!$B$16)+1&lt;=Setup!$B$6,INDEX(Scores!$A$4:$A$227,(INT(75/Setup!$B$16)+1-1)*28+MOD(75,Setup!$B$16)+1),"")</f>
        <v/>
      </c>
      <c r="B80" s="33" t="str">
        <f>IF(INT(75/Setup!$B$16)+1&lt;=Setup!$B$6,INDEX(Setup!$B$22:$B$29,INT(75/Setup!$B$16)+1),"")</f>
        <v/>
      </c>
      <c r="C80" s="45" t="str">
        <f>IF(INT(75/Setup!$B$16)+1&lt;=Setup!$B$6,INDEX(Scores!$D$4:$D$227,(INT(75/Setup!$B$16)+1-1)*28+MOD(75,Setup!$B$16)+1),"")</f>
        <v/>
      </c>
      <c r="D80" s="106" t="str">
        <f>IF(INT(75/Setup!$B$16)+1&lt;=Setup!$B$6,INDEX(Scores!$E$4:$E$227,(INT(75/Setup!$B$16)+1-1)*28+MOD(75,Setup!$B$16)+1),"")</f>
        <v/>
      </c>
      <c r="E80" s="107"/>
      <c r="F80" s="107"/>
      <c r="G80" s="108" t="str">
        <f>IF(INT(75/Setup!$B$16)+1&lt;=Setup!$B$6,INDEX(Scores!$G$4:$G$227,(INT(75/Setup!$B$16)+1-1)*28+MOD(75,Setup!$B$16)+1),"")</f>
        <v/>
      </c>
      <c r="H80" s="33" t="str">
        <f>IF(A80="","",IF(INDEX(Scores!$I$4:$I$227,(INT(75/Setup!$B$16)+1-1)*28+MOD(75,Setup!$B$16)+1)=1,"Complete","Waiting"))</f>
        <v/>
      </c>
      <c r="I80" s="33" t="str">
        <f t="shared" si="1"/>
        <v/>
      </c>
    </row>
    <row r="81" spans="1:9">
      <c r="A81" s="33" t="str">
        <f>IF(INT(76/Setup!$B$16)+1&lt;=Setup!$B$6,INDEX(Scores!$A$4:$A$227,(INT(76/Setup!$B$16)+1-1)*28+MOD(76,Setup!$B$16)+1),"")</f>
        <v/>
      </c>
      <c r="B81" s="33" t="str">
        <f>IF(INT(76/Setup!$B$16)+1&lt;=Setup!$B$6,INDEX(Setup!$B$22:$B$29,INT(76/Setup!$B$16)+1),"")</f>
        <v/>
      </c>
      <c r="C81" s="45" t="str">
        <f>IF(INT(76/Setup!$B$16)+1&lt;=Setup!$B$6,INDEX(Scores!$D$4:$D$227,(INT(76/Setup!$B$16)+1-1)*28+MOD(76,Setup!$B$16)+1),"")</f>
        <v/>
      </c>
      <c r="D81" s="106" t="str">
        <f>IF(INT(76/Setup!$B$16)+1&lt;=Setup!$B$6,INDEX(Scores!$E$4:$E$227,(INT(76/Setup!$B$16)+1-1)*28+MOD(76,Setup!$B$16)+1),"")</f>
        <v/>
      </c>
      <c r="E81" s="107"/>
      <c r="F81" s="107"/>
      <c r="G81" s="108" t="str">
        <f>IF(INT(76/Setup!$B$16)+1&lt;=Setup!$B$6,INDEX(Scores!$G$4:$G$227,(INT(76/Setup!$B$16)+1-1)*28+MOD(76,Setup!$B$16)+1),"")</f>
        <v/>
      </c>
      <c r="H81" s="33" t="str">
        <f>IF(A81="","",IF(INDEX(Scores!$I$4:$I$227,(INT(76/Setup!$B$16)+1-1)*28+MOD(76,Setup!$B$16)+1)=1,"Complete","Waiting"))</f>
        <v/>
      </c>
      <c r="I81" s="33" t="str">
        <f t="shared" si="1"/>
        <v/>
      </c>
    </row>
    <row r="82" spans="1:9">
      <c r="A82" s="33" t="str">
        <f>IF(INT(77/Setup!$B$16)+1&lt;=Setup!$B$6,INDEX(Scores!$A$4:$A$227,(INT(77/Setup!$B$16)+1-1)*28+MOD(77,Setup!$B$16)+1),"")</f>
        <v/>
      </c>
      <c r="B82" s="33" t="str">
        <f>IF(INT(77/Setup!$B$16)+1&lt;=Setup!$B$6,INDEX(Setup!$B$22:$B$29,INT(77/Setup!$B$16)+1),"")</f>
        <v/>
      </c>
      <c r="C82" s="45" t="str">
        <f>IF(INT(77/Setup!$B$16)+1&lt;=Setup!$B$6,INDEX(Scores!$D$4:$D$227,(INT(77/Setup!$B$16)+1-1)*28+MOD(77,Setup!$B$16)+1),"")</f>
        <v/>
      </c>
      <c r="D82" s="106" t="str">
        <f>IF(INT(77/Setup!$B$16)+1&lt;=Setup!$B$6,INDEX(Scores!$E$4:$E$227,(INT(77/Setup!$B$16)+1-1)*28+MOD(77,Setup!$B$16)+1),"")</f>
        <v/>
      </c>
      <c r="E82" s="107"/>
      <c r="F82" s="107"/>
      <c r="G82" s="108" t="str">
        <f>IF(INT(77/Setup!$B$16)+1&lt;=Setup!$B$6,INDEX(Scores!$G$4:$G$227,(INT(77/Setup!$B$16)+1-1)*28+MOD(77,Setup!$B$16)+1),"")</f>
        <v/>
      </c>
      <c r="H82" s="33" t="str">
        <f>IF(A82="","",IF(INDEX(Scores!$I$4:$I$227,(INT(77/Setup!$B$16)+1-1)*28+MOD(77,Setup!$B$16)+1)=1,"Complete","Waiting"))</f>
        <v/>
      </c>
      <c r="I82" s="33" t="str">
        <f t="shared" si="1"/>
        <v/>
      </c>
    </row>
    <row r="83" spans="1:9">
      <c r="A83" s="33" t="str">
        <f>IF(INT(78/Setup!$B$16)+1&lt;=Setup!$B$6,INDEX(Scores!$A$4:$A$227,(INT(78/Setup!$B$16)+1-1)*28+MOD(78,Setup!$B$16)+1),"")</f>
        <v/>
      </c>
      <c r="B83" s="33" t="str">
        <f>IF(INT(78/Setup!$B$16)+1&lt;=Setup!$B$6,INDEX(Setup!$B$22:$B$29,INT(78/Setup!$B$16)+1),"")</f>
        <v/>
      </c>
      <c r="C83" s="45" t="str">
        <f>IF(INT(78/Setup!$B$16)+1&lt;=Setup!$B$6,INDEX(Scores!$D$4:$D$227,(INT(78/Setup!$B$16)+1-1)*28+MOD(78,Setup!$B$16)+1),"")</f>
        <v/>
      </c>
      <c r="D83" s="106" t="str">
        <f>IF(INT(78/Setup!$B$16)+1&lt;=Setup!$B$6,INDEX(Scores!$E$4:$E$227,(INT(78/Setup!$B$16)+1-1)*28+MOD(78,Setup!$B$16)+1),"")</f>
        <v/>
      </c>
      <c r="E83" s="107"/>
      <c r="F83" s="107"/>
      <c r="G83" s="108" t="str">
        <f>IF(INT(78/Setup!$B$16)+1&lt;=Setup!$B$6,INDEX(Scores!$G$4:$G$227,(INT(78/Setup!$B$16)+1-1)*28+MOD(78,Setup!$B$16)+1),"")</f>
        <v/>
      </c>
      <c r="H83" s="33" t="str">
        <f>IF(A83="","",IF(INDEX(Scores!$I$4:$I$227,(INT(78/Setup!$B$16)+1-1)*28+MOD(78,Setup!$B$16)+1)=1,"Complete","Waiting"))</f>
        <v/>
      </c>
      <c r="I83" s="33" t="str">
        <f t="shared" si="1"/>
        <v/>
      </c>
    </row>
    <row r="84" spans="1:9">
      <c r="A84" s="33" t="str">
        <f>IF(INT(79/Setup!$B$16)+1&lt;=Setup!$B$6,INDEX(Scores!$A$4:$A$227,(INT(79/Setup!$B$16)+1-1)*28+MOD(79,Setup!$B$16)+1),"")</f>
        <v/>
      </c>
      <c r="B84" s="33" t="str">
        <f>IF(INT(79/Setup!$B$16)+1&lt;=Setup!$B$6,INDEX(Setup!$B$22:$B$29,INT(79/Setup!$B$16)+1),"")</f>
        <v/>
      </c>
      <c r="C84" s="45" t="str">
        <f>IF(INT(79/Setup!$B$16)+1&lt;=Setup!$B$6,INDEX(Scores!$D$4:$D$227,(INT(79/Setup!$B$16)+1-1)*28+MOD(79,Setup!$B$16)+1),"")</f>
        <v/>
      </c>
      <c r="D84" s="106" t="str">
        <f>IF(INT(79/Setup!$B$16)+1&lt;=Setup!$B$6,INDEX(Scores!$E$4:$E$227,(INT(79/Setup!$B$16)+1-1)*28+MOD(79,Setup!$B$16)+1),"")</f>
        <v/>
      </c>
      <c r="E84" s="107"/>
      <c r="F84" s="107"/>
      <c r="G84" s="108" t="str">
        <f>IF(INT(79/Setup!$B$16)+1&lt;=Setup!$B$6,INDEX(Scores!$G$4:$G$227,(INT(79/Setup!$B$16)+1-1)*28+MOD(79,Setup!$B$16)+1),"")</f>
        <v/>
      </c>
      <c r="H84" s="33" t="str">
        <f>IF(A84="","",IF(INDEX(Scores!$I$4:$I$227,(INT(79/Setup!$B$16)+1-1)*28+MOD(79,Setup!$B$16)+1)=1,"Complete","Waiting"))</f>
        <v/>
      </c>
      <c r="I84" s="33" t="str">
        <f t="shared" si="1"/>
        <v/>
      </c>
    </row>
    <row r="85" spans="1:9">
      <c r="A85" s="33" t="str">
        <f>IF(INT(80/Setup!$B$16)+1&lt;=Setup!$B$6,INDEX(Scores!$A$4:$A$227,(INT(80/Setup!$B$16)+1-1)*28+MOD(80,Setup!$B$16)+1),"")</f>
        <v/>
      </c>
      <c r="B85" s="33" t="str">
        <f>IF(INT(80/Setup!$B$16)+1&lt;=Setup!$B$6,INDEX(Setup!$B$22:$B$29,INT(80/Setup!$B$16)+1),"")</f>
        <v/>
      </c>
      <c r="C85" s="45" t="str">
        <f>IF(INT(80/Setup!$B$16)+1&lt;=Setup!$B$6,INDEX(Scores!$D$4:$D$227,(INT(80/Setup!$B$16)+1-1)*28+MOD(80,Setup!$B$16)+1),"")</f>
        <v/>
      </c>
      <c r="D85" s="106" t="str">
        <f>IF(INT(80/Setup!$B$16)+1&lt;=Setup!$B$6,INDEX(Scores!$E$4:$E$227,(INT(80/Setup!$B$16)+1-1)*28+MOD(80,Setup!$B$16)+1),"")</f>
        <v/>
      </c>
      <c r="E85" s="107"/>
      <c r="F85" s="107"/>
      <c r="G85" s="108" t="str">
        <f>IF(INT(80/Setup!$B$16)+1&lt;=Setup!$B$6,INDEX(Scores!$G$4:$G$227,(INT(80/Setup!$B$16)+1-1)*28+MOD(80,Setup!$B$16)+1),"")</f>
        <v/>
      </c>
      <c r="H85" s="33" t="str">
        <f>IF(A85="","",IF(INDEX(Scores!$I$4:$I$227,(INT(80/Setup!$B$16)+1-1)*28+MOD(80,Setup!$B$16)+1)=1,"Complete","Waiting"))</f>
        <v/>
      </c>
      <c r="I85" s="33" t="str">
        <f t="shared" si="1"/>
        <v/>
      </c>
    </row>
    <row r="86" spans="1:9">
      <c r="A86" s="33" t="str">
        <f>IF(INT(81/Setup!$B$16)+1&lt;=Setup!$B$6,INDEX(Scores!$A$4:$A$227,(INT(81/Setup!$B$16)+1-1)*28+MOD(81,Setup!$B$16)+1),"")</f>
        <v/>
      </c>
      <c r="B86" s="33" t="str">
        <f>IF(INT(81/Setup!$B$16)+1&lt;=Setup!$B$6,INDEX(Setup!$B$22:$B$29,INT(81/Setup!$B$16)+1),"")</f>
        <v/>
      </c>
      <c r="C86" s="45" t="str">
        <f>IF(INT(81/Setup!$B$16)+1&lt;=Setup!$B$6,INDEX(Scores!$D$4:$D$227,(INT(81/Setup!$B$16)+1-1)*28+MOD(81,Setup!$B$16)+1),"")</f>
        <v/>
      </c>
      <c r="D86" s="106" t="str">
        <f>IF(INT(81/Setup!$B$16)+1&lt;=Setup!$B$6,INDEX(Scores!$E$4:$E$227,(INT(81/Setup!$B$16)+1-1)*28+MOD(81,Setup!$B$16)+1),"")</f>
        <v/>
      </c>
      <c r="E86" s="107"/>
      <c r="F86" s="107"/>
      <c r="G86" s="108" t="str">
        <f>IF(INT(81/Setup!$B$16)+1&lt;=Setup!$B$6,INDEX(Scores!$G$4:$G$227,(INT(81/Setup!$B$16)+1-1)*28+MOD(81,Setup!$B$16)+1),"")</f>
        <v/>
      </c>
      <c r="H86" s="33" t="str">
        <f>IF(A86="","",IF(INDEX(Scores!$I$4:$I$227,(INT(81/Setup!$B$16)+1-1)*28+MOD(81,Setup!$B$16)+1)=1,"Complete","Waiting"))</f>
        <v/>
      </c>
      <c r="I86" s="33" t="str">
        <f t="shared" si="1"/>
        <v/>
      </c>
    </row>
    <row r="87" spans="1:9">
      <c r="A87" s="33" t="str">
        <f>IF(INT(82/Setup!$B$16)+1&lt;=Setup!$B$6,INDEX(Scores!$A$4:$A$227,(INT(82/Setup!$B$16)+1-1)*28+MOD(82,Setup!$B$16)+1),"")</f>
        <v/>
      </c>
      <c r="B87" s="33" t="str">
        <f>IF(INT(82/Setup!$B$16)+1&lt;=Setup!$B$6,INDEX(Setup!$B$22:$B$29,INT(82/Setup!$B$16)+1),"")</f>
        <v/>
      </c>
      <c r="C87" s="45" t="str">
        <f>IF(INT(82/Setup!$B$16)+1&lt;=Setup!$B$6,INDEX(Scores!$D$4:$D$227,(INT(82/Setup!$B$16)+1-1)*28+MOD(82,Setup!$B$16)+1),"")</f>
        <v/>
      </c>
      <c r="D87" s="106" t="str">
        <f>IF(INT(82/Setup!$B$16)+1&lt;=Setup!$B$6,INDEX(Scores!$E$4:$E$227,(INT(82/Setup!$B$16)+1-1)*28+MOD(82,Setup!$B$16)+1),"")</f>
        <v/>
      </c>
      <c r="E87" s="107"/>
      <c r="F87" s="107"/>
      <c r="G87" s="108" t="str">
        <f>IF(INT(82/Setup!$B$16)+1&lt;=Setup!$B$6,INDEX(Scores!$G$4:$G$227,(INT(82/Setup!$B$16)+1-1)*28+MOD(82,Setup!$B$16)+1),"")</f>
        <v/>
      </c>
      <c r="H87" s="33" t="str">
        <f>IF(A87="","",IF(INDEX(Scores!$I$4:$I$227,(INT(82/Setup!$B$16)+1-1)*28+MOD(82,Setup!$B$16)+1)=1,"Complete","Waiting"))</f>
        <v/>
      </c>
      <c r="I87" s="33" t="str">
        <f t="shared" si="1"/>
        <v/>
      </c>
    </row>
    <row r="88" spans="1:9">
      <c r="A88" s="33" t="str">
        <f>IF(INT(83/Setup!$B$16)+1&lt;=Setup!$B$6,INDEX(Scores!$A$4:$A$227,(INT(83/Setup!$B$16)+1-1)*28+MOD(83,Setup!$B$16)+1),"")</f>
        <v/>
      </c>
      <c r="B88" s="33" t="str">
        <f>IF(INT(83/Setup!$B$16)+1&lt;=Setup!$B$6,INDEX(Setup!$B$22:$B$29,INT(83/Setup!$B$16)+1),"")</f>
        <v/>
      </c>
      <c r="C88" s="45" t="str">
        <f>IF(INT(83/Setup!$B$16)+1&lt;=Setup!$B$6,INDEX(Scores!$D$4:$D$227,(INT(83/Setup!$B$16)+1-1)*28+MOD(83,Setup!$B$16)+1),"")</f>
        <v/>
      </c>
      <c r="D88" s="106" t="str">
        <f>IF(INT(83/Setup!$B$16)+1&lt;=Setup!$B$6,INDEX(Scores!$E$4:$E$227,(INT(83/Setup!$B$16)+1-1)*28+MOD(83,Setup!$B$16)+1),"")</f>
        <v/>
      </c>
      <c r="E88" s="107"/>
      <c r="F88" s="107"/>
      <c r="G88" s="108" t="str">
        <f>IF(INT(83/Setup!$B$16)+1&lt;=Setup!$B$6,INDEX(Scores!$G$4:$G$227,(INT(83/Setup!$B$16)+1-1)*28+MOD(83,Setup!$B$16)+1),"")</f>
        <v/>
      </c>
      <c r="H88" s="33" t="str">
        <f>IF(A88="","",IF(INDEX(Scores!$I$4:$I$227,(INT(83/Setup!$B$16)+1-1)*28+MOD(83,Setup!$B$16)+1)=1,"Complete","Waiting"))</f>
        <v/>
      </c>
      <c r="I88" s="33" t="str">
        <f t="shared" si="1"/>
        <v/>
      </c>
    </row>
    <row r="89" spans="1:9">
      <c r="A89" s="33" t="str">
        <f>IF(INT(84/Setup!$B$16)+1&lt;=Setup!$B$6,INDEX(Scores!$A$4:$A$227,(INT(84/Setup!$B$16)+1-1)*28+MOD(84,Setup!$B$16)+1),"")</f>
        <v/>
      </c>
      <c r="B89" s="33" t="str">
        <f>IF(INT(84/Setup!$B$16)+1&lt;=Setup!$B$6,INDEX(Setup!$B$22:$B$29,INT(84/Setup!$B$16)+1),"")</f>
        <v/>
      </c>
      <c r="C89" s="45" t="str">
        <f>IF(INT(84/Setup!$B$16)+1&lt;=Setup!$B$6,INDEX(Scores!$D$4:$D$227,(INT(84/Setup!$B$16)+1-1)*28+MOD(84,Setup!$B$16)+1),"")</f>
        <v/>
      </c>
      <c r="D89" s="106" t="str">
        <f>IF(INT(84/Setup!$B$16)+1&lt;=Setup!$B$6,INDEX(Scores!$E$4:$E$227,(INT(84/Setup!$B$16)+1-1)*28+MOD(84,Setup!$B$16)+1),"")</f>
        <v/>
      </c>
      <c r="E89" s="107"/>
      <c r="F89" s="107"/>
      <c r="G89" s="108" t="str">
        <f>IF(INT(84/Setup!$B$16)+1&lt;=Setup!$B$6,INDEX(Scores!$G$4:$G$227,(INT(84/Setup!$B$16)+1-1)*28+MOD(84,Setup!$B$16)+1),"")</f>
        <v/>
      </c>
      <c r="H89" s="33" t="str">
        <f>IF(A89="","",IF(INDEX(Scores!$I$4:$I$227,(INT(84/Setup!$B$16)+1-1)*28+MOD(84,Setup!$B$16)+1)=1,"Complete","Waiting"))</f>
        <v/>
      </c>
      <c r="I89" s="33" t="str">
        <f t="shared" si="1"/>
        <v/>
      </c>
    </row>
    <row r="90" spans="1:9">
      <c r="A90" s="33" t="str">
        <f>IF(INT(85/Setup!$B$16)+1&lt;=Setup!$B$6,INDEX(Scores!$A$4:$A$227,(INT(85/Setup!$B$16)+1-1)*28+MOD(85,Setup!$B$16)+1),"")</f>
        <v/>
      </c>
      <c r="B90" s="33" t="str">
        <f>IF(INT(85/Setup!$B$16)+1&lt;=Setup!$B$6,INDEX(Setup!$B$22:$B$29,INT(85/Setup!$B$16)+1),"")</f>
        <v/>
      </c>
      <c r="C90" s="45" t="str">
        <f>IF(INT(85/Setup!$B$16)+1&lt;=Setup!$B$6,INDEX(Scores!$D$4:$D$227,(INT(85/Setup!$B$16)+1-1)*28+MOD(85,Setup!$B$16)+1),"")</f>
        <v/>
      </c>
      <c r="D90" s="106" t="str">
        <f>IF(INT(85/Setup!$B$16)+1&lt;=Setup!$B$6,INDEX(Scores!$E$4:$E$227,(INT(85/Setup!$B$16)+1-1)*28+MOD(85,Setup!$B$16)+1),"")</f>
        <v/>
      </c>
      <c r="E90" s="107"/>
      <c r="F90" s="107"/>
      <c r="G90" s="108" t="str">
        <f>IF(INT(85/Setup!$B$16)+1&lt;=Setup!$B$6,INDEX(Scores!$G$4:$G$227,(INT(85/Setup!$B$16)+1-1)*28+MOD(85,Setup!$B$16)+1),"")</f>
        <v/>
      </c>
      <c r="H90" s="33" t="str">
        <f>IF(A90="","",IF(INDEX(Scores!$I$4:$I$227,(INT(85/Setup!$B$16)+1-1)*28+MOD(85,Setup!$B$16)+1)=1,"Complete","Waiting"))</f>
        <v/>
      </c>
      <c r="I90" s="33" t="str">
        <f t="shared" si="1"/>
        <v/>
      </c>
    </row>
    <row r="91" spans="1:9">
      <c r="A91" s="33" t="str">
        <f>IF(INT(86/Setup!$B$16)+1&lt;=Setup!$B$6,INDEX(Scores!$A$4:$A$227,(INT(86/Setup!$B$16)+1-1)*28+MOD(86,Setup!$B$16)+1),"")</f>
        <v/>
      </c>
      <c r="B91" s="33" t="str">
        <f>IF(INT(86/Setup!$B$16)+1&lt;=Setup!$B$6,INDEX(Setup!$B$22:$B$29,INT(86/Setup!$B$16)+1),"")</f>
        <v/>
      </c>
      <c r="C91" s="45" t="str">
        <f>IF(INT(86/Setup!$B$16)+1&lt;=Setup!$B$6,INDEX(Scores!$D$4:$D$227,(INT(86/Setup!$B$16)+1-1)*28+MOD(86,Setup!$B$16)+1),"")</f>
        <v/>
      </c>
      <c r="D91" s="106" t="str">
        <f>IF(INT(86/Setup!$B$16)+1&lt;=Setup!$B$6,INDEX(Scores!$E$4:$E$227,(INT(86/Setup!$B$16)+1-1)*28+MOD(86,Setup!$B$16)+1),"")</f>
        <v/>
      </c>
      <c r="E91" s="107"/>
      <c r="F91" s="107"/>
      <c r="G91" s="108" t="str">
        <f>IF(INT(86/Setup!$B$16)+1&lt;=Setup!$B$6,INDEX(Scores!$G$4:$G$227,(INT(86/Setup!$B$16)+1-1)*28+MOD(86,Setup!$B$16)+1),"")</f>
        <v/>
      </c>
      <c r="H91" s="33" t="str">
        <f>IF(A91="","",IF(INDEX(Scores!$I$4:$I$227,(INT(86/Setup!$B$16)+1-1)*28+MOD(86,Setup!$B$16)+1)=1,"Complete","Waiting"))</f>
        <v/>
      </c>
      <c r="I91" s="33" t="str">
        <f t="shared" si="1"/>
        <v/>
      </c>
    </row>
    <row r="92" spans="1:9">
      <c r="A92" s="33" t="str">
        <f>IF(INT(87/Setup!$B$16)+1&lt;=Setup!$B$6,INDEX(Scores!$A$4:$A$227,(INT(87/Setup!$B$16)+1-1)*28+MOD(87,Setup!$B$16)+1),"")</f>
        <v/>
      </c>
      <c r="B92" s="33" t="str">
        <f>IF(INT(87/Setup!$B$16)+1&lt;=Setup!$B$6,INDEX(Setup!$B$22:$B$29,INT(87/Setup!$B$16)+1),"")</f>
        <v/>
      </c>
      <c r="C92" s="45" t="str">
        <f>IF(INT(87/Setup!$B$16)+1&lt;=Setup!$B$6,INDEX(Scores!$D$4:$D$227,(INT(87/Setup!$B$16)+1-1)*28+MOD(87,Setup!$B$16)+1),"")</f>
        <v/>
      </c>
      <c r="D92" s="106" t="str">
        <f>IF(INT(87/Setup!$B$16)+1&lt;=Setup!$B$6,INDEX(Scores!$E$4:$E$227,(INT(87/Setup!$B$16)+1-1)*28+MOD(87,Setup!$B$16)+1),"")</f>
        <v/>
      </c>
      <c r="E92" s="107"/>
      <c r="F92" s="107"/>
      <c r="G92" s="108" t="str">
        <f>IF(INT(87/Setup!$B$16)+1&lt;=Setup!$B$6,INDEX(Scores!$G$4:$G$227,(INT(87/Setup!$B$16)+1-1)*28+MOD(87,Setup!$B$16)+1),"")</f>
        <v/>
      </c>
      <c r="H92" s="33" t="str">
        <f>IF(A92="","",IF(INDEX(Scores!$I$4:$I$227,(INT(87/Setup!$B$16)+1-1)*28+MOD(87,Setup!$B$16)+1)=1,"Complete","Waiting"))</f>
        <v/>
      </c>
      <c r="I92" s="33" t="str">
        <f t="shared" si="1"/>
        <v/>
      </c>
    </row>
    <row r="93" spans="1:9">
      <c r="A93" s="33" t="str">
        <f>IF(INT(88/Setup!$B$16)+1&lt;=Setup!$B$6,INDEX(Scores!$A$4:$A$227,(INT(88/Setup!$B$16)+1-1)*28+MOD(88,Setup!$B$16)+1),"")</f>
        <v/>
      </c>
      <c r="B93" s="33" t="str">
        <f>IF(INT(88/Setup!$B$16)+1&lt;=Setup!$B$6,INDEX(Setup!$B$22:$B$29,INT(88/Setup!$B$16)+1),"")</f>
        <v/>
      </c>
      <c r="C93" s="45" t="str">
        <f>IF(INT(88/Setup!$B$16)+1&lt;=Setup!$B$6,INDEX(Scores!$D$4:$D$227,(INT(88/Setup!$B$16)+1-1)*28+MOD(88,Setup!$B$16)+1),"")</f>
        <v/>
      </c>
      <c r="D93" s="106" t="str">
        <f>IF(INT(88/Setup!$B$16)+1&lt;=Setup!$B$6,INDEX(Scores!$E$4:$E$227,(INT(88/Setup!$B$16)+1-1)*28+MOD(88,Setup!$B$16)+1),"")</f>
        <v/>
      </c>
      <c r="E93" s="107"/>
      <c r="F93" s="107"/>
      <c r="G93" s="108" t="str">
        <f>IF(INT(88/Setup!$B$16)+1&lt;=Setup!$B$6,INDEX(Scores!$G$4:$G$227,(INT(88/Setup!$B$16)+1-1)*28+MOD(88,Setup!$B$16)+1),"")</f>
        <v/>
      </c>
      <c r="H93" s="33" t="str">
        <f>IF(A93="","",IF(INDEX(Scores!$I$4:$I$227,(INT(88/Setup!$B$16)+1-1)*28+MOD(88,Setup!$B$16)+1)=1,"Complete","Waiting"))</f>
        <v/>
      </c>
      <c r="I93" s="33" t="str">
        <f t="shared" si="1"/>
        <v/>
      </c>
    </row>
    <row r="94" spans="1:9">
      <c r="A94" s="33" t="str">
        <f>IF(INT(89/Setup!$B$16)+1&lt;=Setup!$B$6,INDEX(Scores!$A$4:$A$227,(INT(89/Setup!$B$16)+1-1)*28+MOD(89,Setup!$B$16)+1),"")</f>
        <v/>
      </c>
      <c r="B94" s="33" t="str">
        <f>IF(INT(89/Setup!$B$16)+1&lt;=Setup!$B$6,INDEX(Setup!$B$22:$B$29,INT(89/Setup!$B$16)+1),"")</f>
        <v/>
      </c>
      <c r="C94" s="45" t="str">
        <f>IF(INT(89/Setup!$B$16)+1&lt;=Setup!$B$6,INDEX(Scores!$D$4:$D$227,(INT(89/Setup!$B$16)+1-1)*28+MOD(89,Setup!$B$16)+1),"")</f>
        <v/>
      </c>
      <c r="D94" s="106" t="str">
        <f>IF(INT(89/Setup!$B$16)+1&lt;=Setup!$B$6,INDEX(Scores!$E$4:$E$227,(INT(89/Setup!$B$16)+1-1)*28+MOD(89,Setup!$B$16)+1),"")</f>
        <v/>
      </c>
      <c r="E94" s="107"/>
      <c r="F94" s="107"/>
      <c r="G94" s="108" t="str">
        <f>IF(INT(89/Setup!$B$16)+1&lt;=Setup!$B$6,INDEX(Scores!$G$4:$G$227,(INT(89/Setup!$B$16)+1-1)*28+MOD(89,Setup!$B$16)+1),"")</f>
        <v/>
      </c>
      <c r="H94" s="33" t="str">
        <f>IF(A94="","",IF(INDEX(Scores!$I$4:$I$227,(INT(89/Setup!$B$16)+1-1)*28+MOD(89,Setup!$B$16)+1)=1,"Complete","Waiting"))</f>
        <v/>
      </c>
      <c r="I94" s="33" t="str">
        <f t="shared" si="1"/>
        <v/>
      </c>
    </row>
    <row r="95" spans="1:9">
      <c r="A95" s="33" t="str">
        <f>IF(INT(90/Setup!$B$16)+1&lt;=Setup!$B$6,INDEX(Scores!$A$4:$A$227,(INT(90/Setup!$B$16)+1-1)*28+MOD(90,Setup!$B$16)+1),"")</f>
        <v/>
      </c>
      <c r="B95" s="33" t="str">
        <f>IF(INT(90/Setup!$B$16)+1&lt;=Setup!$B$6,INDEX(Setup!$B$22:$B$29,INT(90/Setup!$B$16)+1),"")</f>
        <v/>
      </c>
      <c r="C95" s="45" t="str">
        <f>IF(INT(90/Setup!$B$16)+1&lt;=Setup!$B$6,INDEX(Scores!$D$4:$D$227,(INT(90/Setup!$B$16)+1-1)*28+MOD(90,Setup!$B$16)+1),"")</f>
        <v/>
      </c>
      <c r="D95" s="106" t="str">
        <f>IF(INT(90/Setup!$B$16)+1&lt;=Setup!$B$6,INDEX(Scores!$E$4:$E$227,(INT(90/Setup!$B$16)+1-1)*28+MOD(90,Setup!$B$16)+1),"")</f>
        <v/>
      </c>
      <c r="E95" s="107"/>
      <c r="F95" s="107"/>
      <c r="G95" s="108" t="str">
        <f>IF(INT(90/Setup!$B$16)+1&lt;=Setup!$B$6,INDEX(Scores!$G$4:$G$227,(INT(90/Setup!$B$16)+1-1)*28+MOD(90,Setup!$B$16)+1),"")</f>
        <v/>
      </c>
      <c r="H95" s="33" t="str">
        <f>IF(A95="","",IF(INDEX(Scores!$I$4:$I$227,(INT(90/Setup!$B$16)+1-1)*28+MOD(90,Setup!$B$16)+1)=1,"Complete","Waiting"))</f>
        <v/>
      </c>
      <c r="I95" s="33" t="str">
        <f t="shared" si="1"/>
        <v/>
      </c>
    </row>
    <row r="96" spans="1:9">
      <c r="A96" s="33" t="str">
        <f>IF(INT(91/Setup!$B$16)+1&lt;=Setup!$B$6,INDEX(Scores!$A$4:$A$227,(INT(91/Setup!$B$16)+1-1)*28+MOD(91,Setup!$B$16)+1),"")</f>
        <v/>
      </c>
      <c r="B96" s="33" t="str">
        <f>IF(INT(91/Setup!$B$16)+1&lt;=Setup!$B$6,INDEX(Setup!$B$22:$B$29,INT(91/Setup!$B$16)+1),"")</f>
        <v/>
      </c>
      <c r="C96" s="45" t="str">
        <f>IF(INT(91/Setup!$B$16)+1&lt;=Setup!$B$6,INDEX(Scores!$D$4:$D$227,(INT(91/Setup!$B$16)+1-1)*28+MOD(91,Setup!$B$16)+1),"")</f>
        <v/>
      </c>
      <c r="D96" s="106" t="str">
        <f>IF(INT(91/Setup!$B$16)+1&lt;=Setup!$B$6,INDEX(Scores!$E$4:$E$227,(INT(91/Setup!$B$16)+1-1)*28+MOD(91,Setup!$B$16)+1),"")</f>
        <v/>
      </c>
      <c r="E96" s="107"/>
      <c r="F96" s="107"/>
      <c r="G96" s="108" t="str">
        <f>IF(INT(91/Setup!$B$16)+1&lt;=Setup!$B$6,INDEX(Scores!$G$4:$G$227,(INT(91/Setup!$B$16)+1-1)*28+MOD(91,Setup!$B$16)+1),"")</f>
        <v/>
      </c>
      <c r="H96" s="33" t="str">
        <f>IF(A96="","",IF(INDEX(Scores!$I$4:$I$227,(INT(91/Setup!$B$16)+1-1)*28+MOD(91,Setup!$B$16)+1)=1,"Complete","Waiting"))</f>
        <v/>
      </c>
      <c r="I96" s="33" t="str">
        <f t="shared" si="1"/>
        <v/>
      </c>
    </row>
    <row r="97" spans="1:9">
      <c r="A97" s="33" t="str">
        <f>IF(INT(92/Setup!$B$16)+1&lt;=Setup!$B$6,INDEX(Scores!$A$4:$A$227,(INT(92/Setup!$B$16)+1-1)*28+MOD(92,Setup!$B$16)+1),"")</f>
        <v/>
      </c>
      <c r="B97" s="33" t="str">
        <f>IF(INT(92/Setup!$B$16)+1&lt;=Setup!$B$6,INDEX(Setup!$B$22:$B$29,INT(92/Setup!$B$16)+1),"")</f>
        <v/>
      </c>
      <c r="C97" s="45" t="str">
        <f>IF(INT(92/Setup!$B$16)+1&lt;=Setup!$B$6,INDEX(Scores!$D$4:$D$227,(INT(92/Setup!$B$16)+1-1)*28+MOD(92,Setup!$B$16)+1),"")</f>
        <v/>
      </c>
      <c r="D97" s="106" t="str">
        <f>IF(INT(92/Setup!$B$16)+1&lt;=Setup!$B$6,INDEX(Scores!$E$4:$E$227,(INT(92/Setup!$B$16)+1-1)*28+MOD(92,Setup!$B$16)+1),"")</f>
        <v/>
      </c>
      <c r="E97" s="107"/>
      <c r="F97" s="107"/>
      <c r="G97" s="108" t="str">
        <f>IF(INT(92/Setup!$B$16)+1&lt;=Setup!$B$6,INDEX(Scores!$G$4:$G$227,(INT(92/Setup!$B$16)+1-1)*28+MOD(92,Setup!$B$16)+1),"")</f>
        <v/>
      </c>
      <c r="H97" s="33" t="str">
        <f>IF(A97="","",IF(INDEX(Scores!$I$4:$I$227,(INT(92/Setup!$B$16)+1-1)*28+MOD(92,Setup!$B$16)+1)=1,"Complete","Waiting"))</f>
        <v/>
      </c>
      <c r="I97" s="33" t="str">
        <f t="shared" si="1"/>
        <v/>
      </c>
    </row>
    <row r="98" spans="1:9">
      <c r="A98" s="33" t="str">
        <f>IF(INT(93/Setup!$B$16)+1&lt;=Setup!$B$6,INDEX(Scores!$A$4:$A$227,(INT(93/Setup!$B$16)+1-1)*28+MOD(93,Setup!$B$16)+1),"")</f>
        <v/>
      </c>
      <c r="B98" s="33" t="str">
        <f>IF(INT(93/Setup!$B$16)+1&lt;=Setup!$B$6,INDEX(Setup!$B$22:$B$29,INT(93/Setup!$B$16)+1),"")</f>
        <v/>
      </c>
      <c r="C98" s="45" t="str">
        <f>IF(INT(93/Setup!$B$16)+1&lt;=Setup!$B$6,INDEX(Scores!$D$4:$D$227,(INT(93/Setup!$B$16)+1-1)*28+MOD(93,Setup!$B$16)+1),"")</f>
        <v/>
      </c>
      <c r="D98" s="106" t="str">
        <f>IF(INT(93/Setup!$B$16)+1&lt;=Setup!$B$6,INDEX(Scores!$E$4:$E$227,(INT(93/Setup!$B$16)+1-1)*28+MOD(93,Setup!$B$16)+1),"")</f>
        <v/>
      </c>
      <c r="E98" s="107"/>
      <c r="F98" s="107"/>
      <c r="G98" s="108" t="str">
        <f>IF(INT(93/Setup!$B$16)+1&lt;=Setup!$B$6,INDEX(Scores!$G$4:$G$227,(INT(93/Setup!$B$16)+1-1)*28+MOD(93,Setup!$B$16)+1),"")</f>
        <v/>
      </c>
      <c r="H98" s="33" t="str">
        <f>IF(A98="","",IF(INDEX(Scores!$I$4:$I$227,(INT(93/Setup!$B$16)+1-1)*28+MOD(93,Setup!$B$16)+1)=1,"Complete","Waiting"))</f>
        <v/>
      </c>
      <c r="I98" s="33" t="str">
        <f t="shared" si="1"/>
        <v/>
      </c>
    </row>
    <row r="99" spans="1:9">
      <c r="A99" s="33" t="str">
        <f>IF(INT(94/Setup!$B$16)+1&lt;=Setup!$B$6,INDEX(Scores!$A$4:$A$227,(INT(94/Setup!$B$16)+1-1)*28+MOD(94,Setup!$B$16)+1),"")</f>
        <v/>
      </c>
      <c r="B99" s="33" t="str">
        <f>IF(INT(94/Setup!$B$16)+1&lt;=Setup!$B$6,INDEX(Setup!$B$22:$B$29,INT(94/Setup!$B$16)+1),"")</f>
        <v/>
      </c>
      <c r="C99" s="45" t="str">
        <f>IF(INT(94/Setup!$B$16)+1&lt;=Setup!$B$6,INDEX(Scores!$D$4:$D$227,(INT(94/Setup!$B$16)+1-1)*28+MOD(94,Setup!$B$16)+1),"")</f>
        <v/>
      </c>
      <c r="D99" s="106" t="str">
        <f>IF(INT(94/Setup!$B$16)+1&lt;=Setup!$B$6,INDEX(Scores!$E$4:$E$227,(INT(94/Setup!$B$16)+1-1)*28+MOD(94,Setup!$B$16)+1),"")</f>
        <v/>
      </c>
      <c r="E99" s="107"/>
      <c r="F99" s="107"/>
      <c r="G99" s="108" t="str">
        <f>IF(INT(94/Setup!$B$16)+1&lt;=Setup!$B$6,INDEX(Scores!$G$4:$G$227,(INT(94/Setup!$B$16)+1-1)*28+MOD(94,Setup!$B$16)+1),"")</f>
        <v/>
      </c>
      <c r="H99" s="33" t="str">
        <f>IF(A99="","",IF(INDEX(Scores!$I$4:$I$227,(INT(94/Setup!$B$16)+1-1)*28+MOD(94,Setup!$B$16)+1)=1,"Complete","Waiting"))</f>
        <v/>
      </c>
      <c r="I99" s="33" t="str">
        <f t="shared" si="1"/>
        <v/>
      </c>
    </row>
    <row r="100" spans="1:9">
      <c r="A100" s="33" t="str">
        <f>IF(INT(95/Setup!$B$16)+1&lt;=Setup!$B$6,INDEX(Scores!$A$4:$A$227,(INT(95/Setup!$B$16)+1-1)*28+MOD(95,Setup!$B$16)+1),"")</f>
        <v/>
      </c>
      <c r="B100" s="33" t="str">
        <f>IF(INT(95/Setup!$B$16)+1&lt;=Setup!$B$6,INDEX(Setup!$B$22:$B$29,INT(95/Setup!$B$16)+1),"")</f>
        <v/>
      </c>
      <c r="C100" s="45" t="str">
        <f>IF(INT(95/Setup!$B$16)+1&lt;=Setup!$B$6,INDEX(Scores!$D$4:$D$227,(INT(95/Setup!$B$16)+1-1)*28+MOD(95,Setup!$B$16)+1),"")</f>
        <v/>
      </c>
      <c r="D100" s="106" t="str">
        <f>IF(INT(95/Setup!$B$16)+1&lt;=Setup!$B$6,INDEX(Scores!$E$4:$E$227,(INT(95/Setup!$B$16)+1-1)*28+MOD(95,Setup!$B$16)+1),"")</f>
        <v/>
      </c>
      <c r="E100" s="107"/>
      <c r="F100" s="107"/>
      <c r="G100" s="108" t="str">
        <f>IF(INT(95/Setup!$B$16)+1&lt;=Setup!$B$6,INDEX(Scores!$G$4:$G$227,(INT(95/Setup!$B$16)+1-1)*28+MOD(95,Setup!$B$16)+1),"")</f>
        <v/>
      </c>
      <c r="H100" s="33" t="str">
        <f>IF(A100="","",IF(INDEX(Scores!$I$4:$I$227,(INT(95/Setup!$B$16)+1-1)*28+MOD(95,Setup!$B$16)+1)=1,"Complete","Waiting"))</f>
        <v/>
      </c>
      <c r="I100" s="33" t="str">
        <f t="shared" si="1"/>
        <v/>
      </c>
    </row>
    <row r="101" spans="1:9">
      <c r="A101" s="33" t="str">
        <f>IF(INT(96/Setup!$B$16)+1&lt;=Setup!$B$6,INDEX(Scores!$A$4:$A$227,(INT(96/Setup!$B$16)+1-1)*28+MOD(96,Setup!$B$16)+1),"")</f>
        <v/>
      </c>
      <c r="B101" s="33" t="str">
        <f>IF(INT(96/Setup!$B$16)+1&lt;=Setup!$B$6,INDEX(Setup!$B$22:$B$29,INT(96/Setup!$B$16)+1),"")</f>
        <v/>
      </c>
      <c r="C101" s="45" t="str">
        <f>IF(INT(96/Setup!$B$16)+1&lt;=Setup!$B$6,INDEX(Scores!$D$4:$D$227,(INT(96/Setup!$B$16)+1-1)*28+MOD(96,Setup!$B$16)+1),"")</f>
        <v/>
      </c>
      <c r="D101" s="106" t="str">
        <f>IF(INT(96/Setup!$B$16)+1&lt;=Setup!$B$6,INDEX(Scores!$E$4:$E$227,(INT(96/Setup!$B$16)+1-1)*28+MOD(96,Setup!$B$16)+1),"")</f>
        <v/>
      </c>
      <c r="E101" s="107"/>
      <c r="F101" s="107"/>
      <c r="G101" s="108" t="str">
        <f>IF(INT(96/Setup!$B$16)+1&lt;=Setup!$B$6,INDEX(Scores!$G$4:$G$227,(INT(96/Setup!$B$16)+1-1)*28+MOD(96,Setup!$B$16)+1),"")</f>
        <v/>
      </c>
      <c r="H101" s="33" t="str">
        <f>IF(A101="","",IF(INDEX(Scores!$I$4:$I$227,(INT(96/Setup!$B$16)+1-1)*28+MOD(96,Setup!$B$16)+1)=1,"Complete","Waiting"))</f>
        <v/>
      </c>
      <c r="I101" s="33" t="str">
        <f t="shared" si="1"/>
        <v/>
      </c>
    </row>
    <row r="102" spans="1:9">
      <c r="A102" s="33" t="str">
        <f>IF(INT(97/Setup!$B$16)+1&lt;=Setup!$B$6,INDEX(Scores!$A$4:$A$227,(INT(97/Setup!$B$16)+1-1)*28+MOD(97,Setup!$B$16)+1),"")</f>
        <v/>
      </c>
      <c r="B102" s="33" t="str">
        <f>IF(INT(97/Setup!$B$16)+1&lt;=Setup!$B$6,INDEX(Setup!$B$22:$B$29,INT(97/Setup!$B$16)+1),"")</f>
        <v/>
      </c>
      <c r="C102" s="45" t="str">
        <f>IF(INT(97/Setup!$B$16)+1&lt;=Setup!$B$6,INDEX(Scores!$D$4:$D$227,(INT(97/Setup!$B$16)+1-1)*28+MOD(97,Setup!$B$16)+1),"")</f>
        <v/>
      </c>
      <c r="D102" s="106" t="str">
        <f>IF(INT(97/Setup!$B$16)+1&lt;=Setup!$B$6,INDEX(Scores!$E$4:$E$227,(INT(97/Setup!$B$16)+1-1)*28+MOD(97,Setup!$B$16)+1),"")</f>
        <v/>
      </c>
      <c r="E102" s="107"/>
      <c r="F102" s="107"/>
      <c r="G102" s="108" t="str">
        <f>IF(INT(97/Setup!$B$16)+1&lt;=Setup!$B$6,INDEX(Scores!$G$4:$G$227,(INT(97/Setup!$B$16)+1-1)*28+MOD(97,Setup!$B$16)+1),"")</f>
        <v/>
      </c>
      <c r="H102" s="33" t="str">
        <f>IF(A102="","",IF(INDEX(Scores!$I$4:$I$227,(INT(97/Setup!$B$16)+1-1)*28+MOD(97,Setup!$B$16)+1)=1,"Complete","Waiting"))</f>
        <v/>
      </c>
      <c r="I102" s="33" t="str">
        <f t="shared" si="1"/>
        <v/>
      </c>
    </row>
    <row r="103" spans="1:9">
      <c r="A103" s="33" t="str">
        <f>IF(INT(98/Setup!$B$16)+1&lt;=Setup!$B$6,INDEX(Scores!$A$4:$A$227,(INT(98/Setup!$B$16)+1-1)*28+MOD(98,Setup!$B$16)+1),"")</f>
        <v/>
      </c>
      <c r="B103" s="33" t="str">
        <f>IF(INT(98/Setup!$B$16)+1&lt;=Setup!$B$6,INDEX(Setup!$B$22:$B$29,INT(98/Setup!$B$16)+1),"")</f>
        <v/>
      </c>
      <c r="C103" s="45" t="str">
        <f>IF(INT(98/Setup!$B$16)+1&lt;=Setup!$B$6,INDEX(Scores!$D$4:$D$227,(INT(98/Setup!$B$16)+1-1)*28+MOD(98,Setup!$B$16)+1),"")</f>
        <v/>
      </c>
      <c r="D103" s="106" t="str">
        <f>IF(INT(98/Setup!$B$16)+1&lt;=Setup!$B$6,INDEX(Scores!$E$4:$E$227,(INT(98/Setup!$B$16)+1-1)*28+MOD(98,Setup!$B$16)+1),"")</f>
        <v/>
      </c>
      <c r="E103" s="107"/>
      <c r="F103" s="107"/>
      <c r="G103" s="108" t="str">
        <f>IF(INT(98/Setup!$B$16)+1&lt;=Setup!$B$6,INDEX(Scores!$G$4:$G$227,(INT(98/Setup!$B$16)+1-1)*28+MOD(98,Setup!$B$16)+1),"")</f>
        <v/>
      </c>
      <c r="H103" s="33" t="str">
        <f>IF(A103="","",IF(INDEX(Scores!$I$4:$I$227,(INT(98/Setup!$B$16)+1-1)*28+MOD(98,Setup!$B$16)+1)=1,"Complete","Waiting"))</f>
        <v/>
      </c>
      <c r="I103" s="33" t="str">
        <f t="shared" si="1"/>
        <v/>
      </c>
    </row>
    <row r="104" spans="1:9">
      <c r="A104" s="33" t="str">
        <f>IF(INT(99/Setup!$B$16)+1&lt;=Setup!$B$6,INDEX(Scores!$A$4:$A$227,(INT(99/Setup!$B$16)+1-1)*28+MOD(99,Setup!$B$16)+1),"")</f>
        <v/>
      </c>
      <c r="B104" s="33" t="str">
        <f>IF(INT(99/Setup!$B$16)+1&lt;=Setup!$B$6,INDEX(Setup!$B$22:$B$29,INT(99/Setup!$B$16)+1),"")</f>
        <v/>
      </c>
      <c r="C104" s="45" t="str">
        <f>IF(INT(99/Setup!$B$16)+1&lt;=Setup!$B$6,INDEX(Scores!$D$4:$D$227,(INT(99/Setup!$B$16)+1-1)*28+MOD(99,Setup!$B$16)+1),"")</f>
        <v/>
      </c>
      <c r="D104" s="106" t="str">
        <f>IF(INT(99/Setup!$B$16)+1&lt;=Setup!$B$6,INDEX(Scores!$E$4:$E$227,(INT(99/Setup!$B$16)+1-1)*28+MOD(99,Setup!$B$16)+1),"")</f>
        <v/>
      </c>
      <c r="E104" s="107"/>
      <c r="F104" s="107"/>
      <c r="G104" s="108" t="str">
        <f>IF(INT(99/Setup!$B$16)+1&lt;=Setup!$B$6,INDEX(Scores!$G$4:$G$227,(INT(99/Setup!$B$16)+1-1)*28+MOD(99,Setup!$B$16)+1),"")</f>
        <v/>
      </c>
      <c r="H104" s="33" t="str">
        <f>IF(A104="","",IF(INDEX(Scores!$I$4:$I$227,(INT(99/Setup!$B$16)+1-1)*28+MOD(99,Setup!$B$16)+1)=1,"Complete","Waiting"))</f>
        <v/>
      </c>
      <c r="I104" s="33" t="str">
        <f t="shared" si="1"/>
        <v/>
      </c>
    </row>
    <row r="105" spans="1:9">
      <c r="A105" s="33" t="str">
        <f>IF(INT(100/Setup!$B$16)+1&lt;=Setup!$B$6,INDEX(Scores!$A$4:$A$227,(INT(100/Setup!$B$16)+1-1)*28+MOD(100,Setup!$B$16)+1),"")</f>
        <v/>
      </c>
      <c r="B105" s="33" t="str">
        <f>IF(INT(100/Setup!$B$16)+1&lt;=Setup!$B$6,INDEX(Setup!$B$22:$B$29,INT(100/Setup!$B$16)+1),"")</f>
        <v/>
      </c>
      <c r="C105" s="45" t="str">
        <f>IF(INT(100/Setup!$B$16)+1&lt;=Setup!$B$6,INDEX(Scores!$D$4:$D$227,(INT(100/Setup!$B$16)+1-1)*28+MOD(100,Setup!$B$16)+1),"")</f>
        <v/>
      </c>
      <c r="D105" s="106" t="str">
        <f>IF(INT(100/Setup!$B$16)+1&lt;=Setup!$B$6,INDEX(Scores!$E$4:$E$227,(INT(100/Setup!$B$16)+1-1)*28+MOD(100,Setup!$B$16)+1),"")</f>
        <v/>
      </c>
      <c r="E105" s="107"/>
      <c r="F105" s="107"/>
      <c r="G105" s="108" t="str">
        <f>IF(INT(100/Setup!$B$16)+1&lt;=Setup!$B$6,INDEX(Scores!$G$4:$G$227,(INT(100/Setup!$B$16)+1-1)*28+MOD(100,Setup!$B$16)+1),"")</f>
        <v/>
      </c>
      <c r="H105" s="33" t="str">
        <f>IF(A105="","",IF(INDEX(Scores!$I$4:$I$227,(INT(100/Setup!$B$16)+1-1)*28+MOD(100,Setup!$B$16)+1)=1,"Complete","Waiting"))</f>
        <v/>
      </c>
      <c r="I105" s="33" t="str">
        <f t="shared" si="1"/>
        <v/>
      </c>
    </row>
    <row r="106" spans="1:9">
      <c r="A106" s="33" t="str">
        <f>IF(INT(101/Setup!$B$16)+1&lt;=Setup!$B$6,INDEX(Scores!$A$4:$A$227,(INT(101/Setup!$B$16)+1-1)*28+MOD(101,Setup!$B$16)+1),"")</f>
        <v/>
      </c>
      <c r="B106" s="33" t="str">
        <f>IF(INT(101/Setup!$B$16)+1&lt;=Setup!$B$6,INDEX(Setup!$B$22:$B$29,INT(101/Setup!$B$16)+1),"")</f>
        <v/>
      </c>
      <c r="C106" s="45" t="str">
        <f>IF(INT(101/Setup!$B$16)+1&lt;=Setup!$B$6,INDEX(Scores!$D$4:$D$227,(INT(101/Setup!$B$16)+1-1)*28+MOD(101,Setup!$B$16)+1),"")</f>
        <v/>
      </c>
      <c r="D106" s="106" t="str">
        <f>IF(INT(101/Setup!$B$16)+1&lt;=Setup!$B$6,INDEX(Scores!$E$4:$E$227,(INT(101/Setup!$B$16)+1-1)*28+MOD(101,Setup!$B$16)+1),"")</f>
        <v/>
      </c>
      <c r="E106" s="107"/>
      <c r="F106" s="107"/>
      <c r="G106" s="108" t="str">
        <f>IF(INT(101/Setup!$B$16)+1&lt;=Setup!$B$6,INDEX(Scores!$G$4:$G$227,(INT(101/Setup!$B$16)+1-1)*28+MOD(101,Setup!$B$16)+1),"")</f>
        <v/>
      </c>
      <c r="H106" s="33" t="str">
        <f>IF(A106="","",IF(INDEX(Scores!$I$4:$I$227,(INT(101/Setup!$B$16)+1-1)*28+MOD(101,Setup!$B$16)+1)=1,"Complete","Waiting"))</f>
        <v/>
      </c>
      <c r="I106" s="33" t="str">
        <f t="shared" si="1"/>
        <v/>
      </c>
    </row>
    <row r="107" spans="1:9">
      <c r="A107" s="33" t="str">
        <f>IF(INT(102/Setup!$B$16)+1&lt;=Setup!$B$6,INDEX(Scores!$A$4:$A$227,(INT(102/Setup!$B$16)+1-1)*28+MOD(102,Setup!$B$16)+1),"")</f>
        <v/>
      </c>
      <c r="B107" s="33" t="str">
        <f>IF(INT(102/Setup!$B$16)+1&lt;=Setup!$B$6,INDEX(Setup!$B$22:$B$29,INT(102/Setup!$B$16)+1),"")</f>
        <v/>
      </c>
      <c r="C107" s="45" t="str">
        <f>IF(INT(102/Setup!$B$16)+1&lt;=Setup!$B$6,INDEX(Scores!$D$4:$D$227,(INT(102/Setup!$B$16)+1-1)*28+MOD(102,Setup!$B$16)+1),"")</f>
        <v/>
      </c>
      <c r="D107" s="106" t="str">
        <f>IF(INT(102/Setup!$B$16)+1&lt;=Setup!$B$6,INDEX(Scores!$E$4:$E$227,(INT(102/Setup!$B$16)+1-1)*28+MOD(102,Setup!$B$16)+1),"")</f>
        <v/>
      </c>
      <c r="E107" s="107"/>
      <c r="F107" s="107"/>
      <c r="G107" s="108" t="str">
        <f>IF(INT(102/Setup!$B$16)+1&lt;=Setup!$B$6,INDEX(Scores!$G$4:$G$227,(INT(102/Setup!$B$16)+1-1)*28+MOD(102,Setup!$B$16)+1),"")</f>
        <v/>
      </c>
      <c r="H107" s="33" t="str">
        <f>IF(A107="","",IF(INDEX(Scores!$I$4:$I$227,(INT(102/Setup!$B$16)+1-1)*28+MOD(102,Setup!$B$16)+1)=1,"Complete","Waiting"))</f>
        <v/>
      </c>
      <c r="I107" s="33" t="str">
        <f t="shared" si="1"/>
        <v/>
      </c>
    </row>
    <row r="108" spans="1:9">
      <c r="A108" s="33" t="str">
        <f>IF(INT(103/Setup!$B$16)+1&lt;=Setup!$B$6,INDEX(Scores!$A$4:$A$227,(INT(103/Setup!$B$16)+1-1)*28+MOD(103,Setup!$B$16)+1),"")</f>
        <v/>
      </c>
      <c r="B108" s="33" t="str">
        <f>IF(INT(103/Setup!$B$16)+1&lt;=Setup!$B$6,INDEX(Setup!$B$22:$B$29,INT(103/Setup!$B$16)+1),"")</f>
        <v/>
      </c>
      <c r="C108" s="45" t="str">
        <f>IF(INT(103/Setup!$B$16)+1&lt;=Setup!$B$6,INDEX(Scores!$D$4:$D$227,(INT(103/Setup!$B$16)+1-1)*28+MOD(103,Setup!$B$16)+1),"")</f>
        <v/>
      </c>
      <c r="D108" s="106" t="str">
        <f>IF(INT(103/Setup!$B$16)+1&lt;=Setup!$B$6,INDEX(Scores!$E$4:$E$227,(INT(103/Setup!$B$16)+1-1)*28+MOD(103,Setup!$B$16)+1),"")</f>
        <v/>
      </c>
      <c r="E108" s="107"/>
      <c r="F108" s="107"/>
      <c r="G108" s="108" t="str">
        <f>IF(INT(103/Setup!$B$16)+1&lt;=Setup!$B$6,INDEX(Scores!$G$4:$G$227,(INT(103/Setup!$B$16)+1-1)*28+MOD(103,Setup!$B$16)+1),"")</f>
        <v/>
      </c>
      <c r="H108" s="33" t="str">
        <f>IF(A108="","",IF(INDEX(Scores!$I$4:$I$227,(INT(103/Setup!$B$16)+1-1)*28+MOD(103,Setup!$B$16)+1)=1,"Complete","Waiting"))</f>
        <v/>
      </c>
      <c r="I108" s="33" t="str">
        <f t="shared" si="1"/>
        <v/>
      </c>
    </row>
    <row r="109" spans="1:9">
      <c r="A109" s="33" t="str">
        <f>IF(INT(104/Setup!$B$16)+1&lt;=Setup!$B$6,INDEX(Scores!$A$4:$A$227,(INT(104/Setup!$B$16)+1-1)*28+MOD(104,Setup!$B$16)+1),"")</f>
        <v/>
      </c>
      <c r="B109" s="33" t="str">
        <f>IF(INT(104/Setup!$B$16)+1&lt;=Setup!$B$6,INDEX(Setup!$B$22:$B$29,INT(104/Setup!$B$16)+1),"")</f>
        <v/>
      </c>
      <c r="C109" s="45" t="str">
        <f>IF(INT(104/Setup!$B$16)+1&lt;=Setup!$B$6,INDEX(Scores!$D$4:$D$227,(INT(104/Setup!$B$16)+1-1)*28+MOD(104,Setup!$B$16)+1),"")</f>
        <v/>
      </c>
      <c r="D109" s="106" t="str">
        <f>IF(INT(104/Setup!$B$16)+1&lt;=Setup!$B$6,INDEX(Scores!$E$4:$E$227,(INT(104/Setup!$B$16)+1-1)*28+MOD(104,Setup!$B$16)+1),"")</f>
        <v/>
      </c>
      <c r="E109" s="107"/>
      <c r="F109" s="107"/>
      <c r="G109" s="108" t="str">
        <f>IF(INT(104/Setup!$B$16)+1&lt;=Setup!$B$6,INDEX(Scores!$G$4:$G$227,(INT(104/Setup!$B$16)+1-1)*28+MOD(104,Setup!$B$16)+1),"")</f>
        <v/>
      </c>
      <c r="H109" s="33" t="str">
        <f>IF(A109="","",IF(INDEX(Scores!$I$4:$I$227,(INT(104/Setup!$B$16)+1-1)*28+MOD(104,Setup!$B$16)+1)=1,"Complete","Waiting"))</f>
        <v/>
      </c>
      <c r="I109" s="33" t="str">
        <f t="shared" si="1"/>
        <v/>
      </c>
    </row>
    <row r="110" spans="1:9">
      <c r="A110" s="33" t="str">
        <f>IF(INT(105/Setup!$B$16)+1&lt;=Setup!$B$6,INDEX(Scores!$A$4:$A$227,(INT(105/Setup!$B$16)+1-1)*28+MOD(105,Setup!$B$16)+1),"")</f>
        <v/>
      </c>
      <c r="B110" s="33" t="str">
        <f>IF(INT(105/Setup!$B$16)+1&lt;=Setup!$B$6,INDEX(Setup!$B$22:$B$29,INT(105/Setup!$B$16)+1),"")</f>
        <v/>
      </c>
      <c r="C110" s="45" t="str">
        <f>IF(INT(105/Setup!$B$16)+1&lt;=Setup!$B$6,INDEX(Scores!$D$4:$D$227,(INT(105/Setup!$B$16)+1-1)*28+MOD(105,Setup!$B$16)+1),"")</f>
        <v/>
      </c>
      <c r="D110" s="106" t="str">
        <f>IF(INT(105/Setup!$B$16)+1&lt;=Setup!$B$6,INDEX(Scores!$E$4:$E$227,(INT(105/Setup!$B$16)+1-1)*28+MOD(105,Setup!$B$16)+1),"")</f>
        <v/>
      </c>
      <c r="E110" s="107"/>
      <c r="F110" s="107"/>
      <c r="G110" s="108" t="str">
        <f>IF(INT(105/Setup!$B$16)+1&lt;=Setup!$B$6,INDEX(Scores!$G$4:$G$227,(INT(105/Setup!$B$16)+1-1)*28+MOD(105,Setup!$B$16)+1),"")</f>
        <v/>
      </c>
      <c r="H110" s="33" t="str">
        <f>IF(A110="","",IF(INDEX(Scores!$I$4:$I$227,(INT(105/Setup!$B$16)+1-1)*28+MOD(105,Setup!$B$16)+1)=1,"Complete","Waiting"))</f>
        <v/>
      </c>
      <c r="I110" s="33" t="str">
        <f t="shared" si="1"/>
        <v/>
      </c>
    </row>
    <row r="111" spans="1:9">
      <c r="A111" s="33" t="str">
        <f>IF(INT(106/Setup!$B$16)+1&lt;=Setup!$B$6,INDEX(Scores!$A$4:$A$227,(INT(106/Setup!$B$16)+1-1)*28+MOD(106,Setup!$B$16)+1),"")</f>
        <v/>
      </c>
      <c r="B111" s="33" t="str">
        <f>IF(INT(106/Setup!$B$16)+1&lt;=Setup!$B$6,INDEX(Setup!$B$22:$B$29,INT(106/Setup!$B$16)+1),"")</f>
        <v/>
      </c>
      <c r="C111" s="45" t="str">
        <f>IF(INT(106/Setup!$B$16)+1&lt;=Setup!$B$6,INDEX(Scores!$D$4:$D$227,(INT(106/Setup!$B$16)+1-1)*28+MOD(106,Setup!$B$16)+1),"")</f>
        <v/>
      </c>
      <c r="D111" s="106" t="str">
        <f>IF(INT(106/Setup!$B$16)+1&lt;=Setup!$B$6,INDEX(Scores!$E$4:$E$227,(INT(106/Setup!$B$16)+1-1)*28+MOD(106,Setup!$B$16)+1),"")</f>
        <v/>
      </c>
      <c r="E111" s="107"/>
      <c r="F111" s="107"/>
      <c r="G111" s="108" t="str">
        <f>IF(INT(106/Setup!$B$16)+1&lt;=Setup!$B$6,INDEX(Scores!$G$4:$G$227,(INT(106/Setup!$B$16)+1-1)*28+MOD(106,Setup!$B$16)+1),"")</f>
        <v/>
      </c>
      <c r="H111" s="33" t="str">
        <f>IF(A111="","",IF(INDEX(Scores!$I$4:$I$227,(INT(106/Setup!$B$16)+1-1)*28+MOD(106,Setup!$B$16)+1)=1,"Complete","Waiting"))</f>
        <v/>
      </c>
      <c r="I111" s="33" t="str">
        <f t="shared" si="1"/>
        <v/>
      </c>
    </row>
    <row r="112" spans="1:9">
      <c r="A112" s="33" t="str">
        <f>IF(INT(107/Setup!$B$16)+1&lt;=Setup!$B$6,INDEX(Scores!$A$4:$A$227,(INT(107/Setup!$B$16)+1-1)*28+MOD(107,Setup!$B$16)+1),"")</f>
        <v/>
      </c>
      <c r="B112" s="33" t="str">
        <f>IF(INT(107/Setup!$B$16)+1&lt;=Setup!$B$6,INDEX(Setup!$B$22:$B$29,INT(107/Setup!$B$16)+1),"")</f>
        <v/>
      </c>
      <c r="C112" s="45" t="str">
        <f>IF(INT(107/Setup!$B$16)+1&lt;=Setup!$B$6,INDEX(Scores!$D$4:$D$227,(INT(107/Setup!$B$16)+1-1)*28+MOD(107,Setup!$B$16)+1),"")</f>
        <v/>
      </c>
      <c r="D112" s="106" t="str">
        <f>IF(INT(107/Setup!$B$16)+1&lt;=Setup!$B$6,INDEX(Scores!$E$4:$E$227,(INT(107/Setup!$B$16)+1-1)*28+MOD(107,Setup!$B$16)+1),"")</f>
        <v/>
      </c>
      <c r="E112" s="107"/>
      <c r="F112" s="107"/>
      <c r="G112" s="108" t="str">
        <f>IF(INT(107/Setup!$B$16)+1&lt;=Setup!$B$6,INDEX(Scores!$G$4:$G$227,(INT(107/Setup!$B$16)+1-1)*28+MOD(107,Setup!$B$16)+1),"")</f>
        <v/>
      </c>
      <c r="H112" s="33" t="str">
        <f>IF(A112="","",IF(INDEX(Scores!$I$4:$I$227,(INT(107/Setup!$B$16)+1-1)*28+MOD(107,Setup!$B$16)+1)=1,"Complete","Waiting"))</f>
        <v/>
      </c>
      <c r="I112" s="33" t="str">
        <f t="shared" si="1"/>
        <v/>
      </c>
    </row>
    <row r="113" spans="1:9">
      <c r="A113" s="33" t="str">
        <f>IF(INT(108/Setup!$B$16)+1&lt;=Setup!$B$6,INDEX(Scores!$A$4:$A$227,(INT(108/Setup!$B$16)+1-1)*28+MOD(108,Setup!$B$16)+1),"")</f>
        <v/>
      </c>
      <c r="B113" s="33" t="str">
        <f>IF(INT(108/Setup!$B$16)+1&lt;=Setup!$B$6,INDEX(Setup!$B$22:$B$29,INT(108/Setup!$B$16)+1),"")</f>
        <v/>
      </c>
      <c r="C113" s="45" t="str">
        <f>IF(INT(108/Setup!$B$16)+1&lt;=Setup!$B$6,INDEX(Scores!$D$4:$D$227,(INT(108/Setup!$B$16)+1-1)*28+MOD(108,Setup!$B$16)+1),"")</f>
        <v/>
      </c>
      <c r="D113" s="106" t="str">
        <f>IF(INT(108/Setup!$B$16)+1&lt;=Setup!$B$6,INDEX(Scores!$E$4:$E$227,(INT(108/Setup!$B$16)+1-1)*28+MOD(108,Setup!$B$16)+1),"")</f>
        <v/>
      </c>
      <c r="E113" s="107"/>
      <c r="F113" s="107"/>
      <c r="G113" s="108" t="str">
        <f>IF(INT(108/Setup!$B$16)+1&lt;=Setup!$B$6,INDEX(Scores!$G$4:$G$227,(INT(108/Setup!$B$16)+1-1)*28+MOD(108,Setup!$B$16)+1),"")</f>
        <v/>
      </c>
      <c r="H113" s="33" t="str">
        <f>IF(A113="","",IF(INDEX(Scores!$I$4:$I$227,(INT(108/Setup!$B$16)+1-1)*28+MOD(108,Setup!$B$16)+1)=1,"Complete","Waiting"))</f>
        <v/>
      </c>
      <c r="I113" s="33" t="str">
        <f t="shared" si="1"/>
        <v/>
      </c>
    </row>
    <row r="114" spans="1:9">
      <c r="A114" s="33" t="str">
        <f>IF(INT(109/Setup!$B$16)+1&lt;=Setup!$B$6,INDEX(Scores!$A$4:$A$227,(INT(109/Setup!$B$16)+1-1)*28+MOD(109,Setup!$B$16)+1),"")</f>
        <v/>
      </c>
      <c r="B114" s="33" t="str">
        <f>IF(INT(109/Setup!$B$16)+1&lt;=Setup!$B$6,INDEX(Setup!$B$22:$B$29,INT(109/Setup!$B$16)+1),"")</f>
        <v/>
      </c>
      <c r="C114" s="45" t="str">
        <f>IF(INT(109/Setup!$B$16)+1&lt;=Setup!$B$6,INDEX(Scores!$D$4:$D$227,(INT(109/Setup!$B$16)+1-1)*28+MOD(109,Setup!$B$16)+1),"")</f>
        <v/>
      </c>
      <c r="D114" s="106" t="str">
        <f>IF(INT(109/Setup!$B$16)+1&lt;=Setup!$B$6,INDEX(Scores!$E$4:$E$227,(INT(109/Setup!$B$16)+1-1)*28+MOD(109,Setup!$B$16)+1),"")</f>
        <v/>
      </c>
      <c r="E114" s="107"/>
      <c r="F114" s="107"/>
      <c r="G114" s="108" t="str">
        <f>IF(INT(109/Setup!$B$16)+1&lt;=Setup!$B$6,INDEX(Scores!$G$4:$G$227,(INT(109/Setup!$B$16)+1-1)*28+MOD(109,Setup!$B$16)+1),"")</f>
        <v/>
      </c>
      <c r="H114" s="33" t="str">
        <f>IF(A114="","",IF(INDEX(Scores!$I$4:$I$227,(INT(109/Setup!$B$16)+1-1)*28+MOD(109,Setup!$B$16)+1)=1,"Complete","Waiting"))</f>
        <v/>
      </c>
      <c r="I114" s="33" t="str">
        <f t="shared" si="1"/>
        <v/>
      </c>
    </row>
    <row r="115" spans="1:9">
      <c r="A115" s="33" t="str">
        <f>IF(INT(110/Setup!$B$16)+1&lt;=Setup!$B$6,INDEX(Scores!$A$4:$A$227,(INT(110/Setup!$B$16)+1-1)*28+MOD(110,Setup!$B$16)+1),"")</f>
        <v/>
      </c>
      <c r="B115" s="33" t="str">
        <f>IF(INT(110/Setup!$B$16)+1&lt;=Setup!$B$6,INDEX(Setup!$B$22:$B$29,INT(110/Setup!$B$16)+1),"")</f>
        <v/>
      </c>
      <c r="C115" s="45" t="str">
        <f>IF(INT(110/Setup!$B$16)+1&lt;=Setup!$B$6,INDEX(Scores!$D$4:$D$227,(INT(110/Setup!$B$16)+1-1)*28+MOD(110,Setup!$B$16)+1),"")</f>
        <v/>
      </c>
      <c r="D115" s="106" t="str">
        <f>IF(INT(110/Setup!$B$16)+1&lt;=Setup!$B$6,INDEX(Scores!$E$4:$E$227,(INT(110/Setup!$B$16)+1-1)*28+MOD(110,Setup!$B$16)+1),"")</f>
        <v/>
      </c>
      <c r="E115" s="107"/>
      <c r="F115" s="107"/>
      <c r="G115" s="108" t="str">
        <f>IF(INT(110/Setup!$B$16)+1&lt;=Setup!$B$6,INDEX(Scores!$G$4:$G$227,(INT(110/Setup!$B$16)+1-1)*28+MOD(110,Setup!$B$16)+1),"")</f>
        <v/>
      </c>
      <c r="H115" s="33" t="str">
        <f>IF(A115="","",IF(INDEX(Scores!$I$4:$I$227,(INT(110/Setup!$B$16)+1-1)*28+MOD(110,Setup!$B$16)+1)=1,"Complete","Waiting"))</f>
        <v/>
      </c>
      <c r="I115" s="33" t="str">
        <f t="shared" si="1"/>
        <v/>
      </c>
    </row>
    <row r="116" spans="1:9">
      <c r="A116" s="33" t="str">
        <f>IF(INT(111/Setup!$B$16)+1&lt;=Setup!$B$6,INDEX(Scores!$A$4:$A$227,(INT(111/Setup!$B$16)+1-1)*28+MOD(111,Setup!$B$16)+1),"")</f>
        <v/>
      </c>
      <c r="B116" s="33" t="str">
        <f>IF(INT(111/Setup!$B$16)+1&lt;=Setup!$B$6,INDEX(Setup!$B$22:$B$29,INT(111/Setup!$B$16)+1),"")</f>
        <v/>
      </c>
      <c r="C116" s="45" t="str">
        <f>IF(INT(111/Setup!$B$16)+1&lt;=Setup!$B$6,INDEX(Scores!$D$4:$D$227,(INT(111/Setup!$B$16)+1-1)*28+MOD(111,Setup!$B$16)+1),"")</f>
        <v/>
      </c>
      <c r="D116" s="106" t="str">
        <f>IF(INT(111/Setup!$B$16)+1&lt;=Setup!$B$6,INDEX(Scores!$E$4:$E$227,(INT(111/Setup!$B$16)+1-1)*28+MOD(111,Setup!$B$16)+1),"")</f>
        <v/>
      </c>
      <c r="E116" s="107"/>
      <c r="F116" s="107"/>
      <c r="G116" s="108" t="str">
        <f>IF(INT(111/Setup!$B$16)+1&lt;=Setup!$B$6,INDEX(Scores!$G$4:$G$227,(INT(111/Setup!$B$16)+1-1)*28+MOD(111,Setup!$B$16)+1),"")</f>
        <v/>
      </c>
      <c r="H116" s="33" t="str">
        <f>IF(A116="","",IF(INDEX(Scores!$I$4:$I$227,(INT(111/Setup!$B$16)+1-1)*28+MOD(111,Setup!$B$16)+1)=1,"Complete","Waiting"))</f>
        <v/>
      </c>
      <c r="I116" s="33" t="str">
        <f t="shared" si="1"/>
        <v/>
      </c>
    </row>
    <row r="117" spans="1:9">
      <c r="A117" s="33" t="str">
        <f>IF(INT(112/Setup!$B$16)+1&lt;=Setup!$B$6,INDEX(Scores!$A$4:$A$227,(INT(112/Setup!$B$16)+1-1)*28+MOD(112,Setup!$B$16)+1),"")</f>
        <v/>
      </c>
      <c r="B117" s="33" t="str">
        <f>IF(INT(112/Setup!$B$16)+1&lt;=Setup!$B$6,INDEX(Setup!$B$22:$B$29,INT(112/Setup!$B$16)+1),"")</f>
        <v/>
      </c>
      <c r="C117" s="45" t="str">
        <f>IF(INT(112/Setup!$B$16)+1&lt;=Setup!$B$6,INDEX(Scores!$D$4:$D$227,(INT(112/Setup!$B$16)+1-1)*28+MOD(112,Setup!$B$16)+1),"")</f>
        <v/>
      </c>
      <c r="D117" s="106" t="str">
        <f>IF(INT(112/Setup!$B$16)+1&lt;=Setup!$B$6,INDEX(Scores!$E$4:$E$227,(INT(112/Setup!$B$16)+1-1)*28+MOD(112,Setup!$B$16)+1),"")</f>
        <v/>
      </c>
      <c r="E117" s="107"/>
      <c r="F117" s="107"/>
      <c r="G117" s="108" t="str">
        <f>IF(INT(112/Setup!$B$16)+1&lt;=Setup!$B$6,INDEX(Scores!$G$4:$G$227,(INT(112/Setup!$B$16)+1-1)*28+MOD(112,Setup!$B$16)+1),"")</f>
        <v/>
      </c>
      <c r="H117" s="33" t="str">
        <f>IF(A117="","",IF(INDEX(Scores!$I$4:$I$227,(INT(112/Setup!$B$16)+1-1)*28+MOD(112,Setup!$B$16)+1)=1,"Complete","Waiting"))</f>
        <v/>
      </c>
      <c r="I117" s="33" t="str">
        <f t="shared" si="1"/>
        <v/>
      </c>
    </row>
    <row r="118" spans="1:9">
      <c r="A118" s="33" t="str">
        <f>IF(INT(113/Setup!$B$16)+1&lt;=Setup!$B$6,INDEX(Scores!$A$4:$A$227,(INT(113/Setup!$B$16)+1-1)*28+MOD(113,Setup!$B$16)+1),"")</f>
        <v/>
      </c>
      <c r="B118" s="33" t="str">
        <f>IF(INT(113/Setup!$B$16)+1&lt;=Setup!$B$6,INDEX(Setup!$B$22:$B$29,INT(113/Setup!$B$16)+1),"")</f>
        <v/>
      </c>
      <c r="C118" s="45" t="str">
        <f>IF(INT(113/Setup!$B$16)+1&lt;=Setup!$B$6,INDEX(Scores!$D$4:$D$227,(INT(113/Setup!$B$16)+1-1)*28+MOD(113,Setup!$B$16)+1),"")</f>
        <v/>
      </c>
      <c r="D118" s="106" t="str">
        <f>IF(INT(113/Setup!$B$16)+1&lt;=Setup!$B$6,INDEX(Scores!$E$4:$E$227,(INT(113/Setup!$B$16)+1-1)*28+MOD(113,Setup!$B$16)+1),"")</f>
        <v/>
      </c>
      <c r="E118" s="107"/>
      <c r="F118" s="107"/>
      <c r="G118" s="108" t="str">
        <f>IF(INT(113/Setup!$B$16)+1&lt;=Setup!$B$6,INDEX(Scores!$G$4:$G$227,(INT(113/Setup!$B$16)+1-1)*28+MOD(113,Setup!$B$16)+1),"")</f>
        <v/>
      </c>
      <c r="H118" s="33" t="str">
        <f>IF(A118="","",IF(INDEX(Scores!$I$4:$I$227,(INT(113/Setup!$B$16)+1-1)*28+MOD(113,Setup!$B$16)+1)=1,"Complete","Waiting"))</f>
        <v/>
      </c>
      <c r="I118" s="33" t="str">
        <f t="shared" si="1"/>
        <v/>
      </c>
    </row>
    <row r="119" spans="1:9">
      <c r="A119" s="33" t="str">
        <f>IF(INT(114/Setup!$B$16)+1&lt;=Setup!$B$6,INDEX(Scores!$A$4:$A$227,(INT(114/Setup!$B$16)+1-1)*28+MOD(114,Setup!$B$16)+1),"")</f>
        <v/>
      </c>
      <c r="B119" s="33" t="str">
        <f>IF(INT(114/Setup!$B$16)+1&lt;=Setup!$B$6,INDEX(Setup!$B$22:$B$29,INT(114/Setup!$B$16)+1),"")</f>
        <v/>
      </c>
      <c r="C119" s="45" t="str">
        <f>IF(INT(114/Setup!$B$16)+1&lt;=Setup!$B$6,INDEX(Scores!$D$4:$D$227,(INT(114/Setup!$B$16)+1-1)*28+MOD(114,Setup!$B$16)+1),"")</f>
        <v/>
      </c>
      <c r="D119" s="106" t="str">
        <f>IF(INT(114/Setup!$B$16)+1&lt;=Setup!$B$6,INDEX(Scores!$E$4:$E$227,(INT(114/Setup!$B$16)+1-1)*28+MOD(114,Setup!$B$16)+1),"")</f>
        <v/>
      </c>
      <c r="E119" s="107"/>
      <c r="F119" s="107"/>
      <c r="G119" s="108" t="str">
        <f>IF(INT(114/Setup!$B$16)+1&lt;=Setup!$B$6,INDEX(Scores!$G$4:$G$227,(INT(114/Setup!$B$16)+1-1)*28+MOD(114,Setup!$B$16)+1),"")</f>
        <v/>
      </c>
      <c r="H119" s="33" t="str">
        <f>IF(A119="","",IF(INDEX(Scores!$I$4:$I$227,(INT(114/Setup!$B$16)+1-1)*28+MOD(114,Setup!$B$16)+1)=1,"Complete","Waiting"))</f>
        <v/>
      </c>
      <c r="I119" s="33" t="str">
        <f t="shared" si="1"/>
        <v/>
      </c>
    </row>
    <row r="120" spans="1:9">
      <c r="A120" s="33" t="str">
        <f>IF(INT(115/Setup!$B$16)+1&lt;=Setup!$B$6,INDEX(Scores!$A$4:$A$227,(INT(115/Setup!$B$16)+1-1)*28+MOD(115,Setup!$B$16)+1),"")</f>
        <v/>
      </c>
      <c r="B120" s="33" t="str">
        <f>IF(INT(115/Setup!$B$16)+1&lt;=Setup!$B$6,INDEX(Setup!$B$22:$B$29,INT(115/Setup!$B$16)+1),"")</f>
        <v/>
      </c>
      <c r="C120" s="45" t="str">
        <f>IF(INT(115/Setup!$B$16)+1&lt;=Setup!$B$6,INDEX(Scores!$D$4:$D$227,(INT(115/Setup!$B$16)+1-1)*28+MOD(115,Setup!$B$16)+1),"")</f>
        <v/>
      </c>
      <c r="D120" s="106" t="str">
        <f>IF(INT(115/Setup!$B$16)+1&lt;=Setup!$B$6,INDEX(Scores!$E$4:$E$227,(INT(115/Setup!$B$16)+1-1)*28+MOD(115,Setup!$B$16)+1),"")</f>
        <v/>
      </c>
      <c r="E120" s="107"/>
      <c r="F120" s="107"/>
      <c r="G120" s="108" t="str">
        <f>IF(INT(115/Setup!$B$16)+1&lt;=Setup!$B$6,INDEX(Scores!$G$4:$G$227,(INT(115/Setup!$B$16)+1-1)*28+MOD(115,Setup!$B$16)+1),"")</f>
        <v/>
      </c>
      <c r="H120" s="33" t="str">
        <f>IF(A120="","",IF(INDEX(Scores!$I$4:$I$227,(INT(115/Setup!$B$16)+1-1)*28+MOD(115,Setup!$B$16)+1)=1,"Complete","Waiting"))</f>
        <v/>
      </c>
      <c r="I120" s="33" t="str">
        <f t="shared" si="1"/>
        <v/>
      </c>
    </row>
    <row r="121" spans="1:9">
      <c r="A121" s="33" t="str">
        <f>IF(INT(116/Setup!$B$16)+1&lt;=Setup!$B$6,INDEX(Scores!$A$4:$A$227,(INT(116/Setup!$B$16)+1-1)*28+MOD(116,Setup!$B$16)+1),"")</f>
        <v/>
      </c>
      <c r="B121" s="33" t="str">
        <f>IF(INT(116/Setup!$B$16)+1&lt;=Setup!$B$6,INDEX(Setup!$B$22:$B$29,INT(116/Setup!$B$16)+1),"")</f>
        <v/>
      </c>
      <c r="C121" s="45" t="str">
        <f>IF(INT(116/Setup!$B$16)+1&lt;=Setup!$B$6,INDEX(Scores!$D$4:$D$227,(INT(116/Setup!$B$16)+1-1)*28+MOD(116,Setup!$B$16)+1),"")</f>
        <v/>
      </c>
      <c r="D121" s="106" t="str">
        <f>IF(INT(116/Setup!$B$16)+1&lt;=Setup!$B$6,INDEX(Scores!$E$4:$E$227,(INT(116/Setup!$B$16)+1-1)*28+MOD(116,Setup!$B$16)+1),"")</f>
        <v/>
      </c>
      <c r="E121" s="107"/>
      <c r="F121" s="107"/>
      <c r="G121" s="108" t="str">
        <f>IF(INT(116/Setup!$B$16)+1&lt;=Setup!$B$6,INDEX(Scores!$G$4:$G$227,(INT(116/Setup!$B$16)+1-1)*28+MOD(116,Setup!$B$16)+1),"")</f>
        <v/>
      </c>
      <c r="H121" s="33" t="str">
        <f>IF(A121="","",IF(INDEX(Scores!$I$4:$I$227,(INT(116/Setup!$B$16)+1-1)*28+MOD(116,Setup!$B$16)+1)=1,"Complete","Waiting"))</f>
        <v/>
      </c>
      <c r="I121" s="33" t="str">
        <f t="shared" si="1"/>
        <v/>
      </c>
    </row>
    <row r="122" spans="1:9">
      <c r="A122" s="33" t="str">
        <f>IF(INT(117/Setup!$B$16)+1&lt;=Setup!$B$6,INDEX(Scores!$A$4:$A$227,(INT(117/Setup!$B$16)+1-1)*28+MOD(117,Setup!$B$16)+1),"")</f>
        <v/>
      </c>
      <c r="B122" s="33" t="str">
        <f>IF(INT(117/Setup!$B$16)+1&lt;=Setup!$B$6,INDEX(Setup!$B$22:$B$29,INT(117/Setup!$B$16)+1),"")</f>
        <v/>
      </c>
      <c r="C122" s="45" t="str">
        <f>IF(INT(117/Setup!$B$16)+1&lt;=Setup!$B$6,INDEX(Scores!$D$4:$D$227,(INT(117/Setup!$B$16)+1-1)*28+MOD(117,Setup!$B$16)+1),"")</f>
        <v/>
      </c>
      <c r="D122" s="106" t="str">
        <f>IF(INT(117/Setup!$B$16)+1&lt;=Setup!$B$6,INDEX(Scores!$E$4:$E$227,(INT(117/Setup!$B$16)+1-1)*28+MOD(117,Setup!$B$16)+1),"")</f>
        <v/>
      </c>
      <c r="E122" s="107"/>
      <c r="F122" s="107"/>
      <c r="G122" s="108" t="str">
        <f>IF(INT(117/Setup!$B$16)+1&lt;=Setup!$B$6,INDEX(Scores!$G$4:$G$227,(INT(117/Setup!$B$16)+1-1)*28+MOD(117,Setup!$B$16)+1),"")</f>
        <v/>
      </c>
      <c r="H122" s="33" t="str">
        <f>IF(A122="","",IF(INDEX(Scores!$I$4:$I$227,(INT(117/Setup!$B$16)+1-1)*28+MOD(117,Setup!$B$16)+1)=1,"Complete","Waiting"))</f>
        <v/>
      </c>
      <c r="I122" s="33" t="str">
        <f t="shared" si="1"/>
        <v/>
      </c>
    </row>
    <row r="123" spans="1:9">
      <c r="A123" s="33" t="str">
        <f>IF(INT(118/Setup!$B$16)+1&lt;=Setup!$B$6,INDEX(Scores!$A$4:$A$227,(INT(118/Setup!$B$16)+1-1)*28+MOD(118,Setup!$B$16)+1),"")</f>
        <v/>
      </c>
      <c r="B123" s="33" t="str">
        <f>IF(INT(118/Setup!$B$16)+1&lt;=Setup!$B$6,INDEX(Setup!$B$22:$B$29,INT(118/Setup!$B$16)+1),"")</f>
        <v/>
      </c>
      <c r="C123" s="45" t="str">
        <f>IF(INT(118/Setup!$B$16)+1&lt;=Setup!$B$6,INDEX(Scores!$D$4:$D$227,(INT(118/Setup!$B$16)+1-1)*28+MOD(118,Setup!$B$16)+1),"")</f>
        <v/>
      </c>
      <c r="D123" s="106" t="str">
        <f>IF(INT(118/Setup!$B$16)+1&lt;=Setup!$B$6,INDEX(Scores!$E$4:$E$227,(INT(118/Setup!$B$16)+1-1)*28+MOD(118,Setup!$B$16)+1),"")</f>
        <v/>
      </c>
      <c r="E123" s="107"/>
      <c r="F123" s="107"/>
      <c r="G123" s="108" t="str">
        <f>IF(INT(118/Setup!$B$16)+1&lt;=Setup!$B$6,INDEX(Scores!$G$4:$G$227,(INT(118/Setup!$B$16)+1-1)*28+MOD(118,Setup!$B$16)+1),"")</f>
        <v/>
      </c>
      <c r="H123" s="33" t="str">
        <f>IF(A123="","",IF(INDEX(Scores!$I$4:$I$227,(INT(118/Setup!$B$16)+1-1)*28+MOD(118,Setup!$B$16)+1)=1,"Complete","Waiting"))</f>
        <v/>
      </c>
      <c r="I123" s="33" t="str">
        <f t="shared" si="1"/>
        <v/>
      </c>
    </row>
    <row r="124" spans="1:9">
      <c r="A124" s="33" t="str">
        <f>IF(INT(119/Setup!$B$16)+1&lt;=Setup!$B$6,INDEX(Scores!$A$4:$A$227,(INT(119/Setup!$B$16)+1-1)*28+MOD(119,Setup!$B$16)+1),"")</f>
        <v/>
      </c>
      <c r="B124" s="33" t="str">
        <f>IF(INT(119/Setup!$B$16)+1&lt;=Setup!$B$6,INDEX(Setup!$B$22:$B$29,INT(119/Setup!$B$16)+1),"")</f>
        <v/>
      </c>
      <c r="C124" s="45" t="str">
        <f>IF(INT(119/Setup!$B$16)+1&lt;=Setup!$B$6,INDEX(Scores!$D$4:$D$227,(INT(119/Setup!$B$16)+1-1)*28+MOD(119,Setup!$B$16)+1),"")</f>
        <v/>
      </c>
      <c r="D124" s="106" t="str">
        <f>IF(INT(119/Setup!$B$16)+1&lt;=Setup!$B$6,INDEX(Scores!$E$4:$E$227,(INT(119/Setup!$B$16)+1-1)*28+MOD(119,Setup!$B$16)+1),"")</f>
        <v/>
      </c>
      <c r="E124" s="107"/>
      <c r="F124" s="107"/>
      <c r="G124" s="108" t="str">
        <f>IF(INT(119/Setup!$B$16)+1&lt;=Setup!$B$6,INDEX(Scores!$G$4:$G$227,(INT(119/Setup!$B$16)+1-1)*28+MOD(119,Setup!$B$16)+1),"")</f>
        <v/>
      </c>
      <c r="H124" s="33" t="str">
        <f>IF(A124="","",IF(INDEX(Scores!$I$4:$I$227,(INT(119/Setup!$B$16)+1-1)*28+MOD(119,Setup!$B$16)+1)=1,"Complete","Waiting"))</f>
        <v/>
      </c>
      <c r="I124" s="33" t="str">
        <f t="shared" si="1"/>
        <v/>
      </c>
    </row>
    <row r="125" spans="1:9">
      <c r="A125" s="33" t="str">
        <f>IF(INT(120/Setup!$B$16)+1&lt;=Setup!$B$6,INDEX(Scores!$A$4:$A$227,(INT(120/Setup!$B$16)+1-1)*28+MOD(120,Setup!$B$16)+1),"")</f>
        <v/>
      </c>
      <c r="B125" s="33" t="str">
        <f>IF(INT(120/Setup!$B$16)+1&lt;=Setup!$B$6,INDEX(Setup!$B$22:$B$29,INT(120/Setup!$B$16)+1),"")</f>
        <v/>
      </c>
      <c r="C125" s="45" t="str">
        <f>IF(INT(120/Setup!$B$16)+1&lt;=Setup!$B$6,INDEX(Scores!$D$4:$D$227,(INT(120/Setup!$B$16)+1-1)*28+MOD(120,Setup!$B$16)+1),"")</f>
        <v/>
      </c>
      <c r="D125" s="106" t="str">
        <f>IF(INT(120/Setup!$B$16)+1&lt;=Setup!$B$6,INDEX(Scores!$E$4:$E$227,(INT(120/Setup!$B$16)+1-1)*28+MOD(120,Setup!$B$16)+1),"")</f>
        <v/>
      </c>
      <c r="E125" s="107"/>
      <c r="F125" s="107"/>
      <c r="G125" s="108" t="str">
        <f>IF(INT(120/Setup!$B$16)+1&lt;=Setup!$B$6,INDEX(Scores!$G$4:$G$227,(INT(120/Setup!$B$16)+1-1)*28+MOD(120,Setup!$B$16)+1),"")</f>
        <v/>
      </c>
      <c r="H125" s="33" t="str">
        <f>IF(A125="","",IF(INDEX(Scores!$I$4:$I$227,(INT(120/Setup!$B$16)+1-1)*28+MOD(120,Setup!$B$16)+1)=1,"Complete","Waiting"))</f>
        <v/>
      </c>
      <c r="I125" s="33" t="str">
        <f t="shared" si="1"/>
        <v/>
      </c>
    </row>
    <row r="126" spans="1:9">
      <c r="A126" s="33" t="str">
        <f>IF(INT(121/Setup!$B$16)+1&lt;=Setup!$B$6,INDEX(Scores!$A$4:$A$227,(INT(121/Setup!$B$16)+1-1)*28+MOD(121,Setup!$B$16)+1),"")</f>
        <v/>
      </c>
      <c r="B126" s="33" t="str">
        <f>IF(INT(121/Setup!$B$16)+1&lt;=Setup!$B$6,INDEX(Setup!$B$22:$B$29,INT(121/Setup!$B$16)+1),"")</f>
        <v/>
      </c>
      <c r="C126" s="45" t="str">
        <f>IF(INT(121/Setup!$B$16)+1&lt;=Setup!$B$6,INDEX(Scores!$D$4:$D$227,(INT(121/Setup!$B$16)+1-1)*28+MOD(121,Setup!$B$16)+1),"")</f>
        <v/>
      </c>
      <c r="D126" s="106" t="str">
        <f>IF(INT(121/Setup!$B$16)+1&lt;=Setup!$B$6,INDEX(Scores!$E$4:$E$227,(INT(121/Setup!$B$16)+1-1)*28+MOD(121,Setup!$B$16)+1),"")</f>
        <v/>
      </c>
      <c r="E126" s="107"/>
      <c r="F126" s="107"/>
      <c r="G126" s="108" t="str">
        <f>IF(INT(121/Setup!$B$16)+1&lt;=Setup!$B$6,INDEX(Scores!$G$4:$G$227,(INT(121/Setup!$B$16)+1-1)*28+MOD(121,Setup!$B$16)+1),"")</f>
        <v/>
      </c>
      <c r="H126" s="33" t="str">
        <f>IF(A126="","",IF(INDEX(Scores!$I$4:$I$227,(INT(121/Setup!$B$16)+1-1)*28+MOD(121,Setup!$B$16)+1)=1,"Complete","Waiting"))</f>
        <v/>
      </c>
      <c r="I126" s="33" t="str">
        <f t="shared" si="1"/>
        <v/>
      </c>
    </row>
    <row r="127" spans="1:9">
      <c r="A127" s="33" t="str">
        <f>IF(INT(122/Setup!$B$16)+1&lt;=Setup!$B$6,INDEX(Scores!$A$4:$A$227,(INT(122/Setup!$B$16)+1-1)*28+MOD(122,Setup!$B$16)+1),"")</f>
        <v/>
      </c>
      <c r="B127" s="33" t="str">
        <f>IF(INT(122/Setup!$B$16)+1&lt;=Setup!$B$6,INDEX(Setup!$B$22:$B$29,INT(122/Setup!$B$16)+1),"")</f>
        <v/>
      </c>
      <c r="C127" s="45" t="str">
        <f>IF(INT(122/Setup!$B$16)+1&lt;=Setup!$B$6,INDEX(Scores!$D$4:$D$227,(INT(122/Setup!$B$16)+1-1)*28+MOD(122,Setup!$B$16)+1),"")</f>
        <v/>
      </c>
      <c r="D127" s="106" t="str">
        <f>IF(INT(122/Setup!$B$16)+1&lt;=Setup!$B$6,INDEX(Scores!$E$4:$E$227,(INT(122/Setup!$B$16)+1-1)*28+MOD(122,Setup!$B$16)+1),"")</f>
        <v/>
      </c>
      <c r="E127" s="107"/>
      <c r="F127" s="107"/>
      <c r="G127" s="108" t="str">
        <f>IF(INT(122/Setup!$B$16)+1&lt;=Setup!$B$6,INDEX(Scores!$G$4:$G$227,(INT(122/Setup!$B$16)+1-1)*28+MOD(122,Setup!$B$16)+1),"")</f>
        <v/>
      </c>
      <c r="H127" s="33" t="str">
        <f>IF(A127="","",IF(INDEX(Scores!$I$4:$I$227,(INT(122/Setup!$B$16)+1-1)*28+MOD(122,Setup!$B$16)+1)=1,"Complete","Waiting"))</f>
        <v/>
      </c>
      <c r="I127" s="33" t="str">
        <f t="shared" si="1"/>
        <v/>
      </c>
    </row>
    <row r="128" spans="1:9">
      <c r="A128" s="33" t="str">
        <f>IF(INT(123/Setup!$B$16)+1&lt;=Setup!$B$6,INDEX(Scores!$A$4:$A$227,(INT(123/Setup!$B$16)+1-1)*28+MOD(123,Setup!$B$16)+1),"")</f>
        <v/>
      </c>
      <c r="B128" s="33" t="str">
        <f>IF(INT(123/Setup!$B$16)+1&lt;=Setup!$B$6,INDEX(Setup!$B$22:$B$29,INT(123/Setup!$B$16)+1),"")</f>
        <v/>
      </c>
      <c r="C128" s="45" t="str">
        <f>IF(INT(123/Setup!$B$16)+1&lt;=Setup!$B$6,INDEX(Scores!$D$4:$D$227,(INT(123/Setup!$B$16)+1-1)*28+MOD(123,Setup!$B$16)+1),"")</f>
        <v/>
      </c>
      <c r="D128" s="106" t="str">
        <f>IF(INT(123/Setup!$B$16)+1&lt;=Setup!$B$6,INDEX(Scores!$E$4:$E$227,(INT(123/Setup!$B$16)+1-1)*28+MOD(123,Setup!$B$16)+1),"")</f>
        <v/>
      </c>
      <c r="E128" s="107"/>
      <c r="F128" s="107"/>
      <c r="G128" s="108" t="str">
        <f>IF(INT(123/Setup!$B$16)+1&lt;=Setup!$B$6,INDEX(Scores!$G$4:$G$227,(INT(123/Setup!$B$16)+1-1)*28+MOD(123,Setup!$B$16)+1),"")</f>
        <v/>
      </c>
      <c r="H128" s="33" t="str">
        <f>IF(A128="","",IF(INDEX(Scores!$I$4:$I$227,(INT(123/Setup!$B$16)+1-1)*28+MOD(123,Setup!$B$16)+1)=1,"Complete","Waiting"))</f>
        <v/>
      </c>
      <c r="I128" s="33" t="str">
        <f t="shared" si="1"/>
        <v/>
      </c>
    </row>
    <row r="129" spans="1:9">
      <c r="A129" s="33" t="str">
        <f>IF(INT(124/Setup!$B$16)+1&lt;=Setup!$B$6,INDEX(Scores!$A$4:$A$227,(INT(124/Setup!$B$16)+1-1)*28+MOD(124,Setup!$B$16)+1),"")</f>
        <v/>
      </c>
      <c r="B129" s="33" t="str">
        <f>IF(INT(124/Setup!$B$16)+1&lt;=Setup!$B$6,INDEX(Setup!$B$22:$B$29,INT(124/Setup!$B$16)+1),"")</f>
        <v/>
      </c>
      <c r="C129" s="45" t="str">
        <f>IF(INT(124/Setup!$B$16)+1&lt;=Setup!$B$6,INDEX(Scores!$D$4:$D$227,(INT(124/Setup!$B$16)+1-1)*28+MOD(124,Setup!$B$16)+1),"")</f>
        <v/>
      </c>
      <c r="D129" s="106" t="str">
        <f>IF(INT(124/Setup!$B$16)+1&lt;=Setup!$B$6,INDEX(Scores!$E$4:$E$227,(INT(124/Setup!$B$16)+1-1)*28+MOD(124,Setup!$B$16)+1),"")</f>
        <v/>
      </c>
      <c r="E129" s="107"/>
      <c r="F129" s="107"/>
      <c r="G129" s="108" t="str">
        <f>IF(INT(124/Setup!$B$16)+1&lt;=Setup!$B$6,INDEX(Scores!$G$4:$G$227,(INT(124/Setup!$B$16)+1-1)*28+MOD(124,Setup!$B$16)+1),"")</f>
        <v/>
      </c>
      <c r="H129" s="33" t="str">
        <f>IF(A129="","",IF(INDEX(Scores!$I$4:$I$227,(INT(124/Setup!$B$16)+1-1)*28+MOD(124,Setup!$B$16)+1)=1,"Complete","Waiting"))</f>
        <v/>
      </c>
      <c r="I129" s="33" t="str">
        <f t="shared" si="1"/>
        <v/>
      </c>
    </row>
    <row r="130" spans="1:9">
      <c r="A130" s="33" t="str">
        <f>IF(INT(125/Setup!$B$16)+1&lt;=Setup!$B$6,INDEX(Scores!$A$4:$A$227,(INT(125/Setup!$B$16)+1-1)*28+MOD(125,Setup!$B$16)+1),"")</f>
        <v/>
      </c>
      <c r="B130" s="33" t="str">
        <f>IF(INT(125/Setup!$B$16)+1&lt;=Setup!$B$6,INDEX(Setup!$B$22:$B$29,INT(125/Setup!$B$16)+1),"")</f>
        <v/>
      </c>
      <c r="C130" s="45" t="str">
        <f>IF(INT(125/Setup!$B$16)+1&lt;=Setup!$B$6,INDEX(Scores!$D$4:$D$227,(INT(125/Setup!$B$16)+1-1)*28+MOD(125,Setup!$B$16)+1),"")</f>
        <v/>
      </c>
      <c r="D130" s="106" t="str">
        <f>IF(INT(125/Setup!$B$16)+1&lt;=Setup!$B$6,INDEX(Scores!$E$4:$E$227,(INT(125/Setup!$B$16)+1-1)*28+MOD(125,Setup!$B$16)+1),"")</f>
        <v/>
      </c>
      <c r="E130" s="107"/>
      <c r="F130" s="107"/>
      <c r="G130" s="108" t="str">
        <f>IF(INT(125/Setup!$B$16)+1&lt;=Setup!$B$6,INDEX(Scores!$G$4:$G$227,(INT(125/Setup!$B$16)+1-1)*28+MOD(125,Setup!$B$16)+1),"")</f>
        <v/>
      </c>
      <c r="H130" s="33" t="str">
        <f>IF(A130="","",IF(INDEX(Scores!$I$4:$I$227,(INT(125/Setup!$B$16)+1-1)*28+MOD(125,Setup!$B$16)+1)=1,"Complete","Waiting"))</f>
        <v/>
      </c>
      <c r="I130" s="33" t="str">
        <f t="shared" si="1"/>
        <v/>
      </c>
    </row>
    <row r="131" spans="1:9">
      <c r="A131" s="33" t="str">
        <f>IF(INT(126/Setup!$B$16)+1&lt;=Setup!$B$6,INDEX(Scores!$A$4:$A$227,(INT(126/Setup!$B$16)+1-1)*28+MOD(126,Setup!$B$16)+1),"")</f>
        <v/>
      </c>
      <c r="B131" s="33" t="str">
        <f>IF(INT(126/Setup!$B$16)+1&lt;=Setup!$B$6,INDEX(Setup!$B$22:$B$29,INT(126/Setup!$B$16)+1),"")</f>
        <v/>
      </c>
      <c r="C131" s="45" t="str">
        <f>IF(INT(126/Setup!$B$16)+1&lt;=Setup!$B$6,INDEX(Scores!$D$4:$D$227,(INT(126/Setup!$B$16)+1-1)*28+MOD(126,Setup!$B$16)+1),"")</f>
        <v/>
      </c>
      <c r="D131" s="106" t="str">
        <f>IF(INT(126/Setup!$B$16)+1&lt;=Setup!$B$6,INDEX(Scores!$E$4:$E$227,(INT(126/Setup!$B$16)+1-1)*28+MOD(126,Setup!$B$16)+1),"")</f>
        <v/>
      </c>
      <c r="E131" s="107"/>
      <c r="F131" s="107"/>
      <c r="G131" s="108" t="str">
        <f>IF(INT(126/Setup!$B$16)+1&lt;=Setup!$B$6,INDEX(Scores!$G$4:$G$227,(INT(126/Setup!$B$16)+1-1)*28+MOD(126,Setup!$B$16)+1),"")</f>
        <v/>
      </c>
      <c r="H131" s="33" t="str">
        <f>IF(A131="","",IF(INDEX(Scores!$I$4:$I$227,(INT(126/Setup!$B$16)+1-1)*28+MOD(126,Setup!$B$16)+1)=1,"Complete","Waiting"))</f>
        <v/>
      </c>
      <c r="I131" s="33" t="str">
        <f t="shared" si="1"/>
        <v/>
      </c>
    </row>
    <row r="132" spans="1:9">
      <c r="A132" s="33" t="str">
        <f>IF(INT(127/Setup!$B$16)+1&lt;=Setup!$B$6,INDEX(Scores!$A$4:$A$227,(INT(127/Setup!$B$16)+1-1)*28+MOD(127,Setup!$B$16)+1),"")</f>
        <v/>
      </c>
      <c r="B132" s="33" t="str">
        <f>IF(INT(127/Setup!$B$16)+1&lt;=Setup!$B$6,INDEX(Setup!$B$22:$B$29,INT(127/Setup!$B$16)+1),"")</f>
        <v/>
      </c>
      <c r="C132" s="45" t="str">
        <f>IF(INT(127/Setup!$B$16)+1&lt;=Setup!$B$6,INDEX(Scores!$D$4:$D$227,(INT(127/Setup!$B$16)+1-1)*28+MOD(127,Setup!$B$16)+1),"")</f>
        <v/>
      </c>
      <c r="D132" s="106" t="str">
        <f>IF(INT(127/Setup!$B$16)+1&lt;=Setup!$B$6,INDEX(Scores!$E$4:$E$227,(INT(127/Setup!$B$16)+1-1)*28+MOD(127,Setup!$B$16)+1),"")</f>
        <v/>
      </c>
      <c r="E132" s="107"/>
      <c r="F132" s="107"/>
      <c r="G132" s="108" t="str">
        <f>IF(INT(127/Setup!$B$16)+1&lt;=Setup!$B$6,INDEX(Scores!$G$4:$G$227,(INT(127/Setup!$B$16)+1-1)*28+MOD(127,Setup!$B$16)+1),"")</f>
        <v/>
      </c>
      <c r="H132" s="33" t="str">
        <f>IF(A132="","",IF(INDEX(Scores!$I$4:$I$227,(INT(127/Setup!$B$16)+1-1)*28+MOD(127,Setup!$B$16)+1)=1,"Complete","Waiting"))</f>
        <v/>
      </c>
      <c r="I132" s="33" t="str">
        <f t="shared" si="1"/>
        <v/>
      </c>
    </row>
    <row r="133" spans="1:9">
      <c r="A133" s="33" t="str">
        <f>IF(INT(128/Setup!$B$16)+1&lt;=Setup!$B$6,INDEX(Scores!$A$4:$A$227,(INT(128/Setup!$B$16)+1-1)*28+MOD(128,Setup!$B$16)+1),"")</f>
        <v/>
      </c>
      <c r="B133" s="33" t="str">
        <f>IF(INT(128/Setup!$B$16)+1&lt;=Setup!$B$6,INDEX(Setup!$B$22:$B$29,INT(128/Setup!$B$16)+1),"")</f>
        <v/>
      </c>
      <c r="C133" s="45" t="str">
        <f>IF(INT(128/Setup!$B$16)+1&lt;=Setup!$B$6,INDEX(Scores!$D$4:$D$227,(INT(128/Setup!$B$16)+1-1)*28+MOD(128,Setup!$B$16)+1),"")</f>
        <v/>
      </c>
      <c r="D133" s="106" t="str">
        <f>IF(INT(128/Setup!$B$16)+1&lt;=Setup!$B$6,INDEX(Scores!$E$4:$E$227,(INT(128/Setup!$B$16)+1-1)*28+MOD(128,Setup!$B$16)+1),"")</f>
        <v/>
      </c>
      <c r="E133" s="107"/>
      <c r="F133" s="107"/>
      <c r="G133" s="108" t="str">
        <f>IF(INT(128/Setup!$B$16)+1&lt;=Setup!$B$6,INDEX(Scores!$G$4:$G$227,(INT(128/Setup!$B$16)+1-1)*28+MOD(128,Setup!$B$16)+1),"")</f>
        <v/>
      </c>
      <c r="H133" s="33" t="str">
        <f>IF(A133="","",IF(INDEX(Scores!$I$4:$I$227,(INT(128/Setup!$B$16)+1-1)*28+MOD(128,Setup!$B$16)+1)=1,"Complete","Waiting"))</f>
        <v/>
      </c>
      <c r="I133" s="33" t="str">
        <f t="shared" ref="I133:I196" si="2">IF(H133&lt;&gt;"Complete","",IF(E133&gt;F133,D133,IF(F133&gt;E133,G133,"Draw")))</f>
        <v/>
      </c>
    </row>
    <row r="134" spans="1:9">
      <c r="A134" s="33" t="str">
        <f>IF(INT(129/Setup!$B$16)+1&lt;=Setup!$B$6,INDEX(Scores!$A$4:$A$227,(INT(129/Setup!$B$16)+1-1)*28+MOD(129,Setup!$B$16)+1),"")</f>
        <v/>
      </c>
      <c r="B134" s="33" t="str">
        <f>IF(INT(129/Setup!$B$16)+1&lt;=Setup!$B$6,INDEX(Setup!$B$22:$B$29,INT(129/Setup!$B$16)+1),"")</f>
        <v/>
      </c>
      <c r="C134" s="45" t="str">
        <f>IF(INT(129/Setup!$B$16)+1&lt;=Setup!$B$6,INDEX(Scores!$D$4:$D$227,(INT(129/Setup!$B$16)+1-1)*28+MOD(129,Setup!$B$16)+1),"")</f>
        <v/>
      </c>
      <c r="D134" s="106" t="str">
        <f>IF(INT(129/Setup!$B$16)+1&lt;=Setup!$B$6,INDEX(Scores!$E$4:$E$227,(INT(129/Setup!$B$16)+1-1)*28+MOD(129,Setup!$B$16)+1),"")</f>
        <v/>
      </c>
      <c r="E134" s="107"/>
      <c r="F134" s="107"/>
      <c r="G134" s="108" t="str">
        <f>IF(INT(129/Setup!$B$16)+1&lt;=Setup!$B$6,INDEX(Scores!$G$4:$G$227,(INT(129/Setup!$B$16)+1-1)*28+MOD(129,Setup!$B$16)+1),"")</f>
        <v/>
      </c>
      <c r="H134" s="33" t="str">
        <f>IF(A134="","",IF(INDEX(Scores!$I$4:$I$227,(INT(129/Setup!$B$16)+1-1)*28+MOD(129,Setup!$B$16)+1)=1,"Complete","Waiting"))</f>
        <v/>
      </c>
      <c r="I134" s="33" t="str">
        <f t="shared" si="2"/>
        <v/>
      </c>
    </row>
    <row r="135" spans="1:9">
      <c r="A135" s="33" t="str">
        <f>IF(INT(130/Setup!$B$16)+1&lt;=Setup!$B$6,INDEX(Scores!$A$4:$A$227,(INT(130/Setup!$B$16)+1-1)*28+MOD(130,Setup!$B$16)+1),"")</f>
        <v/>
      </c>
      <c r="B135" s="33" t="str">
        <f>IF(INT(130/Setup!$B$16)+1&lt;=Setup!$B$6,INDEX(Setup!$B$22:$B$29,INT(130/Setup!$B$16)+1),"")</f>
        <v/>
      </c>
      <c r="C135" s="45" t="str">
        <f>IF(INT(130/Setup!$B$16)+1&lt;=Setup!$B$6,INDEX(Scores!$D$4:$D$227,(INT(130/Setup!$B$16)+1-1)*28+MOD(130,Setup!$B$16)+1),"")</f>
        <v/>
      </c>
      <c r="D135" s="106" t="str">
        <f>IF(INT(130/Setup!$B$16)+1&lt;=Setup!$B$6,INDEX(Scores!$E$4:$E$227,(INT(130/Setup!$B$16)+1-1)*28+MOD(130,Setup!$B$16)+1),"")</f>
        <v/>
      </c>
      <c r="E135" s="107"/>
      <c r="F135" s="107"/>
      <c r="G135" s="108" t="str">
        <f>IF(INT(130/Setup!$B$16)+1&lt;=Setup!$B$6,INDEX(Scores!$G$4:$G$227,(INT(130/Setup!$B$16)+1-1)*28+MOD(130,Setup!$B$16)+1),"")</f>
        <v/>
      </c>
      <c r="H135" s="33" t="str">
        <f>IF(A135="","",IF(INDEX(Scores!$I$4:$I$227,(INT(130/Setup!$B$16)+1-1)*28+MOD(130,Setup!$B$16)+1)=1,"Complete","Waiting"))</f>
        <v/>
      </c>
      <c r="I135" s="33" t="str">
        <f t="shared" si="2"/>
        <v/>
      </c>
    </row>
    <row r="136" spans="1:9">
      <c r="A136" s="33" t="str">
        <f>IF(INT(131/Setup!$B$16)+1&lt;=Setup!$B$6,INDEX(Scores!$A$4:$A$227,(INT(131/Setup!$B$16)+1-1)*28+MOD(131,Setup!$B$16)+1),"")</f>
        <v/>
      </c>
      <c r="B136" s="33" t="str">
        <f>IF(INT(131/Setup!$B$16)+1&lt;=Setup!$B$6,INDEX(Setup!$B$22:$B$29,INT(131/Setup!$B$16)+1),"")</f>
        <v/>
      </c>
      <c r="C136" s="45" t="str">
        <f>IF(INT(131/Setup!$B$16)+1&lt;=Setup!$B$6,INDEX(Scores!$D$4:$D$227,(INT(131/Setup!$B$16)+1-1)*28+MOD(131,Setup!$B$16)+1),"")</f>
        <v/>
      </c>
      <c r="D136" s="106" t="str">
        <f>IF(INT(131/Setup!$B$16)+1&lt;=Setup!$B$6,INDEX(Scores!$E$4:$E$227,(INT(131/Setup!$B$16)+1-1)*28+MOD(131,Setup!$B$16)+1),"")</f>
        <v/>
      </c>
      <c r="E136" s="107"/>
      <c r="F136" s="107"/>
      <c r="G136" s="108" t="str">
        <f>IF(INT(131/Setup!$B$16)+1&lt;=Setup!$B$6,INDEX(Scores!$G$4:$G$227,(INT(131/Setup!$B$16)+1-1)*28+MOD(131,Setup!$B$16)+1),"")</f>
        <v/>
      </c>
      <c r="H136" s="33" t="str">
        <f>IF(A136="","",IF(INDEX(Scores!$I$4:$I$227,(INT(131/Setup!$B$16)+1-1)*28+MOD(131,Setup!$B$16)+1)=1,"Complete","Waiting"))</f>
        <v/>
      </c>
      <c r="I136" s="33" t="str">
        <f t="shared" si="2"/>
        <v/>
      </c>
    </row>
    <row r="137" spans="1:9">
      <c r="A137" s="33" t="str">
        <f>IF(INT(132/Setup!$B$16)+1&lt;=Setup!$B$6,INDEX(Scores!$A$4:$A$227,(INT(132/Setup!$B$16)+1-1)*28+MOD(132,Setup!$B$16)+1),"")</f>
        <v/>
      </c>
      <c r="B137" s="33" t="str">
        <f>IF(INT(132/Setup!$B$16)+1&lt;=Setup!$B$6,INDEX(Setup!$B$22:$B$29,INT(132/Setup!$B$16)+1),"")</f>
        <v/>
      </c>
      <c r="C137" s="45" t="str">
        <f>IF(INT(132/Setup!$B$16)+1&lt;=Setup!$B$6,INDEX(Scores!$D$4:$D$227,(INT(132/Setup!$B$16)+1-1)*28+MOD(132,Setup!$B$16)+1),"")</f>
        <v/>
      </c>
      <c r="D137" s="106" t="str">
        <f>IF(INT(132/Setup!$B$16)+1&lt;=Setup!$B$6,INDEX(Scores!$E$4:$E$227,(INT(132/Setup!$B$16)+1-1)*28+MOD(132,Setup!$B$16)+1),"")</f>
        <v/>
      </c>
      <c r="E137" s="107"/>
      <c r="F137" s="107"/>
      <c r="G137" s="108" t="str">
        <f>IF(INT(132/Setup!$B$16)+1&lt;=Setup!$B$6,INDEX(Scores!$G$4:$G$227,(INT(132/Setup!$B$16)+1-1)*28+MOD(132,Setup!$B$16)+1),"")</f>
        <v/>
      </c>
      <c r="H137" s="33" t="str">
        <f>IF(A137="","",IF(INDEX(Scores!$I$4:$I$227,(INT(132/Setup!$B$16)+1-1)*28+MOD(132,Setup!$B$16)+1)=1,"Complete","Waiting"))</f>
        <v/>
      </c>
      <c r="I137" s="33" t="str">
        <f t="shared" si="2"/>
        <v/>
      </c>
    </row>
    <row r="138" spans="1:9">
      <c r="A138" s="33" t="str">
        <f>IF(INT(133/Setup!$B$16)+1&lt;=Setup!$B$6,INDEX(Scores!$A$4:$A$227,(INT(133/Setup!$B$16)+1-1)*28+MOD(133,Setup!$B$16)+1),"")</f>
        <v/>
      </c>
      <c r="B138" s="33" t="str">
        <f>IF(INT(133/Setup!$B$16)+1&lt;=Setup!$B$6,INDEX(Setup!$B$22:$B$29,INT(133/Setup!$B$16)+1),"")</f>
        <v/>
      </c>
      <c r="C138" s="45" t="str">
        <f>IF(INT(133/Setup!$B$16)+1&lt;=Setup!$B$6,INDEX(Scores!$D$4:$D$227,(INT(133/Setup!$B$16)+1-1)*28+MOD(133,Setup!$B$16)+1),"")</f>
        <v/>
      </c>
      <c r="D138" s="106" t="str">
        <f>IF(INT(133/Setup!$B$16)+1&lt;=Setup!$B$6,INDEX(Scores!$E$4:$E$227,(INT(133/Setup!$B$16)+1-1)*28+MOD(133,Setup!$B$16)+1),"")</f>
        <v/>
      </c>
      <c r="E138" s="107"/>
      <c r="F138" s="107"/>
      <c r="G138" s="108" t="str">
        <f>IF(INT(133/Setup!$B$16)+1&lt;=Setup!$B$6,INDEX(Scores!$G$4:$G$227,(INT(133/Setup!$B$16)+1-1)*28+MOD(133,Setup!$B$16)+1),"")</f>
        <v/>
      </c>
      <c r="H138" s="33" t="str">
        <f>IF(A138="","",IF(INDEX(Scores!$I$4:$I$227,(INT(133/Setup!$B$16)+1-1)*28+MOD(133,Setup!$B$16)+1)=1,"Complete","Waiting"))</f>
        <v/>
      </c>
      <c r="I138" s="33" t="str">
        <f t="shared" si="2"/>
        <v/>
      </c>
    </row>
    <row r="139" spans="1:9">
      <c r="A139" s="33" t="str">
        <f>IF(INT(134/Setup!$B$16)+1&lt;=Setup!$B$6,INDEX(Scores!$A$4:$A$227,(INT(134/Setup!$B$16)+1-1)*28+MOD(134,Setup!$B$16)+1),"")</f>
        <v/>
      </c>
      <c r="B139" s="33" t="str">
        <f>IF(INT(134/Setup!$B$16)+1&lt;=Setup!$B$6,INDEX(Setup!$B$22:$B$29,INT(134/Setup!$B$16)+1),"")</f>
        <v/>
      </c>
      <c r="C139" s="45" t="str">
        <f>IF(INT(134/Setup!$B$16)+1&lt;=Setup!$B$6,INDEX(Scores!$D$4:$D$227,(INT(134/Setup!$B$16)+1-1)*28+MOD(134,Setup!$B$16)+1),"")</f>
        <v/>
      </c>
      <c r="D139" s="106" t="str">
        <f>IF(INT(134/Setup!$B$16)+1&lt;=Setup!$B$6,INDEX(Scores!$E$4:$E$227,(INT(134/Setup!$B$16)+1-1)*28+MOD(134,Setup!$B$16)+1),"")</f>
        <v/>
      </c>
      <c r="E139" s="107"/>
      <c r="F139" s="107"/>
      <c r="G139" s="108" t="str">
        <f>IF(INT(134/Setup!$B$16)+1&lt;=Setup!$B$6,INDEX(Scores!$G$4:$G$227,(INT(134/Setup!$B$16)+1-1)*28+MOD(134,Setup!$B$16)+1),"")</f>
        <v/>
      </c>
      <c r="H139" s="33" t="str">
        <f>IF(A139="","",IF(INDEX(Scores!$I$4:$I$227,(INT(134/Setup!$B$16)+1-1)*28+MOD(134,Setup!$B$16)+1)=1,"Complete","Waiting"))</f>
        <v/>
      </c>
      <c r="I139" s="33" t="str">
        <f t="shared" si="2"/>
        <v/>
      </c>
    </row>
    <row r="140" spans="1:9">
      <c r="A140" s="33" t="str">
        <f>IF(INT(135/Setup!$B$16)+1&lt;=Setup!$B$6,INDEX(Scores!$A$4:$A$227,(INT(135/Setup!$B$16)+1-1)*28+MOD(135,Setup!$B$16)+1),"")</f>
        <v/>
      </c>
      <c r="B140" s="33" t="str">
        <f>IF(INT(135/Setup!$B$16)+1&lt;=Setup!$B$6,INDEX(Setup!$B$22:$B$29,INT(135/Setup!$B$16)+1),"")</f>
        <v/>
      </c>
      <c r="C140" s="45" t="str">
        <f>IF(INT(135/Setup!$B$16)+1&lt;=Setup!$B$6,INDEX(Scores!$D$4:$D$227,(INT(135/Setup!$B$16)+1-1)*28+MOD(135,Setup!$B$16)+1),"")</f>
        <v/>
      </c>
      <c r="D140" s="106" t="str">
        <f>IF(INT(135/Setup!$B$16)+1&lt;=Setup!$B$6,INDEX(Scores!$E$4:$E$227,(INT(135/Setup!$B$16)+1-1)*28+MOD(135,Setup!$B$16)+1),"")</f>
        <v/>
      </c>
      <c r="E140" s="107"/>
      <c r="F140" s="107"/>
      <c r="G140" s="108" t="str">
        <f>IF(INT(135/Setup!$B$16)+1&lt;=Setup!$B$6,INDEX(Scores!$G$4:$G$227,(INT(135/Setup!$B$16)+1-1)*28+MOD(135,Setup!$B$16)+1),"")</f>
        <v/>
      </c>
      <c r="H140" s="33" t="str">
        <f>IF(A140="","",IF(INDEX(Scores!$I$4:$I$227,(INT(135/Setup!$B$16)+1-1)*28+MOD(135,Setup!$B$16)+1)=1,"Complete","Waiting"))</f>
        <v/>
      </c>
      <c r="I140" s="33" t="str">
        <f t="shared" si="2"/>
        <v/>
      </c>
    </row>
    <row r="141" spans="1:9">
      <c r="A141" s="33" t="str">
        <f>IF(INT(136/Setup!$B$16)+1&lt;=Setup!$B$6,INDEX(Scores!$A$4:$A$227,(INT(136/Setup!$B$16)+1-1)*28+MOD(136,Setup!$B$16)+1),"")</f>
        <v/>
      </c>
      <c r="B141" s="33" t="str">
        <f>IF(INT(136/Setup!$B$16)+1&lt;=Setup!$B$6,INDEX(Setup!$B$22:$B$29,INT(136/Setup!$B$16)+1),"")</f>
        <v/>
      </c>
      <c r="C141" s="45" t="str">
        <f>IF(INT(136/Setup!$B$16)+1&lt;=Setup!$B$6,INDEX(Scores!$D$4:$D$227,(INT(136/Setup!$B$16)+1-1)*28+MOD(136,Setup!$B$16)+1),"")</f>
        <v/>
      </c>
      <c r="D141" s="106" t="str">
        <f>IF(INT(136/Setup!$B$16)+1&lt;=Setup!$B$6,INDEX(Scores!$E$4:$E$227,(INT(136/Setup!$B$16)+1-1)*28+MOD(136,Setup!$B$16)+1),"")</f>
        <v/>
      </c>
      <c r="E141" s="107"/>
      <c r="F141" s="107"/>
      <c r="G141" s="108" t="str">
        <f>IF(INT(136/Setup!$B$16)+1&lt;=Setup!$B$6,INDEX(Scores!$G$4:$G$227,(INT(136/Setup!$B$16)+1-1)*28+MOD(136,Setup!$B$16)+1),"")</f>
        <v/>
      </c>
      <c r="H141" s="33" t="str">
        <f>IF(A141="","",IF(INDEX(Scores!$I$4:$I$227,(INT(136/Setup!$B$16)+1-1)*28+MOD(136,Setup!$B$16)+1)=1,"Complete","Waiting"))</f>
        <v/>
      </c>
      <c r="I141" s="33" t="str">
        <f t="shared" si="2"/>
        <v/>
      </c>
    </row>
    <row r="142" spans="1:9">
      <c r="A142" s="33" t="str">
        <f>IF(INT(137/Setup!$B$16)+1&lt;=Setup!$B$6,INDEX(Scores!$A$4:$A$227,(INT(137/Setup!$B$16)+1-1)*28+MOD(137,Setup!$B$16)+1),"")</f>
        <v/>
      </c>
      <c r="B142" s="33" t="str">
        <f>IF(INT(137/Setup!$B$16)+1&lt;=Setup!$B$6,INDEX(Setup!$B$22:$B$29,INT(137/Setup!$B$16)+1),"")</f>
        <v/>
      </c>
      <c r="C142" s="45" t="str">
        <f>IF(INT(137/Setup!$B$16)+1&lt;=Setup!$B$6,INDEX(Scores!$D$4:$D$227,(INT(137/Setup!$B$16)+1-1)*28+MOD(137,Setup!$B$16)+1),"")</f>
        <v/>
      </c>
      <c r="D142" s="106" t="str">
        <f>IF(INT(137/Setup!$B$16)+1&lt;=Setup!$B$6,INDEX(Scores!$E$4:$E$227,(INT(137/Setup!$B$16)+1-1)*28+MOD(137,Setup!$B$16)+1),"")</f>
        <v/>
      </c>
      <c r="E142" s="107"/>
      <c r="F142" s="107"/>
      <c r="G142" s="108" t="str">
        <f>IF(INT(137/Setup!$B$16)+1&lt;=Setup!$B$6,INDEX(Scores!$G$4:$G$227,(INT(137/Setup!$B$16)+1-1)*28+MOD(137,Setup!$B$16)+1),"")</f>
        <v/>
      </c>
      <c r="H142" s="33" t="str">
        <f>IF(A142="","",IF(INDEX(Scores!$I$4:$I$227,(INT(137/Setup!$B$16)+1-1)*28+MOD(137,Setup!$B$16)+1)=1,"Complete","Waiting"))</f>
        <v/>
      </c>
      <c r="I142" s="33" t="str">
        <f t="shared" si="2"/>
        <v/>
      </c>
    </row>
    <row r="143" spans="1:9">
      <c r="A143" s="33" t="str">
        <f>IF(INT(138/Setup!$B$16)+1&lt;=Setup!$B$6,INDEX(Scores!$A$4:$A$227,(INT(138/Setup!$B$16)+1-1)*28+MOD(138,Setup!$B$16)+1),"")</f>
        <v/>
      </c>
      <c r="B143" s="33" t="str">
        <f>IF(INT(138/Setup!$B$16)+1&lt;=Setup!$B$6,INDEX(Setup!$B$22:$B$29,INT(138/Setup!$B$16)+1),"")</f>
        <v/>
      </c>
      <c r="C143" s="45" t="str">
        <f>IF(INT(138/Setup!$B$16)+1&lt;=Setup!$B$6,INDEX(Scores!$D$4:$D$227,(INT(138/Setup!$B$16)+1-1)*28+MOD(138,Setup!$B$16)+1),"")</f>
        <v/>
      </c>
      <c r="D143" s="106" t="str">
        <f>IF(INT(138/Setup!$B$16)+1&lt;=Setup!$B$6,INDEX(Scores!$E$4:$E$227,(INT(138/Setup!$B$16)+1-1)*28+MOD(138,Setup!$B$16)+1),"")</f>
        <v/>
      </c>
      <c r="E143" s="107"/>
      <c r="F143" s="107"/>
      <c r="G143" s="108" t="str">
        <f>IF(INT(138/Setup!$B$16)+1&lt;=Setup!$B$6,INDEX(Scores!$G$4:$G$227,(INT(138/Setup!$B$16)+1-1)*28+MOD(138,Setup!$B$16)+1),"")</f>
        <v/>
      </c>
      <c r="H143" s="33" t="str">
        <f>IF(A143="","",IF(INDEX(Scores!$I$4:$I$227,(INT(138/Setup!$B$16)+1-1)*28+MOD(138,Setup!$B$16)+1)=1,"Complete","Waiting"))</f>
        <v/>
      </c>
      <c r="I143" s="33" t="str">
        <f t="shared" si="2"/>
        <v/>
      </c>
    </row>
    <row r="144" spans="1:9">
      <c r="A144" s="33" t="str">
        <f>IF(INT(139/Setup!$B$16)+1&lt;=Setup!$B$6,INDEX(Scores!$A$4:$A$227,(INT(139/Setup!$B$16)+1-1)*28+MOD(139,Setup!$B$16)+1),"")</f>
        <v/>
      </c>
      <c r="B144" s="33" t="str">
        <f>IF(INT(139/Setup!$B$16)+1&lt;=Setup!$B$6,INDEX(Setup!$B$22:$B$29,INT(139/Setup!$B$16)+1),"")</f>
        <v/>
      </c>
      <c r="C144" s="45" t="str">
        <f>IF(INT(139/Setup!$B$16)+1&lt;=Setup!$B$6,INDEX(Scores!$D$4:$D$227,(INT(139/Setup!$B$16)+1-1)*28+MOD(139,Setup!$B$16)+1),"")</f>
        <v/>
      </c>
      <c r="D144" s="106" t="str">
        <f>IF(INT(139/Setup!$B$16)+1&lt;=Setup!$B$6,INDEX(Scores!$E$4:$E$227,(INT(139/Setup!$B$16)+1-1)*28+MOD(139,Setup!$B$16)+1),"")</f>
        <v/>
      </c>
      <c r="E144" s="107"/>
      <c r="F144" s="107"/>
      <c r="G144" s="108" t="str">
        <f>IF(INT(139/Setup!$B$16)+1&lt;=Setup!$B$6,INDEX(Scores!$G$4:$G$227,(INT(139/Setup!$B$16)+1-1)*28+MOD(139,Setup!$B$16)+1),"")</f>
        <v/>
      </c>
      <c r="H144" s="33" t="str">
        <f>IF(A144="","",IF(INDEX(Scores!$I$4:$I$227,(INT(139/Setup!$B$16)+1-1)*28+MOD(139,Setup!$B$16)+1)=1,"Complete","Waiting"))</f>
        <v/>
      </c>
      <c r="I144" s="33" t="str">
        <f t="shared" si="2"/>
        <v/>
      </c>
    </row>
    <row r="145" spans="1:9">
      <c r="A145" s="33" t="str">
        <f>IF(INT(140/Setup!$B$16)+1&lt;=Setup!$B$6,INDEX(Scores!$A$4:$A$227,(INT(140/Setup!$B$16)+1-1)*28+MOD(140,Setup!$B$16)+1),"")</f>
        <v/>
      </c>
      <c r="B145" s="33" t="str">
        <f>IF(INT(140/Setup!$B$16)+1&lt;=Setup!$B$6,INDEX(Setup!$B$22:$B$29,INT(140/Setup!$B$16)+1),"")</f>
        <v/>
      </c>
      <c r="C145" s="45" t="str">
        <f>IF(INT(140/Setup!$B$16)+1&lt;=Setup!$B$6,INDEX(Scores!$D$4:$D$227,(INT(140/Setup!$B$16)+1-1)*28+MOD(140,Setup!$B$16)+1),"")</f>
        <v/>
      </c>
      <c r="D145" s="106" t="str">
        <f>IF(INT(140/Setup!$B$16)+1&lt;=Setup!$B$6,INDEX(Scores!$E$4:$E$227,(INT(140/Setup!$B$16)+1-1)*28+MOD(140,Setup!$B$16)+1),"")</f>
        <v/>
      </c>
      <c r="E145" s="107"/>
      <c r="F145" s="107"/>
      <c r="G145" s="108" t="str">
        <f>IF(INT(140/Setup!$B$16)+1&lt;=Setup!$B$6,INDEX(Scores!$G$4:$G$227,(INT(140/Setup!$B$16)+1-1)*28+MOD(140,Setup!$B$16)+1),"")</f>
        <v/>
      </c>
      <c r="H145" s="33" t="str">
        <f>IF(A145="","",IF(INDEX(Scores!$I$4:$I$227,(INT(140/Setup!$B$16)+1-1)*28+MOD(140,Setup!$B$16)+1)=1,"Complete","Waiting"))</f>
        <v/>
      </c>
      <c r="I145" s="33" t="str">
        <f t="shared" si="2"/>
        <v/>
      </c>
    </row>
    <row r="146" spans="1:9">
      <c r="A146" s="33" t="str">
        <f>IF(INT(141/Setup!$B$16)+1&lt;=Setup!$B$6,INDEX(Scores!$A$4:$A$227,(INT(141/Setup!$B$16)+1-1)*28+MOD(141,Setup!$B$16)+1),"")</f>
        <v/>
      </c>
      <c r="B146" s="33" t="str">
        <f>IF(INT(141/Setup!$B$16)+1&lt;=Setup!$B$6,INDEX(Setup!$B$22:$B$29,INT(141/Setup!$B$16)+1),"")</f>
        <v/>
      </c>
      <c r="C146" s="45" t="str">
        <f>IF(INT(141/Setup!$B$16)+1&lt;=Setup!$B$6,INDEX(Scores!$D$4:$D$227,(INT(141/Setup!$B$16)+1-1)*28+MOD(141,Setup!$B$16)+1),"")</f>
        <v/>
      </c>
      <c r="D146" s="106" t="str">
        <f>IF(INT(141/Setup!$B$16)+1&lt;=Setup!$B$6,INDEX(Scores!$E$4:$E$227,(INT(141/Setup!$B$16)+1-1)*28+MOD(141,Setup!$B$16)+1),"")</f>
        <v/>
      </c>
      <c r="E146" s="107"/>
      <c r="F146" s="107"/>
      <c r="G146" s="108" t="str">
        <f>IF(INT(141/Setup!$B$16)+1&lt;=Setup!$B$6,INDEX(Scores!$G$4:$G$227,(INT(141/Setup!$B$16)+1-1)*28+MOD(141,Setup!$B$16)+1),"")</f>
        <v/>
      </c>
      <c r="H146" s="33" t="str">
        <f>IF(A146="","",IF(INDEX(Scores!$I$4:$I$227,(INT(141/Setup!$B$16)+1-1)*28+MOD(141,Setup!$B$16)+1)=1,"Complete","Waiting"))</f>
        <v/>
      </c>
      <c r="I146" s="33" t="str">
        <f t="shared" si="2"/>
        <v/>
      </c>
    </row>
    <row r="147" spans="1:9">
      <c r="A147" s="33" t="str">
        <f>IF(INT(142/Setup!$B$16)+1&lt;=Setup!$B$6,INDEX(Scores!$A$4:$A$227,(INT(142/Setup!$B$16)+1-1)*28+MOD(142,Setup!$B$16)+1),"")</f>
        <v/>
      </c>
      <c r="B147" s="33" t="str">
        <f>IF(INT(142/Setup!$B$16)+1&lt;=Setup!$B$6,INDEX(Setup!$B$22:$B$29,INT(142/Setup!$B$16)+1),"")</f>
        <v/>
      </c>
      <c r="C147" s="45" t="str">
        <f>IF(INT(142/Setup!$B$16)+1&lt;=Setup!$B$6,INDEX(Scores!$D$4:$D$227,(INT(142/Setup!$B$16)+1-1)*28+MOD(142,Setup!$B$16)+1),"")</f>
        <v/>
      </c>
      <c r="D147" s="106" t="str">
        <f>IF(INT(142/Setup!$B$16)+1&lt;=Setup!$B$6,INDEX(Scores!$E$4:$E$227,(INT(142/Setup!$B$16)+1-1)*28+MOD(142,Setup!$B$16)+1),"")</f>
        <v/>
      </c>
      <c r="E147" s="107"/>
      <c r="F147" s="107"/>
      <c r="G147" s="108" t="str">
        <f>IF(INT(142/Setup!$B$16)+1&lt;=Setup!$B$6,INDEX(Scores!$G$4:$G$227,(INT(142/Setup!$B$16)+1-1)*28+MOD(142,Setup!$B$16)+1),"")</f>
        <v/>
      </c>
      <c r="H147" s="33" t="str">
        <f>IF(A147="","",IF(INDEX(Scores!$I$4:$I$227,(INT(142/Setup!$B$16)+1-1)*28+MOD(142,Setup!$B$16)+1)=1,"Complete","Waiting"))</f>
        <v/>
      </c>
      <c r="I147" s="33" t="str">
        <f t="shared" si="2"/>
        <v/>
      </c>
    </row>
    <row r="148" spans="1:9">
      <c r="A148" s="33" t="str">
        <f>IF(INT(143/Setup!$B$16)+1&lt;=Setup!$B$6,INDEX(Scores!$A$4:$A$227,(INT(143/Setup!$B$16)+1-1)*28+MOD(143,Setup!$B$16)+1),"")</f>
        <v/>
      </c>
      <c r="B148" s="33" t="str">
        <f>IF(INT(143/Setup!$B$16)+1&lt;=Setup!$B$6,INDEX(Setup!$B$22:$B$29,INT(143/Setup!$B$16)+1),"")</f>
        <v/>
      </c>
      <c r="C148" s="45" t="str">
        <f>IF(INT(143/Setup!$B$16)+1&lt;=Setup!$B$6,INDEX(Scores!$D$4:$D$227,(INT(143/Setup!$B$16)+1-1)*28+MOD(143,Setup!$B$16)+1),"")</f>
        <v/>
      </c>
      <c r="D148" s="106" t="str">
        <f>IF(INT(143/Setup!$B$16)+1&lt;=Setup!$B$6,INDEX(Scores!$E$4:$E$227,(INT(143/Setup!$B$16)+1-1)*28+MOD(143,Setup!$B$16)+1),"")</f>
        <v/>
      </c>
      <c r="E148" s="107"/>
      <c r="F148" s="107"/>
      <c r="G148" s="108" t="str">
        <f>IF(INT(143/Setup!$B$16)+1&lt;=Setup!$B$6,INDEX(Scores!$G$4:$G$227,(INT(143/Setup!$B$16)+1-1)*28+MOD(143,Setup!$B$16)+1),"")</f>
        <v/>
      </c>
      <c r="H148" s="33" t="str">
        <f>IF(A148="","",IF(INDEX(Scores!$I$4:$I$227,(INT(143/Setup!$B$16)+1-1)*28+MOD(143,Setup!$B$16)+1)=1,"Complete","Waiting"))</f>
        <v/>
      </c>
      <c r="I148" s="33" t="str">
        <f t="shared" si="2"/>
        <v/>
      </c>
    </row>
    <row r="149" spans="1:9">
      <c r="A149" s="33" t="str">
        <f>IF(INT(144/Setup!$B$16)+1&lt;=Setup!$B$6,INDEX(Scores!$A$4:$A$227,(INT(144/Setup!$B$16)+1-1)*28+MOD(144,Setup!$B$16)+1),"")</f>
        <v/>
      </c>
      <c r="B149" s="33" t="str">
        <f>IF(INT(144/Setup!$B$16)+1&lt;=Setup!$B$6,INDEX(Setup!$B$22:$B$29,INT(144/Setup!$B$16)+1),"")</f>
        <v/>
      </c>
      <c r="C149" s="45" t="str">
        <f>IF(INT(144/Setup!$B$16)+1&lt;=Setup!$B$6,INDEX(Scores!$D$4:$D$227,(INT(144/Setup!$B$16)+1-1)*28+MOD(144,Setup!$B$16)+1),"")</f>
        <v/>
      </c>
      <c r="D149" s="106" t="str">
        <f>IF(INT(144/Setup!$B$16)+1&lt;=Setup!$B$6,INDEX(Scores!$E$4:$E$227,(INT(144/Setup!$B$16)+1-1)*28+MOD(144,Setup!$B$16)+1),"")</f>
        <v/>
      </c>
      <c r="E149" s="107"/>
      <c r="F149" s="107"/>
      <c r="G149" s="108" t="str">
        <f>IF(INT(144/Setup!$B$16)+1&lt;=Setup!$B$6,INDEX(Scores!$G$4:$G$227,(INT(144/Setup!$B$16)+1-1)*28+MOD(144,Setup!$B$16)+1),"")</f>
        <v/>
      </c>
      <c r="H149" s="33" t="str">
        <f>IF(A149="","",IF(INDEX(Scores!$I$4:$I$227,(INT(144/Setup!$B$16)+1-1)*28+MOD(144,Setup!$B$16)+1)=1,"Complete","Waiting"))</f>
        <v/>
      </c>
      <c r="I149" s="33" t="str">
        <f t="shared" si="2"/>
        <v/>
      </c>
    </row>
    <row r="150" spans="1:9">
      <c r="A150" s="33" t="str">
        <f>IF(INT(145/Setup!$B$16)+1&lt;=Setup!$B$6,INDEX(Scores!$A$4:$A$227,(INT(145/Setup!$B$16)+1-1)*28+MOD(145,Setup!$B$16)+1),"")</f>
        <v/>
      </c>
      <c r="B150" s="33" t="str">
        <f>IF(INT(145/Setup!$B$16)+1&lt;=Setup!$B$6,INDEX(Setup!$B$22:$B$29,INT(145/Setup!$B$16)+1),"")</f>
        <v/>
      </c>
      <c r="C150" s="45" t="str">
        <f>IF(INT(145/Setup!$B$16)+1&lt;=Setup!$B$6,INDEX(Scores!$D$4:$D$227,(INT(145/Setup!$B$16)+1-1)*28+MOD(145,Setup!$B$16)+1),"")</f>
        <v/>
      </c>
      <c r="D150" s="106" t="str">
        <f>IF(INT(145/Setup!$B$16)+1&lt;=Setup!$B$6,INDEX(Scores!$E$4:$E$227,(INT(145/Setup!$B$16)+1-1)*28+MOD(145,Setup!$B$16)+1),"")</f>
        <v/>
      </c>
      <c r="E150" s="107"/>
      <c r="F150" s="107"/>
      <c r="G150" s="108" t="str">
        <f>IF(INT(145/Setup!$B$16)+1&lt;=Setup!$B$6,INDEX(Scores!$G$4:$G$227,(INT(145/Setup!$B$16)+1-1)*28+MOD(145,Setup!$B$16)+1),"")</f>
        <v/>
      </c>
      <c r="H150" s="33" t="str">
        <f>IF(A150="","",IF(INDEX(Scores!$I$4:$I$227,(INT(145/Setup!$B$16)+1-1)*28+MOD(145,Setup!$B$16)+1)=1,"Complete","Waiting"))</f>
        <v/>
      </c>
      <c r="I150" s="33" t="str">
        <f t="shared" si="2"/>
        <v/>
      </c>
    </row>
    <row r="151" spans="1:9">
      <c r="A151" s="33" t="str">
        <f>IF(INT(146/Setup!$B$16)+1&lt;=Setup!$B$6,INDEX(Scores!$A$4:$A$227,(INT(146/Setup!$B$16)+1-1)*28+MOD(146,Setup!$B$16)+1),"")</f>
        <v/>
      </c>
      <c r="B151" s="33" t="str">
        <f>IF(INT(146/Setup!$B$16)+1&lt;=Setup!$B$6,INDEX(Setup!$B$22:$B$29,INT(146/Setup!$B$16)+1),"")</f>
        <v/>
      </c>
      <c r="C151" s="45" t="str">
        <f>IF(INT(146/Setup!$B$16)+1&lt;=Setup!$B$6,INDEX(Scores!$D$4:$D$227,(INT(146/Setup!$B$16)+1-1)*28+MOD(146,Setup!$B$16)+1),"")</f>
        <v/>
      </c>
      <c r="D151" s="106" t="str">
        <f>IF(INT(146/Setup!$B$16)+1&lt;=Setup!$B$6,INDEX(Scores!$E$4:$E$227,(INT(146/Setup!$B$16)+1-1)*28+MOD(146,Setup!$B$16)+1),"")</f>
        <v/>
      </c>
      <c r="E151" s="107"/>
      <c r="F151" s="107"/>
      <c r="G151" s="108" t="str">
        <f>IF(INT(146/Setup!$B$16)+1&lt;=Setup!$B$6,INDEX(Scores!$G$4:$G$227,(INT(146/Setup!$B$16)+1-1)*28+MOD(146,Setup!$B$16)+1),"")</f>
        <v/>
      </c>
      <c r="H151" s="33" t="str">
        <f>IF(A151="","",IF(INDEX(Scores!$I$4:$I$227,(INT(146/Setup!$B$16)+1-1)*28+MOD(146,Setup!$B$16)+1)=1,"Complete","Waiting"))</f>
        <v/>
      </c>
      <c r="I151" s="33" t="str">
        <f t="shared" si="2"/>
        <v/>
      </c>
    </row>
    <row r="152" spans="1:9">
      <c r="A152" s="33" t="str">
        <f>IF(INT(147/Setup!$B$16)+1&lt;=Setup!$B$6,INDEX(Scores!$A$4:$A$227,(INT(147/Setup!$B$16)+1-1)*28+MOD(147,Setup!$B$16)+1),"")</f>
        <v/>
      </c>
      <c r="B152" s="33" t="str">
        <f>IF(INT(147/Setup!$B$16)+1&lt;=Setup!$B$6,INDEX(Setup!$B$22:$B$29,INT(147/Setup!$B$16)+1),"")</f>
        <v/>
      </c>
      <c r="C152" s="45" t="str">
        <f>IF(INT(147/Setup!$B$16)+1&lt;=Setup!$B$6,INDEX(Scores!$D$4:$D$227,(INT(147/Setup!$B$16)+1-1)*28+MOD(147,Setup!$B$16)+1),"")</f>
        <v/>
      </c>
      <c r="D152" s="106" t="str">
        <f>IF(INT(147/Setup!$B$16)+1&lt;=Setup!$B$6,INDEX(Scores!$E$4:$E$227,(INT(147/Setup!$B$16)+1-1)*28+MOD(147,Setup!$B$16)+1),"")</f>
        <v/>
      </c>
      <c r="E152" s="107"/>
      <c r="F152" s="107"/>
      <c r="G152" s="108" t="str">
        <f>IF(INT(147/Setup!$B$16)+1&lt;=Setup!$B$6,INDEX(Scores!$G$4:$G$227,(INT(147/Setup!$B$16)+1-1)*28+MOD(147,Setup!$B$16)+1),"")</f>
        <v/>
      </c>
      <c r="H152" s="33" t="str">
        <f>IF(A152="","",IF(INDEX(Scores!$I$4:$I$227,(INT(147/Setup!$B$16)+1-1)*28+MOD(147,Setup!$B$16)+1)=1,"Complete","Waiting"))</f>
        <v/>
      </c>
      <c r="I152" s="33" t="str">
        <f t="shared" si="2"/>
        <v/>
      </c>
    </row>
    <row r="153" spans="1:9">
      <c r="A153" s="33" t="str">
        <f>IF(INT(148/Setup!$B$16)+1&lt;=Setup!$B$6,INDEX(Scores!$A$4:$A$227,(INT(148/Setup!$B$16)+1-1)*28+MOD(148,Setup!$B$16)+1),"")</f>
        <v/>
      </c>
      <c r="B153" s="33" t="str">
        <f>IF(INT(148/Setup!$B$16)+1&lt;=Setup!$B$6,INDEX(Setup!$B$22:$B$29,INT(148/Setup!$B$16)+1),"")</f>
        <v/>
      </c>
      <c r="C153" s="45" t="str">
        <f>IF(INT(148/Setup!$B$16)+1&lt;=Setup!$B$6,INDEX(Scores!$D$4:$D$227,(INT(148/Setup!$B$16)+1-1)*28+MOD(148,Setup!$B$16)+1),"")</f>
        <v/>
      </c>
      <c r="D153" s="106" t="str">
        <f>IF(INT(148/Setup!$B$16)+1&lt;=Setup!$B$6,INDEX(Scores!$E$4:$E$227,(INT(148/Setup!$B$16)+1-1)*28+MOD(148,Setup!$B$16)+1),"")</f>
        <v/>
      </c>
      <c r="E153" s="107"/>
      <c r="F153" s="107"/>
      <c r="G153" s="108" t="str">
        <f>IF(INT(148/Setup!$B$16)+1&lt;=Setup!$B$6,INDEX(Scores!$G$4:$G$227,(INT(148/Setup!$B$16)+1-1)*28+MOD(148,Setup!$B$16)+1),"")</f>
        <v/>
      </c>
      <c r="H153" s="33" t="str">
        <f>IF(A153="","",IF(INDEX(Scores!$I$4:$I$227,(INT(148/Setup!$B$16)+1-1)*28+MOD(148,Setup!$B$16)+1)=1,"Complete","Waiting"))</f>
        <v/>
      </c>
      <c r="I153" s="33" t="str">
        <f t="shared" si="2"/>
        <v/>
      </c>
    </row>
    <row r="154" spans="1:9">
      <c r="A154" s="33" t="str">
        <f>IF(INT(149/Setup!$B$16)+1&lt;=Setup!$B$6,INDEX(Scores!$A$4:$A$227,(INT(149/Setup!$B$16)+1-1)*28+MOD(149,Setup!$B$16)+1),"")</f>
        <v/>
      </c>
      <c r="B154" s="33" t="str">
        <f>IF(INT(149/Setup!$B$16)+1&lt;=Setup!$B$6,INDEX(Setup!$B$22:$B$29,INT(149/Setup!$B$16)+1),"")</f>
        <v/>
      </c>
      <c r="C154" s="45" t="str">
        <f>IF(INT(149/Setup!$B$16)+1&lt;=Setup!$B$6,INDEX(Scores!$D$4:$D$227,(INT(149/Setup!$B$16)+1-1)*28+MOD(149,Setup!$B$16)+1),"")</f>
        <v/>
      </c>
      <c r="D154" s="106" t="str">
        <f>IF(INT(149/Setup!$B$16)+1&lt;=Setup!$B$6,INDEX(Scores!$E$4:$E$227,(INT(149/Setup!$B$16)+1-1)*28+MOD(149,Setup!$B$16)+1),"")</f>
        <v/>
      </c>
      <c r="E154" s="107"/>
      <c r="F154" s="107"/>
      <c r="G154" s="108" t="str">
        <f>IF(INT(149/Setup!$B$16)+1&lt;=Setup!$B$6,INDEX(Scores!$G$4:$G$227,(INT(149/Setup!$B$16)+1-1)*28+MOD(149,Setup!$B$16)+1),"")</f>
        <v/>
      </c>
      <c r="H154" s="33" t="str">
        <f>IF(A154="","",IF(INDEX(Scores!$I$4:$I$227,(INT(149/Setup!$B$16)+1-1)*28+MOD(149,Setup!$B$16)+1)=1,"Complete","Waiting"))</f>
        <v/>
      </c>
      <c r="I154" s="33" t="str">
        <f t="shared" si="2"/>
        <v/>
      </c>
    </row>
    <row r="155" spans="1:9">
      <c r="A155" s="33" t="str">
        <f>IF(INT(150/Setup!$B$16)+1&lt;=Setup!$B$6,INDEX(Scores!$A$4:$A$227,(INT(150/Setup!$B$16)+1-1)*28+MOD(150,Setup!$B$16)+1),"")</f>
        <v/>
      </c>
      <c r="B155" s="33" t="str">
        <f>IF(INT(150/Setup!$B$16)+1&lt;=Setup!$B$6,INDEX(Setup!$B$22:$B$29,INT(150/Setup!$B$16)+1),"")</f>
        <v/>
      </c>
      <c r="C155" s="45" t="str">
        <f>IF(INT(150/Setup!$B$16)+1&lt;=Setup!$B$6,INDEX(Scores!$D$4:$D$227,(INT(150/Setup!$B$16)+1-1)*28+MOD(150,Setup!$B$16)+1),"")</f>
        <v/>
      </c>
      <c r="D155" s="106" t="str">
        <f>IF(INT(150/Setup!$B$16)+1&lt;=Setup!$B$6,INDEX(Scores!$E$4:$E$227,(INT(150/Setup!$B$16)+1-1)*28+MOD(150,Setup!$B$16)+1),"")</f>
        <v/>
      </c>
      <c r="E155" s="107"/>
      <c r="F155" s="107"/>
      <c r="G155" s="108" t="str">
        <f>IF(INT(150/Setup!$B$16)+1&lt;=Setup!$B$6,INDEX(Scores!$G$4:$G$227,(INT(150/Setup!$B$16)+1-1)*28+MOD(150,Setup!$B$16)+1),"")</f>
        <v/>
      </c>
      <c r="H155" s="33" t="str">
        <f>IF(A155="","",IF(INDEX(Scores!$I$4:$I$227,(INT(150/Setup!$B$16)+1-1)*28+MOD(150,Setup!$B$16)+1)=1,"Complete","Waiting"))</f>
        <v/>
      </c>
      <c r="I155" s="33" t="str">
        <f t="shared" si="2"/>
        <v/>
      </c>
    </row>
    <row r="156" spans="1:9">
      <c r="A156" s="33" t="str">
        <f>IF(INT(151/Setup!$B$16)+1&lt;=Setup!$B$6,INDEX(Scores!$A$4:$A$227,(INT(151/Setup!$B$16)+1-1)*28+MOD(151,Setup!$B$16)+1),"")</f>
        <v/>
      </c>
      <c r="B156" s="33" t="str">
        <f>IF(INT(151/Setup!$B$16)+1&lt;=Setup!$B$6,INDEX(Setup!$B$22:$B$29,INT(151/Setup!$B$16)+1),"")</f>
        <v/>
      </c>
      <c r="C156" s="45" t="str">
        <f>IF(INT(151/Setup!$B$16)+1&lt;=Setup!$B$6,INDEX(Scores!$D$4:$D$227,(INT(151/Setup!$B$16)+1-1)*28+MOD(151,Setup!$B$16)+1),"")</f>
        <v/>
      </c>
      <c r="D156" s="106" t="str">
        <f>IF(INT(151/Setup!$B$16)+1&lt;=Setup!$B$6,INDEX(Scores!$E$4:$E$227,(INT(151/Setup!$B$16)+1-1)*28+MOD(151,Setup!$B$16)+1),"")</f>
        <v/>
      </c>
      <c r="E156" s="107"/>
      <c r="F156" s="107"/>
      <c r="G156" s="108" t="str">
        <f>IF(INT(151/Setup!$B$16)+1&lt;=Setup!$B$6,INDEX(Scores!$G$4:$G$227,(INT(151/Setup!$B$16)+1-1)*28+MOD(151,Setup!$B$16)+1),"")</f>
        <v/>
      </c>
      <c r="H156" s="33" t="str">
        <f>IF(A156="","",IF(INDEX(Scores!$I$4:$I$227,(INT(151/Setup!$B$16)+1-1)*28+MOD(151,Setup!$B$16)+1)=1,"Complete","Waiting"))</f>
        <v/>
      </c>
      <c r="I156" s="33" t="str">
        <f t="shared" si="2"/>
        <v/>
      </c>
    </row>
    <row r="157" spans="1:9">
      <c r="A157" s="33" t="str">
        <f>IF(INT(152/Setup!$B$16)+1&lt;=Setup!$B$6,INDEX(Scores!$A$4:$A$227,(INT(152/Setup!$B$16)+1-1)*28+MOD(152,Setup!$B$16)+1),"")</f>
        <v/>
      </c>
      <c r="B157" s="33" t="str">
        <f>IF(INT(152/Setup!$B$16)+1&lt;=Setup!$B$6,INDEX(Setup!$B$22:$B$29,INT(152/Setup!$B$16)+1),"")</f>
        <v/>
      </c>
      <c r="C157" s="45" t="str">
        <f>IF(INT(152/Setup!$B$16)+1&lt;=Setup!$B$6,INDEX(Scores!$D$4:$D$227,(INT(152/Setup!$B$16)+1-1)*28+MOD(152,Setup!$B$16)+1),"")</f>
        <v/>
      </c>
      <c r="D157" s="106" t="str">
        <f>IF(INT(152/Setup!$B$16)+1&lt;=Setup!$B$6,INDEX(Scores!$E$4:$E$227,(INT(152/Setup!$B$16)+1-1)*28+MOD(152,Setup!$B$16)+1),"")</f>
        <v/>
      </c>
      <c r="E157" s="107"/>
      <c r="F157" s="107"/>
      <c r="G157" s="108" t="str">
        <f>IF(INT(152/Setup!$B$16)+1&lt;=Setup!$B$6,INDEX(Scores!$G$4:$G$227,(INT(152/Setup!$B$16)+1-1)*28+MOD(152,Setup!$B$16)+1),"")</f>
        <v/>
      </c>
      <c r="H157" s="33" t="str">
        <f>IF(A157="","",IF(INDEX(Scores!$I$4:$I$227,(INT(152/Setup!$B$16)+1-1)*28+MOD(152,Setup!$B$16)+1)=1,"Complete","Waiting"))</f>
        <v/>
      </c>
      <c r="I157" s="33" t="str">
        <f t="shared" si="2"/>
        <v/>
      </c>
    </row>
    <row r="158" spans="1:9">
      <c r="A158" s="33" t="str">
        <f>IF(INT(153/Setup!$B$16)+1&lt;=Setup!$B$6,INDEX(Scores!$A$4:$A$227,(INT(153/Setup!$B$16)+1-1)*28+MOD(153,Setup!$B$16)+1),"")</f>
        <v/>
      </c>
      <c r="B158" s="33" t="str">
        <f>IF(INT(153/Setup!$B$16)+1&lt;=Setup!$B$6,INDEX(Setup!$B$22:$B$29,INT(153/Setup!$B$16)+1),"")</f>
        <v/>
      </c>
      <c r="C158" s="45" t="str">
        <f>IF(INT(153/Setup!$B$16)+1&lt;=Setup!$B$6,INDEX(Scores!$D$4:$D$227,(INT(153/Setup!$B$16)+1-1)*28+MOD(153,Setup!$B$16)+1),"")</f>
        <v/>
      </c>
      <c r="D158" s="106" t="str">
        <f>IF(INT(153/Setup!$B$16)+1&lt;=Setup!$B$6,INDEX(Scores!$E$4:$E$227,(INT(153/Setup!$B$16)+1-1)*28+MOD(153,Setup!$B$16)+1),"")</f>
        <v/>
      </c>
      <c r="E158" s="107"/>
      <c r="F158" s="107"/>
      <c r="G158" s="108" t="str">
        <f>IF(INT(153/Setup!$B$16)+1&lt;=Setup!$B$6,INDEX(Scores!$G$4:$G$227,(INT(153/Setup!$B$16)+1-1)*28+MOD(153,Setup!$B$16)+1),"")</f>
        <v/>
      </c>
      <c r="H158" s="33" t="str">
        <f>IF(A158="","",IF(INDEX(Scores!$I$4:$I$227,(INT(153/Setup!$B$16)+1-1)*28+MOD(153,Setup!$B$16)+1)=1,"Complete","Waiting"))</f>
        <v/>
      </c>
      <c r="I158" s="33" t="str">
        <f t="shared" si="2"/>
        <v/>
      </c>
    </row>
    <row r="159" spans="1:9">
      <c r="A159" s="33" t="str">
        <f>IF(INT(154/Setup!$B$16)+1&lt;=Setup!$B$6,INDEX(Scores!$A$4:$A$227,(INT(154/Setup!$B$16)+1-1)*28+MOD(154,Setup!$B$16)+1),"")</f>
        <v/>
      </c>
      <c r="B159" s="33" t="str">
        <f>IF(INT(154/Setup!$B$16)+1&lt;=Setup!$B$6,INDEX(Setup!$B$22:$B$29,INT(154/Setup!$B$16)+1),"")</f>
        <v/>
      </c>
      <c r="C159" s="45" t="str">
        <f>IF(INT(154/Setup!$B$16)+1&lt;=Setup!$B$6,INDEX(Scores!$D$4:$D$227,(INT(154/Setup!$B$16)+1-1)*28+MOD(154,Setup!$B$16)+1),"")</f>
        <v/>
      </c>
      <c r="D159" s="106" t="str">
        <f>IF(INT(154/Setup!$B$16)+1&lt;=Setup!$B$6,INDEX(Scores!$E$4:$E$227,(INT(154/Setup!$B$16)+1-1)*28+MOD(154,Setup!$B$16)+1),"")</f>
        <v/>
      </c>
      <c r="E159" s="107"/>
      <c r="F159" s="107"/>
      <c r="G159" s="108" t="str">
        <f>IF(INT(154/Setup!$B$16)+1&lt;=Setup!$B$6,INDEX(Scores!$G$4:$G$227,(INT(154/Setup!$B$16)+1-1)*28+MOD(154,Setup!$B$16)+1),"")</f>
        <v/>
      </c>
      <c r="H159" s="33" t="str">
        <f>IF(A159="","",IF(INDEX(Scores!$I$4:$I$227,(INT(154/Setup!$B$16)+1-1)*28+MOD(154,Setup!$B$16)+1)=1,"Complete","Waiting"))</f>
        <v/>
      </c>
      <c r="I159" s="33" t="str">
        <f t="shared" si="2"/>
        <v/>
      </c>
    </row>
    <row r="160" spans="1:9">
      <c r="A160" s="33" t="str">
        <f>IF(INT(155/Setup!$B$16)+1&lt;=Setup!$B$6,INDEX(Scores!$A$4:$A$227,(INT(155/Setup!$B$16)+1-1)*28+MOD(155,Setup!$B$16)+1),"")</f>
        <v/>
      </c>
      <c r="B160" s="33" t="str">
        <f>IF(INT(155/Setup!$B$16)+1&lt;=Setup!$B$6,INDEX(Setup!$B$22:$B$29,INT(155/Setup!$B$16)+1),"")</f>
        <v/>
      </c>
      <c r="C160" s="45" t="str">
        <f>IF(INT(155/Setup!$B$16)+1&lt;=Setup!$B$6,INDEX(Scores!$D$4:$D$227,(INT(155/Setup!$B$16)+1-1)*28+MOD(155,Setup!$B$16)+1),"")</f>
        <v/>
      </c>
      <c r="D160" s="106" t="str">
        <f>IF(INT(155/Setup!$B$16)+1&lt;=Setup!$B$6,INDEX(Scores!$E$4:$E$227,(INT(155/Setup!$B$16)+1-1)*28+MOD(155,Setup!$B$16)+1),"")</f>
        <v/>
      </c>
      <c r="E160" s="107"/>
      <c r="F160" s="107"/>
      <c r="G160" s="108" t="str">
        <f>IF(INT(155/Setup!$B$16)+1&lt;=Setup!$B$6,INDEX(Scores!$G$4:$G$227,(INT(155/Setup!$B$16)+1-1)*28+MOD(155,Setup!$B$16)+1),"")</f>
        <v/>
      </c>
      <c r="H160" s="33" t="str">
        <f>IF(A160="","",IF(INDEX(Scores!$I$4:$I$227,(INT(155/Setup!$B$16)+1-1)*28+MOD(155,Setup!$B$16)+1)=1,"Complete","Waiting"))</f>
        <v/>
      </c>
      <c r="I160" s="33" t="str">
        <f t="shared" si="2"/>
        <v/>
      </c>
    </row>
    <row r="161" spans="1:9">
      <c r="A161" s="33" t="str">
        <f>IF(INT(156/Setup!$B$16)+1&lt;=Setup!$B$6,INDEX(Scores!$A$4:$A$227,(INT(156/Setup!$B$16)+1-1)*28+MOD(156,Setup!$B$16)+1),"")</f>
        <v/>
      </c>
      <c r="B161" s="33" t="str">
        <f>IF(INT(156/Setup!$B$16)+1&lt;=Setup!$B$6,INDEX(Setup!$B$22:$B$29,INT(156/Setup!$B$16)+1),"")</f>
        <v/>
      </c>
      <c r="C161" s="45" t="str">
        <f>IF(INT(156/Setup!$B$16)+1&lt;=Setup!$B$6,INDEX(Scores!$D$4:$D$227,(INT(156/Setup!$B$16)+1-1)*28+MOD(156,Setup!$B$16)+1),"")</f>
        <v/>
      </c>
      <c r="D161" s="106" t="str">
        <f>IF(INT(156/Setup!$B$16)+1&lt;=Setup!$B$6,INDEX(Scores!$E$4:$E$227,(INT(156/Setup!$B$16)+1-1)*28+MOD(156,Setup!$B$16)+1),"")</f>
        <v/>
      </c>
      <c r="E161" s="107"/>
      <c r="F161" s="107"/>
      <c r="G161" s="108" t="str">
        <f>IF(INT(156/Setup!$B$16)+1&lt;=Setup!$B$6,INDEX(Scores!$G$4:$G$227,(INT(156/Setup!$B$16)+1-1)*28+MOD(156,Setup!$B$16)+1),"")</f>
        <v/>
      </c>
      <c r="H161" s="33" t="str">
        <f>IF(A161="","",IF(INDEX(Scores!$I$4:$I$227,(INT(156/Setup!$B$16)+1-1)*28+MOD(156,Setup!$B$16)+1)=1,"Complete","Waiting"))</f>
        <v/>
      </c>
      <c r="I161" s="33" t="str">
        <f t="shared" si="2"/>
        <v/>
      </c>
    </row>
    <row r="162" spans="1:9">
      <c r="A162" s="33" t="str">
        <f>IF(INT(157/Setup!$B$16)+1&lt;=Setup!$B$6,INDEX(Scores!$A$4:$A$227,(INT(157/Setup!$B$16)+1-1)*28+MOD(157,Setup!$B$16)+1),"")</f>
        <v/>
      </c>
      <c r="B162" s="33" t="str">
        <f>IF(INT(157/Setup!$B$16)+1&lt;=Setup!$B$6,INDEX(Setup!$B$22:$B$29,INT(157/Setup!$B$16)+1),"")</f>
        <v/>
      </c>
      <c r="C162" s="45" t="str">
        <f>IF(INT(157/Setup!$B$16)+1&lt;=Setup!$B$6,INDEX(Scores!$D$4:$D$227,(INT(157/Setup!$B$16)+1-1)*28+MOD(157,Setup!$B$16)+1),"")</f>
        <v/>
      </c>
      <c r="D162" s="106" t="str">
        <f>IF(INT(157/Setup!$B$16)+1&lt;=Setup!$B$6,INDEX(Scores!$E$4:$E$227,(INT(157/Setup!$B$16)+1-1)*28+MOD(157,Setup!$B$16)+1),"")</f>
        <v/>
      </c>
      <c r="E162" s="107"/>
      <c r="F162" s="107"/>
      <c r="G162" s="108" t="str">
        <f>IF(INT(157/Setup!$B$16)+1&lt;=Setup!$B$6,INDEX(Scores!$G$4:$G$227,(INT(157/Setup!$B$16)+1-1)*28+MOD(157,Setup!$B$16)+1),"")</f>
        <v/>
      </c>
      <c r="H162" s="33" t="str">
        <f>IF(A162="","",IF(INDEX(Scores!$I$4:$I$227,(INT(157/Setup!$B$16)+1-1)*28+MOD(157,Setup!$B$16)+1)=1,"Complete","Waiting"))</f>
        <v/>
      </c>
      <c r="I162" s="33" t="str">
        <f t="shared" si="2"/>
        <v/>
      </c>
    </row>
    <row r="163" spans="1:9">
      <c r="A163" s="33" t="str">
        <f>IF(INT(158/Setup!$B$16)+1&lt;=Setup!$B$6,INDEX(Scores!$A$4:$A$227,(INT(158/Setup!$B$16)+1-1)*28+MOD(158,Setup!$B$16)+1),"")</f>
        <v/>
      </c>
      <c r="B163" s="33" t="str">
        <f>IF(INT(158/Setup!$B$16)+1&lt;=Setup!$B$6,INDEX(Setup!$B$22:$B$29,INT(158/Setup!$B$16)+1),"")</f>
        <v/>
      </c>
      <c r="C163" s="45" t="str">
        <f>IF(INT(158/Setup!$B$16)+1&lt;=Setup!$B$6,INDEX(Scores!$D$4:$D$227,(INT(158/Setup!$B$16)+1-1)*28+MOD(158,Setup!$B$16)+1),"")</f>
        <v/>
      </c>
      <c r="D163" s="106" t="str">
        <f>IF(INT(158/Setup!$B$16)+1&lt;=Setup!$B$6,INDEX(Scores!$E$4:$E$227,(INT(158/Setup!$B$16)+1-1)*28+MOD(158,Setup!$B$16)+1),"")</f>
        <v/>
      </c>
      <c r="E163" s="107"/>
      <c r="F163" s="107"/>
      <c r="G163" s="108" t="str">
        <f>IF(INT(158/Setup!$B$16)+1&lt;=Setup!$B$6,INDEX(Scores!$G$4:$G$227,(INT(158/Setup!$B$16)+1-1)*28+MOD(158,Setup!$B$16)+1),"")</f>
        <v/>
      </c>
      <c r="H163" s="33" t="str">
        <f>IF(A163="","",IF(INDEX(Scores!$I$4:$I$227,(INT(158/Setup!$B$16)+1-1)*28+MOD(158,Setup!$B$16)+1)=1,"Complete","Waiting"))</f>
        <v/>
      </c>
      <c r="I163" s="33" t="str">
        <f t="shared" si="2"/>
        <v/>
      </c>
    </row>
    <row r="164" spans="1:9">
      <c r="A164" s="33" t="str">
        <f>IF(INT(159/Setup!$B$16)+1&lt;=Setup!$B$6,INDEX(Scores!$A$4:$A$227,(INT(159/Setup!$B$16)+1-1)*28+MOD(159,Setup!$B$16)+1),"")</f>
        <v/>
      </c>
      <c r="B164" s="33" t="str">
        <f>IF(INT(159/Setup!$B$16)+1&lt;=Setup!$B$6,INDEX(Setup!$B$22:$B$29,INT(159/Setup!$B$16)+1),"")</f>
        <v/>
      </c>
      <c r="C164" s="45" t="str">
        <f>IF(INT(159/Setup!$B$16)+1&lt;=Setup!$B$6,INDEX(Scores!$D$4:$D$227,(INT(159/Setup!$B$16)+1-1)*28+MOD(159,Setup!$B$16)+1),"")</f>
        <v/>
      </c>
      <c r="D164" s="106" t="str">
        <f>IF(INT(159/Setup!$B$16)+1&lt;=Setup!$B$6,INDEX(Scores!$E$4:$E$227,(INT(159/Setup!$B$16)+1-1)*28+MOD(159,Setup!$B$16)+1),"")</f>
        <v/>
      </c>
      <c r="E164" s="107"/>
      <c r="F164" s="107"/>
      <c r="G164" s="108" t="str">
        <f>IF(INT(159/Setup!$B$16)+1&lt;=Setup!$B$6,INDEX(Scores!$G$4:$G$227,(INT(159/Setup!$B$16)+1-1)*28+MOD(159,Setup!$B$16)+1),"")</f>
        <v/>
      </c>
      <c r="H164" s="33" t="str">
        <f>IF(A164="","",IF(INDEX(Scores!$I$4:$I$227,(INT(159/Setup!$B$16)+1-1)*28+MOD(159,Setup!$B$16)+1)=1,"Complete","Waiting"))</f>
        <v/>
      </c>
      <c r="I164" s="33" t="str">
        <f t="shared" si="2"/>
        <v/>
      </c>
    </row>
    <row r="165" spans="1:9">
      <c r="A165" s="33" t="str">
        <f>IF(INT(160/Setup!$B$16)+1&lt;=Setup!$B$6,INDEX(Scores!$A$4:$A$227,(INT(160/Setup!$B$16)+1-1)*28+MOD(160,Setup!$B$16)+1),"")</f>
        <v/>
      </c>
      <c r="B165" s="33" t="str">
        <f>IF(INT(160/Setup!$B$16)+1&lt;=Setup!$B$6,INDEX(Setup!$B$22:$B$29,INT(160/Setup!$B$16)+1),"")</f>
        <v/>
      </c>
      <c r="C165" s="45" t="str">
        <f>IF(INT(160/Setup!$B$16)+1&lt;=Setup!$B$6,INDEX(Scores!$D$4:$D$227,(INT(160/Setup!$B$16)+1-1)*28+MOD(160,Setup!$B$16)+1),"")</f>
        <v/>
      </c>
      <c r="D165" s="106" t="str">
        <f>IF(INT(160/Setup!$B$16)+1&lt;=Setup!$B$6,INDEX(Scores!$E$4:$E$227,(INT(160/Setup!$B$16)+1-1)*28+MOD(160,Setup!$B$16)+1),"")</f>
        <v/>
      </c>
      <c r="E165" s="107"/>
      <c r="F165" s="107"/>
      <c r="G165" s="108" t="str">
        <f>IF(INT(160/Setup!$B$16)+1&lt;=Setup!$B$6,INDEX(Scores!$G$4:$G$227,(INT(160/Setup!$B$16)+1-1)*28+MOD(160,Setup!$B$16)+1),"")</f>
        <v/>
      </c>
      <c r="H165" s="33" t="str">
        <f>IF(A165="","",IF(INDEX(Scores!$I$4:$I$227,(INT(160/Setup!$B$16)+1-1)*28+MOD(160,Setup!$B$16)+1)=1,"Complete","Waiting"))</f>
        <v/>
      </c>
      <c r="I165" s="33" t="str">
        <f t="shared" si="2"/>
        <v/>
      </c>
    </row>
    <row r="166" spans="1:9">
      <c r="A166" s="33" t="str">
        <f>IF(INT(161/Setup!$B$16)+1&lt;=Setup!$B$6,INDEX(Scores!$A$4:$A$227,(INT(161/Setup!$B$16)+1-1)*28+MOD(161,Setup!$B$16)+1),"")</f>
        <v/>
      </c>
      <c r="B166" s="33" t="str">
        <f>IF(INT(161/Setup!$B$16)+1&lt;=Setup!$B$6,INDEX(Setup!$B$22:$B$29,INT(161/Setup!$B$16)+1),"")</f>
        <v/>
      </c>
      <c r="C166" s="45" t="str">
        <f>IF(INT(161/Setup!$B$16)+1&lt;=Setup!$B$6,INDEX(Scores!$D$4:$D$227,(INT(161/Setup!$B$16)+1-1)*28+MOD(161,Setup!$B$16)+1),"")</f>
        <v/>
      </c>
      <c r="D166" s="106" t="str">
        <f>IF(INT(161/Setup!$B$16)+1&lt;=Setup!$B$6,INDEX(Scores!$E$4:$E$227,(INT(161/Setup!$B$16)+1-1)*28+MOD(161,Setup!$B$16)+1),"")</f>
        <v/>
      </c>
      <c r="E166" s="107"/>
      <c r="F166" s="107"/>
      <c r="G166" s="108" t="str">
        <f>IF(INT(161/Setup!$B$16)+1&lt;=Setup!$B$6,INDEX(Scores!$G$4:$G$227,(INT(161/Setup!$B$16)+1-1)*28+MOD(161,Setup!$B$16)+1),"")</f>
        <v/>
      </c>
      <c r="H166" s="33" t="str">
        <f>IF(A166="","",IF(INDEX(Scores!$I$4:$I$227,(INT(161/Setup!$B$16)+1-1)*28+MOD(161,Setup!$B$16)+1)=1,"Complete","Waiting"))</f>
        <v/>
      </c>
      <c r="I166" s="33" t="str">
        <f t="shared" si="2"/>
        <v/>
      </c>
    </row>
    <row r="167" spans="1:9">
      <c r="A167" s="33" t="str">
        <f>IF(INT(162/Setup!$B$16)+1&lt;=Setup!$B$6,INDEX(Scores!$A$4:$A$227,(INT(162/Setup!$B$16)+1-1)*28+MOD(162,Setup!$B$16)+1),"")</f>
        <v/>
      </c>
      <c r="B167" s="33" t="str">
        <f>IF(INT(162/Setup!$B$16)+1&lt;=Setup!$B$6,INDEX(Setup!$B$22:$B$29,INT(162/Setup!$B$16)+1),"")</f>
        <v/>
      </c>
      <c r="C167" s="45" t="str">
        <f>IF(INT(162/Setup!$B$16)+1&lt;=Setup!$B$6,INDEX(Scores!$D$4:$D$227,(INT(162/Setup!$B$16)+1-1)*28+MOD(162,Setup!$B$16)+1),"")</f>
        <v/>
      </c>
      <c r="D167" s="106" t="str">
        <f>IF(INT(162/Setup!$B$16)+1&lt;=Setup!$B$6,INDEX(Scores!$E$4:$E$227,(INT(162/Setup!$B$16)+1-1)*28+MOD(162,Setup!$B$16)+1),"")</f>
        <v/>
      </c>
      <c r="E167" s="107"/>
      <c r="F167" s="107"/>
      <c r="G167" s="108" t="str">
        <f>IF(INT(162/Setup!$B$16)+1&lt;=Setup!$B$6,INDEX(Scores!$G$4:$G$227,(INT(162/Setup!$B$16)+1-1)*28+MOD(162,Setup!$B$16)+1),"")</f>
        <v/>
      </c>
      <c r="H167" s="33" t="str">
        <f>IF(A167="","",IF(INDEX(Scores!$I$4:$I$227,(INT(162/Setup!$B$16)+1-1)*28+MOD(162,Setup!$B$16)+1)=1,"Complete","Waiting"))</f>
        <v/>
      </c>
      <c r="I167" s="33" t="str">
        <f t="shared" si="2"/>
        <v/>
      </c>
    </row>
    <row r="168" spans="1:9">
      <c r="A168" s="33" t="str">
        <f>IF(INT(163/Setup!$B$16)+1&lt;=Setup!$B$6,INDEX(Scores!$A$4:$A$227,(INT(163/Setup!$B$16)+1-1)*28+MOD(163,Setup!$B$16)+1),"")</f>
        <v/>
      </c>
      <c r="B168" s="33" t="str">
        <f>IF(INT(163/Setup!$B$16)+1&lt;=Setup!$B$6,INDEX(Setup!$B$22:$B$29,INT(163/Setup!$B$16)+1),"")</f>
        <v/>
      </c>
      <c r="C168" s="45" t="str">
        <f>IF(INT(163/Setup!$B$16)+1&lt;=Setup!$B$6,INDEX(Scores!$D$4:$D$227,(INT(163/Setup!$B$16)+1-1)*28+MOD(163,Setup!$B$16)+1),"")</f>
        <v/>
      </c>
      <c r="D168" s="106" t="str">
        <f>IF(INT(163/Setup!$B$16)+1&lt;=Setup!$B$6,INDEX(Scores!$E$4:$E$227,(INT(163/Setup!$B$16)+1-1)*28+MOD(163,Setup!$B$16)+1),"")</f>
        <v/>
      </c>
      <c r="E168" s="107"/>
      <c r="F168" s="107"/>
      <c r="G168" s="108" t="str">
        <f>IF(INT(163/Setup!$B$16)+1&lt;=Setup!$B$6,INDEX(Scores!$G$4:$G$227,(INT(163/Setup!$B$16)+1-1)*28+MOD(163,Setup!$B$16)+1),"")</f>
        <v/>
      </c>
      <c r="H168" s="33" t="str">
        <f>IF(A168="","",IF(INDEX(Scores!$I$4:$I$227,(INT(163/Setup!$B$16)+1-1)*28+MOD(163,Setup!$B$16)+1)=1,"Complete","Waiting"))</f>
        <v/>
      </c>
      <c r="I168" s="33" t="str">
        <f t="shared" si="2"/>
        <v/>
      </c>
    </row>
    <row r="169" spans="1:9">
      <c r="A169" s="33" t="str">
        <f>IF(INT(164/Setup!$B$16)+1&lt;=Setup!$B$6,INDEX(Scores!$A$4:$A$227,(INT(164/Setup!$B$16)+1-1)*28+MOD(164,Setup!$B$16)+1),"")</f>
        <v/>
      </c>
      <c r="B169" s="33" t="str">
        <f>IF(INT(164/Setup!$B$16)+1&lt;=Setup!$B$6,INDEX(Setup!$B$22:$B$29,INT(164/Setup!$B$16)+1),"")</f>
        <v/>
      </c>
      <c r="C169" s="45" t="str">
        <f>IF(INT(164/Setup!$B$16)+1&lt;=Setup!$B$6,INDEX(Scores!$D$4:$D$227,(INT(164/Setup!$B$16)+1-1)*28+MOD(164,Setup!$B$16)+1),"")</f>
        <v/>
      </c>
      <c r="D169" s="106" t="str">
        <f>IF(INT(164/Setup!$B$16)+1&lt;=Setup!$B$6,INDEX(Scores!$E$4:$E$227,(INT(164/Setup!$B$16)+1-1)*28+MOD(164,Setup!$B$16)+1),"")</f>
        <v/>
      </c>
      <c r="E169" s="107"/>
      <c r="F169" s="107"/>
      <c r="G169" s="108" t="str">
        <f>IF(INT(164/Setup!$B$16)+1&lt;=Setup!$B$6,INDEX(Scores!$G$4:$G$227,(INT(164/Setup!$B$16)+1-1)*28+MOD(164,Setup!$B$16)+1),"")</f>
        <v/>
      </c>
      <c r="H169" s="33" t="str">
        <f>IF(A169="","",IF(INDEX(Scores!$I$4:$I$227,(INT(164/Setup!$B$16)+1-1)*28+MOD(164,Setup!$B$16)+1)=1,"Complete","Waiting"))</f>
        <v/>
      </c>
      <c r="I169" s="33" t="str">
        <f t="shared" si="2"/>
        <v/>
      </c>
    </row>
    <row r="170" spans="1:9">
      <c r="A170" s="33" t="str">
        <f>IF(INT(165/Setup!$B$16)+1&lt;=Setup!$B$6,INDEX(Scores!$A$4:$A$227,(INT(165/Setup!$B$16)+1-1)*28+MOD(165,Setup!$B$16)+1),"")</f>
        <v/>
      </c>
      <c r="B170" s="33" t="str">
        <f>IF(INT(165/Setup!$B$16)+1&lt;=Setup!$B$6,INDEX(Setup!$B$22:$B$29,INT(165/Setup!$B$16)+1),"")</f>
        <v/>
      </c>
      <c r="C170" s="45" t="str">
        <f>IF(INT(165/Setup!$B$16)+1&lt;=Setup!$B$6,INDEX(Scores!$D$4:$D$227,(INT(165/Setup!$B$16)+1-1)*28+MOD(165,Setup!$B$16)+1),"")</f>
        <v/>
      </c>
      <c r="D170" s="106" t="str">
        <f>IF(INT(165/Setup!$B$16)+1&lt;=Setup!$B$6,INDEX(Scores!$E$4:$E$227,(INT(165/Setup!$B$16)+1-1)*28+MOD(165,Setup!$B$16)+1),"")</f>
        <v/>
      </c>
      <c r="E170" s="107"/>
      <c r="F170" s="107"/>
      <c r="G170" s="108" t="str">
        <f>IF(INT(165/Setup!$B$16)+1&lt;=Setup!$B$6,INDEX(Scores!$G$4:$G$227,(INT(165/Setup!$B$16)+1-1)*28+MOD(165,Setup!$B$16)+1),"")</f>
        <v/>
      </c>
      <c r="H170" s="33" t="str">
        <f>IF(A170="","",IF(INDEX(Scores!$I$4:$I$227,(INT(165/Setup!$B$16)+1-1)*28+MOD(165,Setup!$B$16)+1)=1,"Complete","Waiting"))</f>
        <v/>
      </c>
      <c r="I170" s="33" t="str">
        <f t="shared" si="2"/>
        <v/>
      </c>
    </row>
    <row r="171" spans="1:9">
      <c r="A171" s="33" t="str">
        <f>IF(INT(166/Setup!$B$16)+1&lt;=Setup!$B$6,INDEX(Scores!$A$4:$A$227,(INT(166/Setup!$B$16)+1-1)*28+MOD(166,Setup!$B$16)+1),"")</f>
        <v/>
      </c>
      <c r="B171" s="33" t="str">
        <f>IF(INT(166/Setup!$B$16)+1&lt;=Setup!$B$6,INDEX(Setup!$B$22:$B$29,INT(166/Setup!$B$16)+1),"")</f>
        <v/>
      </c>
      <c r="C171" s="45" t="str">
        <f>IF(INT(166/Setup!$B$16)+1&lt;=Setup!$B$6,INDEX(Scores!$D$4:$D$227,(INT(166/Setup!$B$16)+1-1)*28+MOD(166,Setup!$B$16)+1),"")</f>
        <v/>
      </c>
      <c r="D171" s="106" t="str">
        <f>IF(INT(166/Setup!$B$16)+1&lt;=Setup!$B$6,INDEX(Scores!$E$4:$E$227,(INT(166/Setup!$B$16)+1-1)*28+MOD(166,Setup!$B$16)+1),"")</f>
        <v/>
      </c>
      <c r="E171" s="107"/>
      <c r="F171" s="107"/>
      <c r="G171" s="108" t="str">
        <f>IF(INT(166/Setup!$B$16)+1&lt;=Setup!$B$6,INDEX(Scores!$G$4:$G$227,(INT(166/Setup!$B$16)+1-1)*28+MOD(166,Setup!$B$16)+1),"")</f>
        <v/>
      </c>
      <c r="H171" s="33" t="str">
        <f>IF(A171="","",IF(INDEX(Scores!$I$4:$I$227,(INT(166/Setup!$B$16)+1-1)*28+MOD(166,Setup!$B$16)+1)=1,"Complete","Waiting"))</f>
        <v/>
      </c>
      <c r="I171" s="33" t="str">
        <f t="shared" si="2"/>
        <v/>
      </c>
    </row>
    <row r="172" spans="1:9">
      <c r="A172" s="33" t="str">
        <f>IF(INT(167/Setup!$B$16)+1&lt;=Setup!$B$6,INDEX(Scores!$A$4:$A$227,(INT(167/Setup!$B$16)+1-1)*28+MOD(167,Setup!$B$16)+1),"")</f>
        <v/>
      </c>
      <c r="B172" s="33" t="str">
        <f>IF(INT(167/Setup!$B$16)+1&lt;=Setup!$B$6,INDEX(Setup!$B$22:$B$29,INT(167/Setup!$B$16)+1),"")</f>
        <v/>
      </c>
      <c r="C172" s="45" t="str">
        <f>IF(INT(167/Setup!$B$16)+1&lt;=Setup!$B$6,INDEX(Scores!$D$4:$D$227,(INT(167/Setup!$B$16)+1-1)*28+MOD(167,Setup!$B$16)+1),"")</f>
        <v/>
      </c>
      <c r="D172" s="106" t="str">
        <f>IF(INT(167/Setup!$B$16)+1&lt;=Setup!$B$6,INDEX(Scores!$E$4:$E$227,(INT(167/Setup!$B$16)+1-1)*28+MOD(167,Setup!$B$16)+1),"")</f>
        <v/>
      </c>
      <c r="E172" s="107"/>
      <c r="F172" s="107"/>
      <c r="G172" s="108" t="str">
        <f>IF(INT(167/Setup!$B$16)+1&lt;=Setup!$B$6,INDEX(Scores!$G$4:$G$227,(INT(167/Setup!$B$16)+1-1)*28+MOD(167,Setup!$B$16)+1),"")</f>
        <v/>
      </c>
      <c r="H172" s="33" t="str">
        <f>IF(A172="","",IF(INDEX(Scores!$I$4:$I$227,(INT(167/Setup!$B$16)+1-1)*28+MOD(167,Setup!$B$16)+1)=1,"Complete","Waiting"))</f>
        <v/>
      </c>
      <c r="I172" s="33" t="str">
        <f t="shared" si="2"/>
        <v/>
      </c>
    </row>
    <row r="173" spans="1:9">
      <c r="A173" s="33" t="str">
        <f>IF(INT(168/Setup!$B$16)+1&lt;=Setup!$B$6,INDEX(Scores!$A$4:$A$227,(INT(168/Setup!$B$16)+1-1)*28+MOD(168,Setup!$B$16)+1),"")</f>
        <v/>
      </c>
      <c r="B173" s="33" t="str">
        <f>IF(INT(168/Setup!$B$16)+1&lt;=Setup!$B$6,INDEX(Setup!$B$22:$B$29,INT(168/Setup!$B$16)+1),"")</f>
        <v/>
      </c>
      <c r="C173" s="45" t="str">
        <f>IF(INT(168/Setup!$B$16)+1&lt;=Setup!$B$6,INDEX(Scores!$D$4:$D$227,(INT(168/Setup!$B$16)+1-1)*28+MOD(168,Setup!$B$16)+1),"")</f>
        <v/>
      </c>
      <c r="D173" s="106" t="str">
        <f>IF(INT(168/Setup!$B$16)+1&lt;=Setup!$B$6,INDEX(Scores!$E$4:$E$227,(INT(168/Setup!$B$16)+1-1)*28+MOD(168,Setup!$B$16)+1),"")</f>
        <v/>
      </c>
      <c r="E173" s="107"/>
      <c r="F173" s="107"/>
      <c r="G173" s="108" t="str">
        <f>IF(INT(168/Setup!$B$16)+1&lt;=Setup!$B$6,INDEX(Scores!$G$4:$G$227,(INT(168/Setup!$B$16)+1-1)*28+MOD(168,Setup!$B$16)+1),"")</f>
        <v/>
      </c>
      <c r="H173" s="33" t="str">
        <f>IF(A173="","",IF(INDEX(Scores!$I$4:$I$227,(INT(168/Setup!$B$16)+1-1)*28+MOD(168,Setup!$B$16)+1)=1,"Complete","Waiting"))</f>
        <v/>
      </c>
      <c r="I173" s="33" t="str">
        <f t="shared" si="2"/>
        <v/>
      </c>
    </row>
    <row r="174" spans="1:9">
      <c r="A174" s="33" t="str">
        <f>IF(INT(169/Setup!$B$16)+1&lt;=Setup!$B$6,INDEX(Scores!$A$4:$A$227,(INT(169/Setup!$B$16)+1-1)*28+MOD(169,Setup!$B$16)+1),"")</f>
        <v/>
      </c>
      <c r="B174" s="33" t="str">
        <f>IF(INT(169/Setup!$B$16)+1&lt;=Setup!$B$6,INDEX(Setup!$B$22:$B$29,INT(169/Setup!$B$16)+1),"")</f>
        <v/>
      </c>
      <c r="C174" s="45" t="str">
        <f>IF(INT(169/Setup!$B$16)+1&lt;=Setup!$B$6,INDEX(Scores!$D$4:$D$227,(INT(169/Setup!$B$16)+1-1)*28+MOD(169,Setup!$B$16)+1),"")</f>
        <v/>
      </c>
      <c r="D174" s="106" t="str">
        <f>IF(INT(169/Setup!$B$16)+1&lt;=Setup!$B$6,INDEX(Scores!$E$4:$E$227,(INT(169/Setup!$B$16)+1-1)*28+MOD(169,Setup!$B$16)+1),"")</f>
        <v/>
      </c>
      <c r="E174" s="107"/>
      <c r="F174" s="107"/>
      <c r="G174" s="108" t="str">
        <f>IF(INT(169/Setup!$B$16)+1&lt;=Setup!$B$6,INDEX(Scores!$G$4:$G$227,(INT(169/Setup!$B$16)+1-1)*28+MOD(169,Setup!$B$16)+1),"")</f>
        <v/>
      </c>
      <c r="H174" s="33" t="str">
        <f>IF(A174="","",IF(INDEX(Scores!$I$4:$I$227,(INT(169/Setup!$B$16)+1-1)*28+MOD(169,Setup!$B$16)+1)=1,"Complete","Waiting"))</f>
        <v/>
      </c>
      <c r="I174" s="33" t="str">
        <f t="shared" si="2"/>
        <v/>
      </c>
    </row>
    <row r="175" spans="1:9">
      <c r="A175" s="33" t="str">
        <f>IF(INT(170/Setup!$B$16)+1&lt;=Setup!$B$6,INDEX(Scores!$A$4:$A$227,(INT(170/Setup!$B$16)+1-1)*28+MOD(170,Setup!$B$16)+1),"")</f>
        <v/>
      </c>
      <c r="B175" s="33" t="str">
        <f>IF(INT(170/Setup!$B$16)+1&lt;=Setup!$B$6,INDEX(Setup!$B$22:$B$29,INT(170/Setup!$B$16)+1),"")</f>
        <v/>
      </c>
      <c r="C175" s="45" t="str">
        <f>IF(INT(170/Setup!$B$16)+1&lt;=Setup!$B$6,INDEX(Scores!$D$4:$D$227,(INT(170/Setup!$B$16)+1-1)*28+MOD(170,Setup!$B$16)+1),"")</f>
        <v/>
      </c>
      <c r="D175" s="106" t="str">
        <f>IF(INT(170/Setup!$B$16)+1&lt;=Setup!$B$6,INDEX(Scores!$E$4:$E$227,(INT(170/Setup!$B$16)+1-1)*28+MOD(170,Setup!$B$16)+1),"")</f>
        <v/>
      </c>
      <c r="E175" s="107"/>
      <c r="F175" s="107"/>
      <c r="G175" s="108" t="str">
        <f>IF(INT(170/Setup!$B$16)+1&lt;=Setup!$B$6,INDEX(Scores!$G$4:$G$227,(INT(170/Setup!$B$16)+1-1)*28+MOD(170,Setup!$B$16)+1),"")</f>
        <v/>
      </c>
      <c r="H175" s="33" t="str">
        <f>IF(A175="","",IF(INDEX(Scores!$I$4:$I$227,(INT(170/Setup!$B$16)+1-1)*28+MOD(170,Setup!$B$16)+1)=1,"Complete","Waiting"))</f>
        <v/>
      </c>
      <c r="I175" s="33" t="str">
        <f t="shared" si="2"/>
        <v/>
      </c>
    </row>
    <row r="176" spans="1:9">
      <c r="A176" s="33" t="str">
        <f>IF(INT(171/Setup!$B$16)+1&lt;=Setup!$B$6,INDEX(Scores!$A$4:$A$227,(INT(171/Setup!$B$16)+1-1)*28+MOD(171,Setup!$B$16)+1),"")</f>
        <v/>
      </c>
      <c r="B176" s="33" t="str">
        <f>IF(INT(171/Setup!$B$16)+1&lt;=Setup!$B$6,INDEX(Setup!$B$22:$B$29,INT(171/Setup!$B$16)+1),"")</f>
        <v/>
      </c>
      <c r="C176" s="45" t="str">
        <f>IF(INT(171/Setup!$B$16)+1&lt;=Setup!$B$6,INDEX(Scores!$D$4:$D$227,(INT(171/Setup!$B$16)+1-1)*28+MOD(171,Setup!$B$16)+1),"")</f>
        <v/>
      </c>
      <c r="D176" s="106" t="str">
        <f>IF(INT(171/Setup!$B$16)+1&lt;=Setup!$B$6,INDEX(Scores!$E$4:$E$227,(INT(171/Setup!$B$16)+1-1)*28+MOD(171,Setup!$B$16)+1),"")</f>
        <v/>
      </c>
      <c r="E176" s="107"/>
      <c r="F176" s="107"/>
      <c r="G176" s="108" t="str">
        <f>IF(INT(171/Setup!$B$16)+1&lt;=Setup!$B$6,INDEX(Scores!$G$4:$G$227,(INT(171/Setup!$B$16)+1-1)*28+MOD(171,Setup!$B$16)+1),"")</f>
        <v/>
      </c>
      <c r="H176" s="33" t="str">
        <f>IF(A176="","",IF(INDEX(Scores!$I$4:$I$227,(INT(171/Setup!$B$16)+1-1)*28+MOD(171,Setup!$B$16)+1)=1,"Complete","Waiting"))</f>
        <v/>
      </c>
      <c r="I176" s="33" t="str">
        <f t="shared" si="2"/>
        <v/>
      </c>
    </row>
    <row r="177" spans="1:9">
      <c r="A177" s="33" t="str">
        <f>IF(INT(172/Setup!$B$16)+1&lt;=Setup!$B$6,INDEX(Scores!$A$4:$A$227,(INT(172/Setup!$B$16)+1-1)*28+MOD(172,Setup!$B$16)+1),"")</f>
        <v/>
      </c>
      <c r="B177" s="33" t="str">
        <f>IF(INT(172/Setup!$B$16)+1&lt;=Setup!$B$6,INDEX(Setup!$B$22:$B$29,INT(172/Setup!$B$16)+1),"")</f>
        <v/>
      </c>
      <c r="C177" s="45" t="str">
        <f>IF(INT(172/Setup!$B$16)+1&lt;=Setup!$B$6,INDEX(Scores!$D$4:$D$227,(INT(172/Setup!$B$16)+1-1)*28+MOD(172,Setup!$B$16)+1),"")</f>
        <v/>
      </c>
      <c r="D177" s="106" t="str">
        <f>IF(INT(172/Setup!$B$16)+1&lt;=Setup!$B$6,INDEX(Scores!$E$4:$E$227,(INT(172/Setup!$B$16)+1-1)*28+MOD(172,Setup!$B$16)+1),"")</f>
        <v/>
      </c>
      <c r="E177" s="107"/>
      <c r="F177" s="107"/>
      <c r="G177" s="108" t="str">
        <f>IF(INT(172/Setup!$B$16)+1&lt;=Setup!$B$6,INDEX(Scores!$G$4:$G$227,(INT(172/Setup!$B$16)+1-1)*28+MOD(172,Setup!$B$16)+1),"")</f>
        <v/>
      </c>
      <c r="H177" s="33" t="str">
        <f>IF(A177="","",IF(INDEX(Scores!$I$4:$I$227,(INT(172/Setup!$B$16)+1-1)*28+MOD(172,Setup!$B$16)+1)=1,"Complete","Waiting"))</f>
        <v/>
      </c>
      <c r="I177" s="33" t="str">
        <f t="shared" si="2"/>
        <v/>
      </c>
    </row>
    <row r="178" spans="1:9">
      <c r="A178" s="33" t="str">
        <f>IF(INT(173/Setup!$B$16)+1&lt;=Setup!$B$6,INDEX(Scores!$A$4:$A$227,(INT(173/Setup!$B$16)+1-1)*28+MOD(173,Setup!$B$16)+1),"")</f>
        <v/>
      </c>
      <c r="B178" s="33" t="str">
        <f>IF(INT(173/Setup!$B$16)+1&lt;=Setup!$B$6,INDEX(Setup!$B$22:$B$29,INT(173/Setup!$B$16)+1),"")</f>
        <v/>
      </c>
      <c r="C178" s="45" t="str">
        <f>IF(INT(173/Setup!$B$16)+1&lt;=Setup!$B$6,INDEX(Scores!$D$4:$D$227,(INT(173/Setup!$B$16)+1-1)*28+MOD(173,Setup!$B$16)+1),"")</f>
        <v/>
      </c>
      <c r="D178" s="106" t="str">
        <f>IF(INT(173/Setup!$B$16)+1&lt;=Setup!$B$6,INDEX(Scores!$E$4:$E$227,(INT(173/Setup!$B$16)+1-1)*28+MOD(173,Setup!$B$16)+1),"")</f>
        <v/>
      </c>
      <c r="E178" s="107"/>
      <c r="F178" s="107"/>
      <c r="G178" s="108" t="str">
        <f>IF(INT(173/Setup!$B$16)+1&lt;=Setup!$B$6,INDEX(Scores!$G$4:$G$227,(INT(173/Setup!$B$16)+1-1)*28+MOD(173,Setup!$B$16)+1),"")</f>
        <v/>
      </c>
      <c r="H178" s="33" t="str">
        <f>IF(A178="","",IF(INDEX(Scores!$I$4:$I$227,(INT(173/Setup!$B$16)+1-1)*28+MOD(173,Setup!$B$16)+1)=1,"Complete","Waiting"))</f>
        <v/>
      </c>
      <c r="I178" s="33" t="str">
        <f t="shared" si="2"/>
        <v/>
      </c>
    </row>
    <row r="179" spans="1:9">
      <c r="A179" s="33" t="str">
        <f>IF(INT(174/Setup!$B$16)+1&lt;=Setup!$B$6,INDEX(Scores!$A$4:$A$227,(INT(174/Setup!$B$16)+1-1)*28+MOD(174,Setup!$B$16)+1),"")</f>
        <v/>
      </c>
      <c r="B179" s="33" t="str">
        <f>IF(INT(174/Setup!$B$16)+1&lt;=Setup!$B$6,INDEX(Setup!$B$22:$B$29,INT(174/Setup!$B$16)+1),"")</f>
        <v/>
      </c>
      <c r="C179" s="45" t="str">
        <f>IF(INT(174/Setup!$B$16)+1&lt;=Setup!$B$6,INDEX(Scores!$D$4:$D$227,(INT(174/Setup!$B$16)+1-1)*28+MOD(174,Setup!$B$16)+1),"")</f>
        <v/>
      </c>
      <c r="D179" s="106" t="str">
        <f>IF(INT(174/Setup!$B$16)+1&lt;=Setup!$B$6,INDEX(Scores!$E$4:$E$227,(INT(174/Setup!$B$16)+1-1)*28+MOD(174,Setup!$B$16)+1),"")</f>
        <v/>
      </c>
      <c r="E179" s="107"/>
      <c r="F179" s="107"/>
      <c r="G179" s="108" t="str">
        <f>IF(INT(174/Setup!$B$16)+1&lt;=Setup!$B$6,INDEX(Scores!$G$4:$G$227,(INT(174/Setup!$B$16)+1-1)*28+MOD(174,Setup!$B$16)+1),"")</f>
        <v/>
      </c>
      <c r="H179" s="33" t="str">
        <f>IF(A179="","",IF(INDEX(Scores!$I$4:$I$227,(INT(174/Setup!$B$16)+1-1)*28+MOD(174,Setup!$B$16)+1)=1,"Complete","Waiting"))</f>
        <v/>
      </c>
      <c r="I179" s="33" t="str">
        <f t="shared" si="2"/>
        <v/>
      </c>
    </row>
    <row r="180" spans="1:9">
      <c r="A180" s="33" t="str">
        <f>IF(INT(175/Setup!$B$16)+1&lt;=Setup!$B$6,INDEX(Scores!$A$4:$A$227,(INT(175/Setup!$B$16)+1-1)*28+MOD(175,Setup!$B$16)+1),"")</f>
        <v/>
      </c>
      <c r="B180" s="33" t="str">
        <f>IF(INT(175/Setup!$B$16)+1&lt;=Setup!$B$6,INDEX(Setup!$B$22:$B$29,INT(175/Setup!$B$16)+1),"")</f>
        <v/>
      </c>
      <c r="C180" s="45" t="str">
        <f>IF(INT(175/Setup!$B$16)+1&lt;=Setup!$B$6,INDEX(Scores!$D$4:$D$227,(INT(175/Setup!$B$16)+1-1)*28+MOD(175,Setup!$B$16)+1),"")</f>
        <v/>
      </c>
      <c r="D180" s="106" t="str">
        <f>IF(INT(175/Setup!$B$16)+1&lt;=Setup!$B$6,INDEX(Scores!$E$4:$E$227,(INT(175/Setup!$B$16)+1-1)*28+MOD(175,Setup!$B$16)+1),"")</f>
        <v/>
      </c>
      <c r="E180" s="107"/>
      <c r="F180" s="107"/>
      <c r="G180" s="108" t="str">
        <f>IF(INT(175/Setup!$B$16)+1&lt;=Setup!$B$6,INDEX(Scores!$G$4:$G$227,(INT(175/Setup!$B$16)+1-1)*28+MOD(175,Setup!$B$16)+1),"")</f>
        <v/>
      </c>
      <c r="H180" s="33" t="str">
        <f>IF(A180="","",IF(INDEX(Scores!$I$4:$I$227,(INT(175/Setup!$B$16)+1-1)*28+MOD(175,Setup!$B$16)+1)=1,"Complete","Waiting"))</f>
        <v/>
      </c>
      <c r="I180" s="33" t="str">
        <f t="shared" si="2"/>
        <v/>
      </c>
    </row>
    <row r="181" spans="1:9">
      <c r="A181" s="33" t="str">
        <f>IF(INT(176/Setup!$B$16)+1&lt;=Setup!$B$6,INDEX(Scores!$A$4:$A$227,(INT(176/Setup!$B$16)+1-1)*28+MOD(176,Setup!$B$16)+1),"")</f>
        <v/>
      </c>
      <c r="B181" s="33" t="str">
        <f>IF(INT(176/Setup!$B$16)+1&lt;=Setup!$B$6,INDEX(Setup!$B$22:$B$29,INT(176/Setup!$B$16)+1),"")</f>
        <v/>
      </c>
      <c r="C181" s="45" t="str">
        <f>IF(INT(176/Setup!$B$16)+1&lt;=Setup!$B$6,INDEX(Scores!$D$4:$D$227,(INT(176/Setup!$B$16)+1-1)*28+MOD(176,Setup!$B$16)+1),"")</f>
        <v/>
      </c>
      <c r="D181" s="106" t="str">
        <f>IF(INT(176/Setup!$B$16)+1&lt;=Setup!$B$6,INDEX(Scores!$E$4:$E$227,(INT(176/Setup!$B$16)+1-1)*28+MOD(176,Setup!$B$16)+1),"")</f>
        <v/>
      </c>
      <c r="E181" s="107"/>
      <c r="F181" s="107"/>
      <c r="G181" s="108" t="str">
        <f>IF(INT(176/Setup!$B$16)+1&lt;=Setup!$B$6,INDEX(Scores!$G$4:$G$227,(INT(176/Setup!$B$16)+1-1)*28+MOD(176,Setup!$B$16)+1),"")</f>
        <v/>
      </c>
      <c r="H181" s="33" t="str">
        <f>IF(A181="","",IF(INDEX(Scores!$I$4:$I$227,(INT(176/Setup!$B$16)+1-1)*28+MOD(176,Setup!$B$16)+1)=1,"Complete","Waiting"))</f>
        <v/>
      </c>
      <c r="I181" s="33" t="str">
        <f t="shared" si="2"/>
        <v/>
      </c>
    </row>
    <row r="182" spans="1:9">
      <c r="A182" s="33" t="str">
        <f>IF(INT(177/Setup!$B$16)+1&lt;=Setup!$B$6,INDEX(Scores!$A$4:$A$227,(INT(177/Setup!$B$16)+1-1)*28+MOD(177,Setup!$B$16)+1),"")</f>
        <v/>
      </c>
      <c r="B182" s="33" t="str">
        <f>IF(INT(177/Setup!$B$16)+1&lt;=Setup!$B$6,INDEX(Setup!$B$22:$B$29,INT(177/Setup!$B$16)+1),"")</f>
        <v/>
      </c>
      <c r="C182" s="45" t="str">
        <f>IF(INT(177/Setup!$B$16)+1&lt;=Setup!$B$6,INDEX(Scores!$D$4:$D$227,(INT(177/Setup!$B$16)+1-1)*28+MOD(177,Setup!$B$16)+1),"")</f>
        <v/>
      </c>
      <c r="D182" s="106" t="str">
        <f>IF(INT(177/Setup!$B$16)+1&lt;=Setup!$B$6,INDEX(Scores!$E$4:$E$227,(INT(177/Setup!$B$16)+1-1)*28+MOD(177,Setup!$B$16)+1),"")</f>
        <v/>
      </c>
      <c r="E182" s="107"/>
      <c r="F182" s="107"/>
      <c r="G182" s="108" t="str">
        <f>IF(INT(177/Setup!$B$16)+1&lt;=Setup!$B$6,INDEX(Scores!$G$4:$G$227,(INT(177/Setup!$B$16)+1-1)*28+MOD(177,Setup!$B$16)+1),"")</f>
        <v/>
      </c>
      <c r="H182" s="33" t="str">
        <f>IF(A182="","",IF(INDEX(Scores!$I$4:$I$227,(INT(177/Setup!$B$16)+1-1)*28+MOD(177,Setup!$B$16)+1)=1,"Complete","Waiting"))</f>
        <v/>
      </c>
      <c r="I182" s="33" t="str">
        <f t="shared" si="2"/>
        <v/>
      </c>
    </row>
    <row r="183" spans="1:9">
      <c r="A183" s="33" t="str">
        <f>IF(INT(178/Setup!$B$16)+1&lt;=Setup!$B$6,INDEX(Scores!$A$4:$A$227,(INT(178/Setup!$B$16)+1-1)*28+MOD(178,Setup!$B$16)+1),"")</f>
        <v/>
      </c>
      <c r="B183" s="33" t="str">
        <f>IF(INT(178/Setup!$B$16)+1&lt;=Setup!$B$6,INDEX(Setup!$B$22:$B$29,INT(178/Setup!$B$16)+1),"")</f>
        <v/>
      </c>
      <c r="C183" s="45" t="str">
        <f>IF(INT(178/Setup!$B$16)+1&lt;=Setup!$B$6,INDEX(Scores!$D$4:$D$227,(INT(178/Setup!$B$16)+1-1)*28+MOD(178,Setup!$B$16)+1),"")</f>
        <v/>
      </c>
      <c r="D183" s="106" t="str">
        <f>IF(INT(178/Setup!$B$16)+1&lt;=Setup!$B$6,INDEX(Scores!$E$4:$E$227,(INT(178/Setup!$B$16)+1-1)*28+MOD(178,Setup!$B$16)+1),"")</f>
        <v/>
      </c>
      <c r="E183" s="107"/>
      <c r="F183" s="107"/>
      <c r="G183" s="108" t="str">
        <f>IF(INT(178/Setup!$B$16)+1&lt;=Setup!$B$6,INDEX(Scores!$G$4:$G$227,(INT(178/Setup!$B$16)+1-1)*28+MOD(178,Setup!$B$16)+1),"")</f>
        <v/>
      </c>
      <c r="H183" s="33" t="str">
        <f>IF(A183="","",IF(INDEX(Scores!$I$4:$I$227,(INT(178/Setup!$B$16)+1-1)*28+MOD(178,Setup!$B$16)+1)=1,"Complete","Waiting"))</f>
        <v/>
      </c>
      <c r="I183" s="33" t="str">
        <f t="shared" si="2"/>
        <v/>
      </c>
    </row>
    <row r="184" spans="1:9">
      <c r="A184" s="33" t="str">
        <f>IF(INT(179/Setup!$B$16)+1&lt;=Setup!$B$6,INDEX(Scores!$A$4:$A$227,(INT(179/Setup!$B$16)+1-1)*28+MOD(179,Setup!$B$16)+1),"")</f>
        <v/>
      </c>
      <c r="B184" s="33" t="str">
        <f>IF(INT(179/Setup!$B$16)+1&lt;=Setup!$B$6,INDEX(Setup!$B$22:$B$29,INT(179/Setup!$B$16)+1),"")</f>
        <v/>
      </c>
      <c r="C184" s="45" t="str">
        <f>IF(INT(179/Setup!$B$16)+1&lt;=Setup!$B$6,INDEX(Scores!$D$4:$D$227,(INT(179/Setup!$B$16)+1-1)*28+MOD(179,Setup!$B$16)+1),"")</f>
        <v/>
      </c>
      <c r="D184" s="106" t="str">
        <f>IF(INT(179/Setup!$B$16)+1&lt;=Setup!$B$6,INDEX(Scores!$E$4:$E$227,(INT(179/Setup!$B$16)+1-1)*28+MOD(179,Setup!$B$16)+1),"")</f>
        <v/>
      </c>
      <c r="E184" s="107"/>
      <c r="F184" s="107"/>
      <c r="G184" s="108" t="str">
        <f>IF(INT(179/Setup!$B$16)+1&lt;=Setup!$B$6,INDEX(Scores!$G$4:$G$227,(INT(179/Setup!$B$16)+1-1)*28+MOD(179,Setup!$B$16)+1),"")</f>
        <v/>
      </c>
      <c r="H184" s="33" t="str">
        <f>IF(A184="","",IF(INDEX(Scores!$I$4:$I$227,(INT(179/Setup!$B$16)+1-1)*28+MOD(179,Setup!$B$16)+1)=1,"Complete","Waiting"))</f>
        <v/>
      </c>
      <c r="I184" s="33" t="str">
        <f t="shared" si="2"/>
        <v/>
      </c>
    </row>
    <row r="185" spans="1:9">
      <c r="A185" s="33" t="str">
        <f>IF(INT(180/Setup!$B$16)+1&lt;=Setup!$B$6,INDEX(Scores!$A$4:$A$227,(INT(180/Setup!$B$16)+1-1)*28+MOD(180,Setup!$B$16)+1),"")</f>
        <v/>
      </c>
      <c r="B185" s="33" t="str">
        <f>IF(INT(180/Setup!$B$16)+1&lt;=Setup!$B$6,INDEX(Setup!$B$22:$B$29,INT(180/Setup!$B$16)+1),"")</f>
        <v/>
      </c>
      <c r="C185" s="45" t="str">
        <f>IF(INT(180/Setup!$B$16)+1&lt;=Setup!$B$6,INDEX(Scores!$D$4:$D$227,(INT(180/Setup!$B$16)+1-1)*28+MOD(180,Setup!$B$16)+1),"")</f>
        <v/>
      </c>
      <c r="D185" s="106" t="str">
        <f>IF(INT(180/Setup!$B$16)+1&lt;=Setup!$B$6,INDEX(Scores!$E$4:$E$227,(INT(180/Setup!$B$16)+1-1)*28+MOD(180,Setup!$B$16)+1),"")</f>
        <v/>
      </c>
      <c r="E185" s="107"/>
      <c r="F185" s="107"/>
      <c r="G185" s="108" t="str">
        <f>IF(INT(180/Setup!$B$16)+1&lt;=Setup!$B$6,INDEX(Scores!$G$4:$G$227,(INT(180/Setup!$B$16)+1-1)*28+MOD(180,Setup!$B$16)+1),"")</f>
        <v/>
      </c>
      <c r="H185" s="33" t="str">
        <f>IF(A185="","",IF(INDEX(Scores!$I$4:$I$227,(INT(180/Setup!$B$16)+1-1)*28+MOD(180,Setup!$B$16)+1)=1,"Complete","Waiting"))</f>
        <v/>
      </c>
      <c r="I185" s="33" t="str">
        <f t="shared" si="2"/>
        <v/>
      </c>
    </row>
    <row r="186" spans="1:9">
      <c r="A186" s="33" t="str">
        <f>IF(INT(181/Setup!$B$16)+1&lt;=Setup!$B$6,INDEX(Scores!$A$4:$A$227,(INT(181/Setup!$B$16)+1-1)*28+MOD(181,Setup!$B$16)+1),"")</f>
        <v/>
      </c>
      <c r="B186" s="33" t="str">
        <f>IF(INT(181/Setup!$B$16)+1&lt;=Setup!$B$6,INDEX(Setup!$B$22:$B$29,INT(181/Setup!$B$16)+1),"")</f>
        <v/>
      </c>
      <c r="C186" s="45" t="str">
        <f>IF(INT(181/Setup!$B$16)+1&lt;=Setup!$B$6,INDEX(Scores!$D$4:$D$227,(INT(181/Setup!$B$16)+1-1)*28+MOD(181,Setup!$B$16)+1),"")</f>
        <v/>
      </c>
      <c r="D186" s="106" t="str">
        <f>IF(INT(181/Setup!$B$16)+1&lt;=Setup!$B$6,INDEX(Scores!$E$4:$E$227,(INT(181/Setup!$B$16)+1-1)*28+MOD(181,Setup!$B$16)+1),"")</f>
        <v/>
      </c>
      <c r="E186" s="107"/>
      <c r="F186" s="107"/>
      <c r="G186" s="108" t="str">
        <f>IF(INT(181/Setup!$B$16)+1&lt;=Setup!$B$6,INDEX(Scores!$G$4:$G$227,(INT(181/Setup!$B$16)+1-1)*28+MOD(181,Setup!$B$16)+1),"")</f>
        <v/>
      </c>
      <c r="H186" s="33" t="str">
        <f>IF(A186="","",IF(INDEX(Scores!$I$4:$I$227,(INT(181/Setup!$B$16)+1-1)*28+MOD(181,Setup!$B$16)+1)=1,"Complete","Waiting"))</f>
        <v/>
      </c>
      <c r="I186" s="33" t="str">
        <f t="shared" si="2"/>
        <v/>
      </c>
    </row>
    <row r="187" spans="1:9">
      <c r="A187" s="33" t="str">
        <f>IF(INT(182/Setup!$B$16)+1&lt;=Setup!$B$6,INDEX(Scores!$A$4:$A$227,(INT(182/Setup!$B$16)+1-1)*28+MOD(182,Setup!$B$16)+1),"")</f>
        <v/>
      </c>
      <c r="B187" s="33" t="str">
        <f>IF(INT(182/Setup!$B$16)+1&lt;=Setup!$B$6,INDEX(Setup!$B$22:$B$29,INT(182/Setup!$B$16)+1),"")</f>
        <v/>
      </c>
      <c r="C187" s="45" t="str">
        <f>IF(INT(182/Setup!$B$16)+1&lt;=Setup!$B$6,INDEX(Scores!$D$4:$D$227,(INT(182/Setup!$B$16)+1-1)*28+MOD(182,Setup!$B$16)+1),"")</f>
        <v/>
      </c>
      <c r="D187" s="106" t="str">
        <f>IF(INT(182/Setup!$B$16)+1&lt;=Setup!$B$6,INDEX(Scores!$E$4:$E$227,(INT(182/Setup!$B$16)+1-1)*28+MOD(182,Setup!$B$16)+1),"")</f>
        <v/>
      </c>
      <c r="E187" s="107"/>
      <c r="F187" s="107"/>
      <c r="G187" s="108" t="str">
        <f>IF(INT(182/Setup!$B$16)+1&lt;=Setup!$B$6,INDEX(Scores!$G$4:$G$227,(INT(182/Setup!$B$16)+1-1)*28+MOD(182,Setup!$B$16)+1),"")</f>
        <v/>
      </c>
      <c r="H187" s="33" t="str">
        <f>IF(A187="","",IF(INDEX(Scores!$I$4:$I$227,(INT(182/Setup!$B$16)+1-1)*28+MOD(182,Setup!$B$16)+1)=1,"Complete","Waiting"))</f>
        <v/>
      </c>
      <c r="I187" s="33" t="str">
        <f t="shared" si="2"/>
        <v/>
      </c>
    </row>
    <row r="188" spans="1:9">
      <c r="A188" s="33" t="str">
        <f>IF(INT(183/Setup!$B$16)+1&lt;=Setup!$B$6,INDEX(Scores!$A$4:$A$227,(INT(183/Setup!$B$16)+1-1)*28+MOD(183,Setup!$B$16)+1),"")</f>
        <v/>
      </c>
      <c r="B188" s="33" t="str">
        <f>IF(INT(183/Setup!$B$16)+1&lt;=Setup!$B$6,INDEX(Setup!$B$22:$B$29,INT(183/Setup!$B$16)+1),"")</f>
        <v/>
      </c>
      <c r="C188" s="45" t="str">
        <f>IF(INT(183/Setup!$B$16)+1&lt;=Setup!$B$6,INDEX(Scores!$D$4:$D$227,(INT(183/Setup!$B$16)+1-1)*28+MOD(183,Setup!$B$16)+1),"")</f>
        <v/>
      </c>
      <c r="D188" s="106" t="str">
        <f>IF(INT(183/Setup!$B$16)+1&lt;=Setup!$B$6,INDEX(Scores!$E$4:$E$227,(INT(183/Setup!$B$16)+1-1)*28+MOD(183,Setup!$B$16)+1),"")</f>
        <v/>
      </c>
      <c r="E188" s="107"/>
      <c r="F188" s="107"/>
      <c r="G188" s="108" t="str">
        <f>IF(INT(183/Setup!$B$16)+1&lt;=Setup!$B$6,INDEX(Scores!$G$4:$G$227,(INT(183/Setup!$B$16)+1-1)*28+MOD(183,Setup!$B$16)+1),"")</f>
        <v/>
      </c>
      <c r="H188" s="33" t="str">
        <f>IF(A188="","",IF(INDEX(Scores!$I$4:$I$227,(INT(183/Setup!$B$16)+1-1)*28+MOD(183,Setup!$B$16)+1)=1,"Complete","Waiting"))</f>
        <v/>
      </c>
      <c r="I188" s="33" t="str">
        <f t="shared" si="2"/>
        <v/>
      </c>
    </row>
    <row r="189" spans="1:9">
      <c r="A189" s="33" t="str">
        <f>IF(INT(184/Setup!$B$16)+1&lt;=Setup!$B$6,INDEX(Scores!$A$4:$A$227,(INT(184/Setup!$B$16)+1-1)*28+MOD(184,Setup!$B$16)+1),"")</f>
        <v/>
      </c>
      <c r="B189" s="33" t="str">
        <f>IF(INT(184/Setup!$B$16)+1&lt;=Setup!$B$6,INDEX(Setup!$B$22:$B$29,INT(184/Setup!$B$16)+1),"")</f>
        <v/>
      </c>
      <c r="C189" s="45" t="str">
        <f>IF(INT(184/Setup!$B$16)+1&lt;=Setup!$B$6,INDEX(Scores!$D$4:$D$227,(INT(184/Setup!$B$16)+1-1)*28+MOD(184,Setup!$B$16)+1),"")</f>
        <v/>
      </c>
      <c r="D189" s="106" t="str">
        <f>IF(INT(184/Setup!$B$16)+1&lt;=Setup!$B$6,INDEX(Scores!$E$4:$E$227,(INT(184/Setup!$B$16)+1-1)*28+MOD(184,Setup!$B$16)+1),"")</f>
        <v/>
      </c>
      <c r="E189" s="107"/>
      <c r="F189" s="107"/>
      <c r="G189" s="108" t="str">
        <f>IF(INT(184/Setup!$B$16)+1&lt;=Setup!$B$6,INDEX(Scores!$G$4:$G$227,(INT(184/Setup!$B$16)+1-1)*28+MOD(184,Setup!$B$16)+1),"")</f>
        <v/>
      </c>
      <c r="H189" s="33" t="str">
        <f>IF(A189="","",IF(INDEX(Scores!$I$4:$I$227,(INT(184/Setup!$B$16)+1-1)*28+MOD(184,Setup!$B$16)+1)=1,"Complete","Waiting"))</f>
        <v/>
      </c>
      <c r="I189" s="33" t="str">
        <f t="shared" si="2"/>
        <v/>
      </c>
    </row>
    <row r="190" spans="1:9">
      <c r="A190" s="33" t="str">
        <f>IF(INT(185/Setup!$B$16)+1&lt;=Setup!$B$6,INDEX(Scores!$A$4:$A$227,(INT(185/Setup!$B$16)+1-1)*28+MOD(185,Setup!$B$16)+1),"")</f>
        <v/>
      </c>
      <c r="B190" s="33" t="str">
        <f>IF(INT(185/Setup!$B$16)+1&lt;=Setup!$B$6,INDEX(Setup!$B$22:$B$29,INT(185/Setup!$B$16)+1),"")</f>
        <v/>
      </c>
      <c r="C190" s="45" t="str">
        <f>IF(INT(185/Setup!$B$16)+1&lt;=Setup!$B$6,INDEX(Scores!$D$4:$D$227,(INT(185/Setup!$B$16)+1-1)*28+MOD(185,Setup!$B$16)+1),"")</f>
        <v/>
      </c>
      <c r="D190" s="106" t="str">
        <f>IF(INT(185/Setup!$B$16)+1&lt;=Setup!$B$6,INDEX(Scores!$E$4:$E$227,(INT(185/Setup!$B$16)+1-1)*28+MOD(185,Setup!$B$16)+1),"")</f>
        <v/>
      </c>
      <c r="E190" s="107"/>
      <c r="F190" s="107"/>
      <c r="G190" s="108" t="str">
        <f>IF(INT(185/Setup!$B$16)+1&lt;=Setup!$B$6,INDEX(Scores!$G$4:$G$227,(INT(185/Setup!$B$16)+1-1)*28+MOD(185,Setup!$B$16)+1),"")</f>
        <v/>
      </c>
      <c r="H190" s="33" t="str">
        <f>IF(A190="","",IF(INDEX(Scores!$I$4:$I$227,(INT(185/Setup!$B$16)+1-1)*28+MOD(185,Setup!$B$16)+1)=1,"Complete","Waiting"))</f>
        <v/>
      </c>
      <c r="I190" s="33" t="str">
        <f t="shared" si="2"/>
        <v/>
      </c>
    </row>
    <row r="191" spans="1:9">
      <c r="A191" s="33" t="str">
        <f>IF(INT(186/Setup!$B$16)+1&lt;=Setup!$B$6,INDEX(Scores!$A$4:$A$227,(INT(186/Setup!$B$16)+1-1)*28+MOD(186,Setup!$B$16)+1),"")</f>
        <v/>
      </c>
      <c r="B191" s="33" t="str">
        <f>IF(INT(186/Setup!$B$16)+1&lt;=Setup!$B$6,INDEX(Setup!$B$22:$B$29,INT(186/Setup!$B$16)+1),"")</f>
        <v/>
      </c>
      <c r="C191" s="45" t="str">
        <f>IF(INT(186/Setup!$B$16)+1&lt;=Setup!$B$6,INDEX(Scores!$D$4:$D$227,(INT(186/Setup!$B$16)+1-1)*28+MOD(186,Setup!$B$16)+1),"")</f>
        <v/>
      </c>
      <c r="D191" s="106" t="str">
        <f>IF(INT(186/Setup!$B$16)+1&lt;=Setup!$B$6,INDEX(Scores!$E$4:$E$227,(INT(186/Setup!$B$16)+1-1)*28+MOD(186,Setup!$B$16)+1),"")</f>
        <v/>
      </c>
      <c r="E191" s="107"/>
      <c r="F191" s="107"/>
      <c r="G191" s="108" t="str">
        <f>IF(INT(186/Setup!$B$16)+1&lt;=Setup!$B$6,INDEX(Scores!$G$4:$G$227,(INT(186/Setup!$B$16)+1-1)*28+MOD(186,Setup!$B$16)+1),"")</f>
        <v/>
      </c>
      <c r="H191" s="33" t="str">
        <f>IF(A191="","",IF(INDEX(Scores!$I$4:$I$227,(INT(186/Setup!$B$16)+1-1)*28+MOD(186,Setup!$B$16)+1)=1,"Complete","Waiting"))</f>
        <v/>
      </c>
      <c r="I191" s="33" t="str">
        <f t="shared" si="2"/>
        <v/>
      </c>
    </row>
    <row r="192" spans="1:9">
      <c r="A192" s="33" t="str">
        <f>IF(INT(187/Setup!$B$16)+1&lt;=Setup!$B$6,INDEX(Scores!$A$4:$A$227,(INT(187/Setup!$B$16)+1-1)*28+MOD(187,Setup!$B$16)+1),"")</f>
        <v/>
      </c>
      <c r="B192" s="33" t="str">
        <f>IF(INT(187/Setup!$B$16)+1&lt;=Setup!$B$6,INDEX(Setup!$B$22:$B$29,INT(187/Setup!$B$16)+1),"")</f>
        <v/>
      </c>
      <c r="C192" s="45" t="str">
        <f>IF(INT(187/Setup!$B$16)+1&lt;=Setup!$B$6,INDEX(Scores!$D$4:$D$227,(INT(187/Setup!$B$16)+1-1)*28+MOD(187,Setup!$B$16)+1),"")</f>
        <v/>
      </c>
      <c r="D192" s="106" t="str">
        <f>IF(INT(187/Setup!$B$16)+1&lt;=Setup!$B$6,INDEX(Scores!$E$4:$E$227,(INT(187/Setup!$B$16)+1-1)*28+MOD(187,Setup!$B$16)+1),"")</f>
        <v/>
      </c>
      <c r="E192" s="107"/>
      <c r="F192" s="107"/>
      <c r="G192" s="108" t="str">
        <f>IF(INT(187/Setup!$B$16)+1&lt;=Setup!$B$6,INDEX(Scores!$G$4:$G$227,(INT(187/Setup!$B$16)+1-1)*28+MOD(187,Setup!$B$16)+1),"")</f>
        <v/>
      </c>
      <c r="H192" s="33" t="str">
        <f>IF(A192="","",IF(INDEX(Scores!$I$4:$I$227,(INT(187/Setup!$B$16)+1-1)*28+MOD(187,Setup!$B$16)+1)=1,"Complete","Waiting"))</f>
        <v/>
      </c>
      <c r="I192" s="33" t="str">
        <f t="shared" si="2"/>
        <v/>
      </c>
    </row>
    <row r="193" spans="1:9">
      <c r="A193" s="33" t="str">
        <f>IF(INT(188/Setup!$B$16)+1&lt;=Setup!$B$6,INDEX(Scores!$A$4:$A$227,(INT(188/Setup!$B$16)+1-1)*28+MOD(188,Setup!$B$16)+1),"")</f>
        <v/>
      </c>
      <c r="B193" s="33" t="str">
        <f>IF(INT(188/Setup!$B$16)+1&lt;=Setup!$B$6,INDEX(Setup!$B$22:$B$29,INT(188/Setup!$B$16)+1),"")</f>
        <v/>
      </c>
      <c r="C193" s="45" t="str">
        <f>IF(INT(188/Setup!$B$16)+1&lt;=Setup!$B$6,INDEX(Scores!$D$4:$D$227,(INT(188/Setup!$B$16)+1-1)*28+MOD(188,Setup!$B$16)+1),"")</f>
        <v/>
      </c>
      <c r="D193" s="106" t="str">
        <f>IF(INT(188/Setup!$B$16)+1&lt;=Setup!$B$6,INDEX(Scores!$E$4:$E$227,(INT(188/Setup!$B$16)+1-1)*28+MOD(188,Setup!$B$16)+1),"")</f>
        <v/>
      </c>
      <c r="E193" s="107"/>
      <c r="F193" s="107"/>
      <c r="G193" s="108" t="str">
        <f>IF(INT(188/Setup!$B$16)+1&lt;=Setup!$B$6,INDEX(Scores!$G$4:$G$227,(INT(188/Setup!$B$16)+1-1)*28+MOD(188,Setup!$B$16)+1),"")</f>
        <v/>
      </c>
      <c r="H193" s="33" t="str">
        <f>IF(A193="","",IF(INDEX(Scores!$I$4:$I$227,(INT(188/Setup!$B$16)+1-1)*28+MOD(188,Setup!$B$16)+1)=1,"Complete","Waiting"))</f>
        <v/>
      </c>
      <c r="I193" s="33" t="str">
        <f t="shared" si="2"/>
        <v/>
      </c>
    </row>
    <row r="194" spans="1:9">
      <c r="A194" s="33" t="str">
        <f>IF(INT(189/Setup!$B$16)+1&lt;=Setup!$B$6,INDEX(Scores!$A$4:$A$227,(INT(189/Setup!$B$16)+1-1)*28+MOD(189,Setup!$B$16)+1),"")</f>
        <v/>
      </c>
      <c r="B194" s="33" t="str">
        <f>IF(INT(189/Setup!$B$16)+1&lt;=Setup!$B$6,INDEX(Setup!$B$22:$B$29,INT(189/Setup!$B$16)+1),"")</f>
        <v/>
      </c>
      <c r="C194" s="45" t="str">
        <f>IF(INT(189/Setup!$B$16)+1&lt;=Setup!$B$6,INDEX(Scores!$D$4:$D$227,(INT(189/Setup!$B$16)+1-1)*28+MOD(189,Setup!$B$16)+1),"")</f>
        <v/>
      </c>
      <c r="D194" s="106" t="str">
        <f>IF(INT(189/Setup!$B$16)+1&lt;=Setup!$B$6,INDEX(Scores!$E$4:$E$227,(INT(189/Setup!$B$16)+1-1)*28+MOD(189,Setup!$B$16)+1),"")</f>
        <v/>
      </c>
      <c r="E194" s="107"/>
      <c r="F194" s="107"/>
      <c r="G194" s="108" t="str">
        <f>IF(INT(189/Setup!$B$16)+1&lt;=Setup!$B$6,INDEX(Scores!$G$4:$G$227,(INT(189/Setup!$B$16)+1-1)*28+MOD(189,Setup!$B$16)+1),"")</f>
        <v/>
      </c>
      <c r="H194" s="33" t="str">
        <f>IF(A194="","",IF(INDEX(Scores!$I$4:$I$227,(INT(189/Setup!$B$16)+1-1)*28+MOD(189,Setup!$B$16)+1)=1,"Complete","Waiting"))</f>
        <v/>
      </c>
      <c r="I194" s="33" t="str">
        <f t="shared" si="2"/>
        <v/>
      </c>
    </row>
    <row r="195" spans="1:9">
      <c r="A195" s="33" t="str">
        <f>IF(INT(190/Setup!$B$16)+1&lt;=Setup!$B$6,INDEX(Scores!$A$4:$A$227,(INT(190/Setup!$B$16)+1-1)*28+MOD(190,Setup!$B$16)+1),"")</f>
        <v/>
      </c>
      <c r="B195" s="33" t="str">
        <f>IF(INT(190/Setup!$B$16)+1&lt;=Setup!$B$6,INDEX(Setup!$B$22:$B$29,INT(190/Setup!$B$16)+1),"")</f>
        <v/>
      </c>
      <c r="C195" s="45" t="str">
        <f>IF(INT(190/Setup!$B$16)+1&lt;=Setup!$B$6,INDEX(Scores!$D$4:$D$227,(INT(190/Setup!$B$16)+1-1)*28+MOD(190,Setup!$B$16)+1),"")</f>
        <v/>
      </c>
      <c r="D195" s="106" t="str">
        <f>IF(INT(190/Setup!$B$16)+1&lt;=Setup!$B$6,INDEX(Scores!$E$4:$E$227,(INT(190/Setup!$B$16)+1-1)*28+MOD(190,Setup!$B$16)+1),"")</f>
        <v/>
      </c>
      <c r="E195" s="107"/>
      <c r="F195" s="107"/>
      <c r="G195" s="108" t="str">
        <f>IF(INT(190/Setup!$B$16)+1&lt;=Setup!$B$6,INDEX(Scores!$G$4:$G$227,(INT(190/Setup!$B$16)+1-1)*28+MOD(190,Setup!$B$16)+1),"")</f>
        <v/>
      </c>
      <c r="H195" s="33" t="str">
        <f>IF(A195="","",IF(INDEX(Scores!$I$4:$I$227,(INT(190/Setup!$B$16)+1-1)*28+MOD(190,Setup!$B$16)+1)=1,"Complete","Waiting"))</f>
        <v/>
      </c>
      <c r="I195" s="33" t="str">
        <f t="shared" si="2"/>
        <v/>
      </c>
    </row>
    <row r="196" spans="1:9">
      <c r="A196" s="33" t="str">
        <f>IF(INT(191/Setup!$B$16)+1&lt;=Setup!$B$6,INDEX(Scores!$A$4:$A$227,(INT(191/Setup!$B$16)+1-1)*28+MOD(191,Setup!$B$16)+1),"")</f>
        <v/>
      </c>
      <c r="B196" s="33" t="str">
        <f>IF(INT(191/Setup!$B$16)+1&lt;=Setup!$B$6,INDEX(Setup!$B$22:$B$29,INT(191/Setup!$B$16)+1),"")</f>
        <v/>
      </c>
      <c r="C196" s="45" t="str">
        <f>IF(INT(191/Setup!$B$16)+1&lt;=Setup!$B$6,INDEX(Scores!$D$4:$D$227,(INT(191/Setup!$B$16)+1-1)*28+MOD(191,Setup!$B$16)+1),"")</f>
        <v/>
      </c>
      <c r="D196" s="106" t="str">
        <f>IF(INT(191/Setup!$B$16)+1&lt;=Setup!$B$6,INDEX(Scores!$E$4:$E$227,(INT(191/Setup!$B$16)+1-1)*28+MOD(191,Setup!$B$16)+1),"")</f>
        <v/>
      </c>
      <c r="E196" s="107"/>
      <c r="F196" s="107"/>
      <c r="G196" s="108" t="str">
        <f>IF(INT(191/Setup!$B$16)+1&lt;=Setup!$B$6,INDEX(Scores!$G$4:$G$227,(INT(191/Setup!$B$16)+1-1)*28+MOD(191,Setup!$B$16)+1),"")</f>
        <v/>
      </c>
      <c r="H196" s="33" t="str">
        <f>IF(A196="","",IF(INDEX(Scores!$I$4:$I$227,(INT(191/Setup!$B$16)+1-1)*28+MOD(191,Setup!$B$16)+1)=1,"Complete","Waiting"))</f>
        <v/>
      </c>
      <c r="I196" s="33" t="str">
        <f t="shared" si="2"/>
        <v/>
      </c>
    </row>
    <row r="197" spans="1:9">
      <c r="A197" s="33" t="str">
        <f>IF(INT(192/Setup!$B$16)+1&lt;=Setup!$B$6,INDEX(Scores!$A$4:$A$227,(INT(192/Setup!$B$16)+1-1)*28+MOD(192,Setup!$B$16)+1),"")</f>
        <v/>
      </c>
      <c r="B197" s="33" t="str">
        <f>IF(INT(192/Setup!$B$16)+1&lt;=Setup!$B$6,INDEX(Setup!$B$22:$B$29,INT(192/Setup!$B$16)+1),"")</f>
        <v/>
      </c>
      <c r="C197" s="45" t="str">
        <f>IF(INT(192/Setup!$B$16)+1&lt;=Setup!$B$6,INDEX(Scores!$D$4:$D$227,(INT(192/Setup!$B$16)+1-1)*28+MOD(192,Setup!$B$16)+1),"")</f>
        <v/>
      </c>
      <c r="D197" s="106" t="str">
        <f>IF(INT(192/Setup!$B$16)+1&lt;=Setup!$B$6,INDEX(Scores!$E$4:$E$227,(INT(192/Setup!$B$16)+1-1)*28+MOD(192,Setup!$B$16)+1),"")</f>
        <v/>
      </c>
      <c r="E197" s="107"/>
      <c r="F197" s="107"/>
      <c r="G197" s="108" t="str">
        <f>IF(INT(192/Setup!$B$16)+1&lt;=Setup!$B$6,INDEX(Scores!$G$4:$G$227,(INT(192/Setup!$B$16)+1-1)*28+MOD(192,Setup!$B$16)+1),"")</f>
        <v/>
      </c>
      <c r="H197" s="33" t="str">
        <f>IF(A197="","",IF(INDEX(Scores!$I$4:$I$227,(INT(192/Setup!$B$16)+1-1)*28+MOD(192,Setup!$B$16)+1)=1,"Complete","Waiting"))</f>
        <v/>
      </c>
      <c r="I197" s="33" t="str">
        <f t="shared" ref="I197:I228" si="3">IF(H197&lt;&gt;"Complete","",IF(E197&gt;F197,D197,IF(F197&gt;E197,G197,"Draw")))</f>
        <v/>
      </c>
    </row>
    <row r="198" spans="1:9">
      <c r="A198" s="33" t="str">
        <f>IF(INT(193/Setup!$B$16)+1&lt;=Setup!$B$6,INDEX(Scores!$A$4:$A$227,(INT(193/Setup!$B$16)+1-1)*28+MOD(193,Setup!$B$16)+1),"")</f>
        <v/>
      </c>
      <c r="B198" s="33" t="str">
        <f>IF(INT(193/Setup!$B$16)+1&lt;=Setup!$B$6,INDEX(Setup!$B$22:$B$29,INT(193/Setup!$B$16)+1),"")</f>
        <v/>
      </c>
      <c r="C198" s="45" t="str">
        <f>IF(INT(193/Setup!$B$16)+1&lt;=Setup!$B$6,INDEX(Scores!$D$4:$D$227,(INT(193/Setup!$B$16)+1-1)*28+MOD(193,Setup!$B$16)+1),"")</f>
        <v/>
      </c>
      <c r="D198" s="106" t="str">
        <f>IF(INT(193/Setup!$B$16)+1&lt;=Setup!$B$6,INDEX(Scores!$E$4:$E$227,(INT(193/Setup!$B$16)+1-1)*28+MOD(193,Setup!$B$16)+1),"")</f>
        <v/>
      </c>
      <c r="E198" s="107"/>
      <c r="F198" s="107"/>
      <c r="G198" s="108" t="str">
        <f>IF(INT(193/Setup!$B$16)+1&lt;=Setup!$B$6,INDEX(Scores!$G$4:$G$227,(INT(193/Setup!$B$16)+1-1)*28+MOD(193,Setup!$B$16)+1),"")</f>
        <v/>
      </c>
      <c r="H198" s="33" t="str">
        <f>IF(A198="","",IF(INDEX(Scores!$I$4:$I$227,(INT(193/Setup!$B$16)+1-1)*28+MOD(193,Setup!$B$16)+1)=1,"Complete","Waiting"))</f>
        <v/>
      </c>
      <c r="I198" s="33" t="str">
        <f t="shared" si="3"/>
        <v/>
      </c>
    </row>
    <row r="199" spans="1:9">
      <c r="A199" s="33" t="str">
        <f>IF(INT(194/Setup!$B$16)+1&lt;=Setup!$B$6,INDEX(Scores!$A$4:$A$227,(INT(194/Setup!$B$16)+1-1)*28+MOD(194,Setup!$B$16)+1),"")</f>
        <v/>
      </c>
      <c r="B199" s="33" t="str">
        <f>IF(INT(194/Setup!$B$16)+1&lt;=Setup!$B$6,INDEX(Setup!$B$22:$B$29,INT(194/Setup!$B$16)+1),"")</f>
        <v/>
      </c>
      <c r="C199" s="45" t="str">
        <f>IF(INT(194/Setup!$B$16)+1&lt;=Setup!$B$6,INDEX(Scores!$D$4:$D$227,(INT(194/Setup!$B$16)+1-1)*28+MOD(194,Setup!$B$16)+1),"")</f>
        <v/>
      </c>
      <c r="D199" s="106" t="str">
        <f>IF(INT(194/Setup!$B$16)+1&lt;=Setup!$B$6,INDEX(Scores!$E$4:$E$227,(INT(194/Setup!$B$16)+1-1)*28+MOD(194,Setup!$B$16)+1),"")</f>
        <v/>
      </c>
      <c r="E199" s="107"/>
      <c r="F199" s="107"/>
      <c r="G199" s="108" t="str">
        <f>IF(INT(194/Setup!$B$16)+1&lt;=Setup!$B$6,INDEX(Scores!$G$4:$G$227,(INT(194/Setup!$B$16)+1-1)*28+MOD(194,Setup!$B$16)+1),"")</f>
        <v/>
      </c>
      <c r="H199" s="33" t="str">
        <f>IF(A199="","",IF(INDEX(Scores!$I$4:$I$227,(INT(194/Setup!$B$16)+1-1)*28+MOD(194,Setup!$B$16)+1)=1,"Complete","Waiting"))</f>
        <v/>
      </c>
      <c r="I199" s="33" t="str">
        <f t="shared" si="3"/>
        <v/>
      </c>
    </row>
    <row r="200" spans="1:9">
      <c r="A200" s="33" t="str">
        <f>IF(INT(195/Setup!$B$16)+1&lt;=Setup!$B$6,INDEX(Scores!$A$4:$A$227,(INT(195/Setup!$B$16)+1-1)*28+MOD(195,Setup!$B$16)+1),"")</f>
        <v/>
      </c>
      <c r="B200" s="33" t="str">
        <f>IF(INT(195/Setup!$B$16)+1&lt;=Setup!$B$6,INDEX(Setup!$B$22:$B$29,INT(195/Setup!$B$16)+1),"")</f>
        <v/>
      </c>
      <c r="C200" s="45" t="str">
        <f>IF(INT(195/Setup!$B$16)+1&lt;=Setup!$B$6,INDEX(Scores!$D$4:$D$227,(INT(195/Setup!$B$16)+1-1)*28+MOD(195,Setup!$B$16)+1),"")</f>
        <v/>
      </c>
      <c r="D200" s="106" t="str">
        <f>IF(INT(195/Setup!$B$16)+1&lt;=Setup!$B$6,INDEX(Scores!$E$4:$E$227,(INT(195/Setup!$B$16)+1-1)*28+MOD(195,Setup!$B$16)+1),"")</f>
        <v/>
      </c>
      <c r="E200" s="107"/>
      <c r="F200" s="107"/>
      <c r="G200" s="108" t="str">
        <f>IF(INT(195/Setup!$B$16)+1&lt;=Setup!$B$6,INDEX(Scores!$G$4:$G$227,(INT(195/Setup!$B$16)+1-1)*28+MOD(195,Setup!$B$16)+1),"")</f>
        <v/>
      </c>
      <c r="H200" s="33" t="str">
        <f>IF(A200="","",IF(INDEX(Scores!$I$4:$I$227,(INT(195/Setup!$B$16)+1-1)*28+MOD(195,Setup!$B$16)+1)=1,"Complete","Waiting"))</f>
        <v/>
      </c>
      <c r="I200" s="33" t="str">
        <f t="shared" si="3"/>
        <v/>
      </c>
    </row>
    <row r="201" spans="1:9">
      <c r="A201" s="33" t="str">
        <f>IF(INT(196/Setup!$B$16)+1&lt;=Setup!$B$6,INDEX(Scores!$A$4:$A$227,(INT(196/Setup!$B$16)+1-1)*28+MOD(196,Setup!$B$16)+1),"")</f>
        <v/>
      </c>
      <c r="B201" s="33" t="str">
        <f>IF(INT(196/Setup!$B$16)+1&lt;=Setup!$B$6,INDEX(Setup!$B$22:$B$29,INT(196/Setup!$B$16)+1),"")</f>
        <v/>
      </c>
      <c r="C201" s="45" t="str">
        <f>IF(INT(196/Setup!$B$16)+1&lt;=Setup!$B$6,INDEX(Scores!$D$4:$D$227,(INT(196/Setup!$B$16)+1-1)*28+MOD(196,Setup!$B$16)+1),"")</f>
        <v/>
      </c>
      <c r="D201" s="106" t="str">
        <f>IF(INT(196/Setup!$B$16)+1&lt;=Setup!$B$6,INDEX(Scores!$E$4:$E$227,(INT(196/Setup!$B$16)+1-1)*28+MOD(196,Setup!$B$16)+1),"")</f>
        <v/>
      </c>
      <c r="E201" s="107"/>
      <c r="F201" s="107"/>
      <c r="G201" s="108" t="str">
        <f>IF(INT(196/Setup!$B$16)+1&lt;=Setup!$B$6,INDEX(Scores!$G$4:$G$227,(INT(196/Setup!$B$16)+1-1)*28+MOD(196,Setup!$B$16)+1),"")</f>
        <v/>
      </c>
      <c r="H201" s="33" t="str">
        <f>IF(A201="","",IF(INDEX(Scores!$I$4:$I$227,(INT(196/Setup!$B$16)+1-1)*28+MOD(196,Setup!$B$16)+1)=1,"Complete","Waiting"))</f>
        <v/>
      </c>
      <c r="I201" s="33" t="str">
        <f t="shared" si="3"/>
        <v/>
      </c>
    </row>
    <row r="202" spans="1:9">
      <c r="A202" s="33" t="str">
        <f>IF(INT(197/Setup!$B$16)+1&lt;=Setup!$B$6,INDEX(Scores!$A$4:$A$227,(INT(197/Setup!$B$16)+1-1)*28+MOD(197,Setup!$B$16)+1),"")</f>
        <v/>
      </c>
      <c r="B202" s="33" t="str">
        <f>IF(INT(197/Setup!$B$16)+1&lt;=Setup!$B$6,INDEX(Setup!$B$22:$B$29,INT(197/Setup!$B$16)+1),"")</f>
        <v/>
      </c>
      <c r="C202" s="45" t="str">
        <f>IF(INT(197/Setup!$B$16)+1&lt;=Setup!$B$6,INDEX(Scores!$D$4:$D$227,(INT(197/Setup!$B$16)+1-1)*28+MOD(197,Setup!$B$16)+1),"")</f>
        <v/>
      </c>
      <c r="D202" s="106" t="str">
        <f>IF(INT(197/Setup!$B$16)+1&lt;=Setup!$B$6,INDEX(Scores!$E$4:$E$227,(INT(197/Setup!$B$16)+1-1)*28+MOD(197,Setup!$B$16)+1),"")</f>
        <v/>
      </c>
      <c r="E202" s="107"/>
      <c r="F202" s="107"/>
      <c r="G202" s="108" t="str">
        <f>IF(INT(197/Setup!$B$16)+1&lt;=Setup!$B$6,INDEX(Scores!$G$4:$G$227,(INT(197/Setup!$B$16)+1-1)*28+MOD(197,Setup!$B$16)+1),"")</f>
        <v/>
      </c>
      <c r="H202" s="33" t="str">
        <f>IF(A202="","",IF(INDEX(Scores!$I$4:$I$227,(INT(197/Setup!$B$16)+1-1)*28+MOD(197,Setup!$B$16)+1)=1,"Complete","Waiting"))</f>
        <v/>
      </c>
      <c r="I202" s="33" t="str">
        <f t="shared" si="3"/>
        <v/>
      </c>
    </row>
    <row r="203" spans="1:9">
      <c r="A203" s="33" t="str">
        <f>IF(INT(198/Setup!$B$16)+1&lt;=Setup!$B$6,INDEX(Scores!$A$4:$A$227,(INT(198/Setup!$B$16)+1-1)*28+MOD(198,Setup!$B$16)+1),"")</f>
        <v/>
      </c>
      <c r="B203" s="33" t="str">
        <f>IF(INT(198/Setup!$B$16)+1&lt;=Setup!$B$6,INDEX(Setup!$B$22:$B$29,INT(198/Setup!$B$16)+1),"")</f>
        <v/>
      </c>
      <c r="C203" s="45" t="str">
        <f>IF(INT(198/Setup!$B$16)+1&lt;=Setup!$B$6,INDEX(Scores!$D$4:$D$227,(INT(198/Setup!$B$16)+1-1)*28+MOD(198,Setup!$B$16)+1),"")</f>
        <v/>
      </c>
      <c r="D203" s="106" t="str">
        <f>IF(INT(198/Setup!$B$16)+1&lt;=Setup!$B$6,INDEX(Scores!$E$4:$E$227,(INT(198/Setup!$B$16)+1-1)*28+MOD(198,Setup!$B$16)+1),"")</f>
        <v/>
      </c>
      <c r="E203" s="107"/>
      <c r="F203" s="107"/>
      <c r="G203" s="108" t="str">
        <f>IF(INT(198/Setup!$B$16)+1&lt;=Setup!$B$6,INDEX(Scores!$G$4:$G$227,(INT(198/Setup!$B$16)+1-1)*28+MOD(198,Setup!$B$16)+1),"")</f>
        <v/>
      </c>
      <c r="H203" s="33" t="str">
        <f>IF(A203="","",IF(INDEX(Scores!$I$4:$I$227,(INT(198/Setup!$B$16)+1-1)*28+MOD(198,Setup!$B$16)+1)=1,"Complete","Waiting"))</f>
        <v/>
      </c>
      <c r="I203" s="33" t="str">
        <f t="shared" si="3"/>
        <v/>
      </c>
    </row>
    <row r="204" spans="1:9">
      <c r="A204" s="33" t="str">
        <f>IF(INT(199/Setup!$B$16)+1&lt;=Setup!$B$6,INDEX(Scores!$A$4:$A$227,(INT(199/Setup!$B$16)+1-1)*28+MOD(199,Setup!$B$16)+1),"")</f>
        <v/>
      </c>
      <c r="B204" s="33" t="str">
        <f>IF(INT(199/Setup!$B$16)+1&lt;=Setup!$B$6,INDEX(Setup!$B$22:$B$29,INT(199/Setup!$B$16)+1),"")</f>
        <v/>
      </c>
      <c r="C204" s="45" t="str">
        <f>IF(INT(199/Setup!$B$16)+1&lt;=Setup!$B$6,INDEX(Scores!$D$4:$D$227,(INT(199/Setup!$B$16)+1-1)*28+MOD(199,Setup!$B$16)+1),"")</f>
        <v/>
      </c>
      <c r="D204" s="106" t="str">
        <f>IF(INT(199/Setup!$B$16)+1&lt;=Setup!$B$6,INDEX(Scores!$E$4:$E$227,(INT(199/Setup!$B$16)+1-1)*28+MOD(199,Setup!$B$16)+1),"")</f>
        <v/>
      </c>
      <c r="E204" s="107"/>
      <c r="F204" s="107"/>
      <c r="G204" s="108" t="str">
        <f>IF(INT(199/Setup!$B$16)+1&lt;=Setup!$B$6,INDEX(Scores!$G$4:$G$227,(INT(199/Setup!$B$16)+1-1)*28+MOD(199,Setup!$B$16)+1),"")</f>
        <v/>
      </c>
      <c r="H204" s="33" t="str">
        <f>IF(A204="","",IF(INDEX(Scores!$I$4:$I$227,(INT(199/Setup!$B$16)+1-1)*28+MOD(199,Setup!$B$16)+1)=1,"Complete","Waiting"))</f>
        <v/>
      </c>
      <c r="I204" s="33" t="str">
        <f t="shared" si="3"/>
        <v/>
      </c>
    </row>
    <row r="205" spans="1:9">
      <c r="A205" s="33" t="str">
        <f>IF(INT(200/Setup!$B$16)+1&lt;=Setup!$B$6,INDEX(Scores!$A$4:$A$227,(INT(200/Setup!$B$16)+1-1)*28+MOD(200,Setup!$B$16)+1),"")</f>
        <v/>
      </c>
      <c r="B205" s="33" t="str">
        <f>IF(INT(200/Setup!$B$16)+1&lt;=Setup!$B$6,INDEX(Setup!$B$22:$B$29,INT(200/Setup!$B$16)+1),"")</f>
        <v/>
      </c>
      <c r="C205" s="45" t="str">
        <f>IF(INT(200/Setup!$B$16)+1&lt;=Setup!$B$6,INDEX(Scores!$D$4:$D$227,(INT(200/Setup!$B$16)+1-1)*28+MOD(200,Setup!$B$16)+1),"")</f>
        <v/>
      </c>
      <c r="D205" s="106" t="str">
        <f>IF(INT(200/Setup!$B$16)+1&lt;=Setup!$B$6,INDEX(Scores!$E$4:$E$227,(INT(200/Setup!$B$16)+1-1)*28+MOD(200,Setup!$B$16)+1),"")</f>
        <v/>
      </c>
      <c r="E205" s="107"/>
      <c r="F205" s="107"/>
      <c r="G205" s="108" t="str">
        <f>IF(INT(200/Setup!$B$16)+1&lt;=Setup!$B$6,INDEX(Scores!$G$4:$G$227,(INT(200/Setup!$B$16)+1-1)*28+MOD(200,Setup!$B$16)+1),"")</f>
        <v/>
      </c>
      <c r="H205" s="33" t="str">
        <f>IF(A205="","",IF(INDEX(Scores!$I$4:$I$227,(INT(200/Setup!$B$16)+1-1)*28+MOD(200,Setup!$B$16)+1)=1,"Complete","Waiting"))</f>
        <v/>
      </c>
      <c r="I205" s="33" t="str">
        <f t="shared" si="3"/>
        <v/>
      </c>
    </row>
    <row r="206" spans="1:9">
      <c r="A206" s="33" t="str">
        <f>IF(INT(201/Setup!$B$16)+1&lt;=Setup!$B$6,INDEX(Scores!$A$4:$A$227,(INT(201/Setup!$B$16)+1-1)*28+MOD(201,Setup!$B$16)+1),"")</f>
        <v/>
      </c>
      <c r="B206" s="33" t="str">
        <f>IF(INT(201/Setup!$B$16)+1&lt;=Setup!$B$6,INDEX(Setup!$B$22:$B$29,INT(201/Setup!$B$16)+1),"")</f>
        <v/>
      </c>
      <c r="C206" s="45" t="str">
        <f>IF(INT(201/Setup!$B$16)+1&lt;=Setup!$B$6,INDEX(Scores!$D$4:$D$227,(INT(201/Setup!$B$16)+1-1)*28+MOD(201,Setup!$B$16)+1),"")</f>
        <v/>
      </c>
      <c r="D206" s="106" t="str">
        <f>IF(INT(201/Setup!$B$16)+1&lt;=Setup!$B$6,INDEX(Scores!$E$4:$E$227,(INT(201/Setup!$B$16)+1-1)*28+MOD(201,Setup!$B$16)+1),"")</f>
        <v/>
      </c>
      <c r="E206" s="107"/>
      <c r="F206" s="107"/>
      <c r="G206" s="108" t="str">
        <f>IF(INT(201/Setup!$B$16)+1&lt;=Setup!$B$6,INDEX(Scores!$G$4:$G$227,(INT(201/Setup!$B$16)+1-1)*28+MOD(201,Setup!$B$16)+1),"")</f>
        <v/>
      </c>
      <c r="H206" s="33" t="str">
        <f>IF(A206="","",IF(INDEX(Scores!$I$4:$I$227,(INT(201/Setup!$B$16)+1-1)*28+MOD(201,Setup!$B$16)+1)=1,"Complete","Waiting"))</f>
        <v/>
      </c>
      <c r="I206" s="33" t="str">
        <f t="shared" si="3"/>
        <v/>
      </c>
    </row>
    <row r="207" spans="1:9">
      <c r="A207" s="33" t="str">
        <f>IF(INT(202/Setup!$B$16)+1&lt;=Setup!$B$6,INDEX(Scores!$A$4:$A$227,(INT(202/Setup!$B$16)+1-1)*28+MOD(202,Setup!$B$16)+1),"")</f>
        <v/>
      </c>
      <c r="B207" s="33" t="str">
        <f>IF(INT(202/Setup!$B$16)+1&lt;=Setup!$B$6,INDEX(Setup!$B$22:$B$29,INT(202/Setup!$B$16)+1),"")</f>
        <v/>
      </c>
      <c r="C207" s="45" t="str">
        <f>IF(INT(202/Setup!$B$16)+1&lt;=Setup!$B$6,INDEX(Scores!$D$4:$D$227,(INT(202/Setup!$B$16)+1-1)*28+MOD(202,Setup!$B$16)+1),"")</f>
        <v/>
      </c>
      <c r="D207" s="106" t="str">
        <f>IF(INT(202/Setup!$B$16)+1&lt;=Setup!$B$6,INDEX(Scores!$E$4:$E$227,(INT(202/Setup!$B$16)+1-1)*28+MOD(202,Setup!$B$16)+1),"")</f>
        <v/>
      </c>
      <c r="E207" s="107"/>
      <c r="F207" s="107"/>
      <c r="G207" s="108" t="str">
        <f>IF(INT(202/Setup!$B$16)+1&lt;=Setup!$B$6,INDEX(Scores!$G$4:$G$227,(INT(202/Setup!$B$16)+1-1)*28+MOD(202,Setup!$B$16)+1),"")</f>
        <v/>
      </c>
      <c r="H207" s="33" t="str">
        <f>IF(A207="","",IF(INDEX(Scores!$I$4:$I$227,(INT(202/Setup!$B$16)+1-1)*28+MOD(202,Setup!$B$16)+1)=1,"Complete","Waiting"))</f>
        <v/>
      </c>
      <c r="I207" s="33" t="str">
        <f t="shared" si="3"/>
        <v/>
      </c>
    </row>
    <row r="208" spans="1:9">
      <c r="A208" s="33" t="str">
        <f>IF(INT(203/Setup!$B$16)+1&lt;=Setup!$B$6,INDEX(Scores!$A$4:$A$227,(INT(203/Setup!$B$16)+1-1)*28+MOD(203,Setup!$B$16)+1),"")</f>
        <v/>
      </c>
      <c r="B208" s="33" t="str">
        <f>IF(INT(203/Setup!$B$16)+1&lt;=Setup!$B$6,INDEX(Setup!$B$22:$B$29,INT(203/Setup!$B$16)+1),"")</f>
        <v/>
      </c>
      <c r="C208" s="45" t="str">
        <f>IF(INT(203/Setup!$B$16)+1&lt;=Setup!$B$6,INDEX(Scores!$D$4:$D$227,(INT(203/Setup!$B$16)+1-1)*28+MOD(203,Setup!$B$16)+1),"")</f>
        <v/>
      </c>
      <c r="D208" s="106" t="str">
        <f>IF(INT(203/Setup!$B$16)+1&lt;=Setup!$B$6,INDEX(Scores!$E$4:$E$227,(INT(203/Setup!$B$16)+1-1)*28+MOD(203,Setup!$B$16)+1),"")</f>
        <v/>
      </c>
      <c r="E208" s="107"/>
      <c r="F208" s="107"/>
      <c r="G208" s="108" t="str">
        <f>IF(INT(203/Setup!$B$16)+1&lt;=Setup!$B$6,INDEX(Scores!$G$4:$G$227,(INT(203/Setup!$B$16)+1-1)*28+MOD(203,Setup!$B$16)+1),"")</f>
        <v/>
      </c>
      <c r="H208" s="33" t="str">
        <f>IF(A208="","",IF(INDEX(Scores!$I$4:$I$227,(INT(203/Setup!$B$16)+1-1)*28+MOD(203,Setup!$B$16)+1)=1,"Complete","Waiting"))</f>
        <v/>
      </c>
      <c r="I208" s="33" t="str">
        <f t="shared" si="3"/>
        <v/>
      </c>
    </row>
    <row r="209" spans="1:9">
      <c r="A209" s="33" t="str">
        <f>IF(INT(204/Setup!$B$16)+1&lt;=Setup!$B$6,INDEX(Scores!$A$4:$A$227,(INT(204/Setup!$B$16)+1-1)*28+MOD(204,Setup!$B$16)+1),"")</f>
        <v/>
      </c>
      <c r="B209" s="33" t="str">
        <f>IF(INT(204/Setup!$B$16)+1&lt;=Setup!$B$6,INDEX(Setup!$B$22:$B$29,INT(204/Setup!$B$16)+1),"")</f>
        <v/>
      </c>
      <c r="C209" s="45" t="str">
        <f>IF(INT(204/Setup!$B$16)+1&lt;=Setup!$B$6,INDEX(Scores!$D$4:$D$227,(INT(204/Setup!$B$16)+1-1)*28+MOD(204,Setup!$B$16)+1),"")</f>
        <v/>
      </c>
      <c r="D209" s="106" t="str">
        <f>IF(INT(204/Setup!$B$16)+1&lt;=Setup!$B$6,INDEX(Scores!$E$4:$E$227,(INT(204/Setup!$B$16)+1-1)*28+MOD(204,Setup!$B$16)+1),"")</f>
        <v/>
      </c>
      <c r="E209" s="107"/>
      <c r="F209" s="107"/>
      <c r="G209" s="108" t="str">
        <f>IF(INT(204/Setup!$B$16)+1&lt;=Setup!$B$6,INDEX(Scores!$G$4:$G$227,(INT(204/Setup!$B$16)+1-1)*28+MOD(204,Setup!$B$16)+1),"")</f>
        <v/>
      </c>
      <c r="H209" s="33" t="str">
        <f>IF(A209="","",IF(INDEX(Scores!$I$4:$I$227,(INT(204/Setup!$B$16)+1-1)*28+MOD(204,Setup!$B$16)+1)=1,"Complete","Waiting"))</f>
        <v/>
      </c>
      <c r="I209" s="33" t="str">
        <f t="shared" si="3"/>
        <v/>
      </c>
    </row>
    <row r="210" spans="1:9">
      <c r="A210" s="33" t="str">
        <f>IF(INT(205/Setup!$B$16)+1&lt;=Setup!$B$6,INDEX(Scores!$A$4:$A$227,(INT(205/Setup!$B$16)+1-1)*28+MOD(205,Setup!$B$16)+1),"")</f>
        <v/>
      </c>
      <c r="B210" s="33" t="str">
        <f>IF(INT(205/Setup!$B$16)+1&lt;=Setup!$B$6,INDEX(Setup!$B$22:$B$29,INT(205/Setup!$B$16)+1),"")</f>
        <v/>
      </c>
      <c r="C210" s="45" t="str">
        <f>IF(INT(205/Setup!$B$16)+1&lt;=Setup!$B$6,INDEX(Scores!$D$4:$D$227,(INT(205/Setup!$B$16)+1-1)*28+MOD(205,Setup!$B$16)+1),"")</f>
        <v/>
      </c>
      <c r="D210" s="106" t="str">
        <f>IF(INT(205/Setup!$B$16)+1&lt;=Setup!$B$6,INDEX(Scores!$E$4:$E$227,(INT(205/Setup!$B$16)+1-1)*28+MOD(205,Setup!$B$16)+1),"")</f>
        <v/>
      </c>
      <c r="E210" s="107"/>
      <c r="F210" s="107"/>
      <c r="G210" s="108" t="str">
        <f>IF(INT(205/Setup!$B$16)+1&lt;=Setup!$B$6,INDEX(Scores!$G$4:$G$227,(INT(205/Setup!$B$16)+1-1)*28+MOD(205,Setup!$B$16)+1),"")</f>
        <v/>
      </c>
      <c r="H210" s="33" t="str">
        <f>IF(A210="","",IF(INDEX(Scores!$I$4:$I$227,(INT(205/Setup!$B$16)+1-1)*28+MOD(205,Setup!$B$16)+1)=1,"Complete","Waiting"))</f>
        <v/>
      </c>
      <c r="I210" s="33" t="str">
        <f t="shared" si="3"/>
        <v/>
      </c>
    </row>
    <row r="211" spans="1:9">
      <c r="A211" s="33" t="str">
        <f>IF(INT(206/Setup!$B$16)+1&lt;=Setup!$B$6,INDEX(Scores!$A$4:$A$227,(INT(206/Setup!$B$16)+1-1)*28+MOD(206,Setup!$B$16)+1),"")</f>
        <v/>
      </c>
      <c r="B211" s="33" t="str">
        <f>IF(INT(206/Setup!$B$16)+1&lt;=Setup!$B$6,INDEX(Setup!$B$22:$B$29,INT(206/Setup!$B$16)+1),"")</f>
        <v/>
      </c>
      <c r="C211" s="45" t="str">
        <f>IF(INT(206/Setup!$B$16)+1&lt;=Setup!$B$6,INDEX(Scores!$D$4:$D$227,(INT(206/Setup!$B$16)+1-1)*28+MOD(206,Setup!$B$16)+1),"")</f>
        <v/>
      </c>
      <c r="D211" s="106" t="str">
        <f>IF(INT(206/Setup!$B$16)+1&lt;=Setup!$B$6,INDEX(Scores!$E$4:$E$227,(INT(206/Setup!$B$16)+1-1)*28+MOD(206,Setup!$B$16)+1),"")</f>
        <v/>
      </c>
      <c r="E211" s="107"/>
      <c r="F211" s="107"/>
      <c r="G211" s="108" t="str">
        <f>IF(INT(206/Setup!$B$16)+1&lt;=Setup!$B$6,INDEX(Scores!$G$4:$G$227,(INT(206/Setup!$B$16)+1-1)*28+MOD(206,Setup!$B$16)+1),"")</f>
        <v/>
      </c>
      <c r="H211" s="33" t="str">
        <f>IF(A211="","",IF(INDEX(Scores!$I$4:$I$227,(INT(206/Setup!$B$16)+1-1)*28+MOD(206,Setup!$B$16)+1)=1,"Complete","Waiting"))</f>
        <v/>
      </c>
      <c r="I211" s="33" t="str">
        <f t="shared" si="3"/>
        <v/>
      </c>
    </row>
    <row r="212" spans="1:9">
      <c r="A212" s="33" t="str">
        <f>IF(INT(207/Setup!$B$16)+1&lt;=Setup!$B$6,INDEX(Scores!$A$4:$A$227,(INT(207/Setup!$B$16)+1-1)*28+MOD(207,Setup!$B$16)+1),"")</f>
        <v/>
      </c>
      <c r="B212" s="33" t="str">
        <f>IF(INT(207/Setup!$B$16)+1&lt;=Setup!$B$6,INDEX(Setup!$B$22:$B$29,INT(207/Setup!$B$16)+1),"")</f>
        <v/>
      </c>
      <c r="C212" s="45" t="str">
        <f>IF(INT(207/Setup!$B$16)+1&lt;=Setup!$B$6,INDEX(Scores!$D$4:$D$227,(INT(207/Setup!$B$16)+1-1)*28+MOD(207,Setup!$B$16)+1),"")</f>
        <v/>
      </c>
      <c r="D212" s="106" t="str">
        <f>IF(INT(207/Setup!$B$16)+1&lt;=Setup!$B$6,INDEX(Scores!$E$4:$E$227,(INT(207/Setup!$B$16)+1-1)*28+MOD(207,Setup!$B$16)+1),"")</f>
        <v/>
      </c>
      <c r="E212" s="107"/>
      <c r="F212" s="107"/>
      <c r="G212" s="108" t="str">
        <f>IF(INT(207/Setup!$B$16)+1&lt;=Setup!$B$6,INDEX(Scores!$G$4:$G$227,(INT(207/Setup!$B$16)+1-1)*28+MOD(207,Setup!$B$16)+1),"")</f>
        <v/>
      </c>
      <c r="H212" s="33" t="str">
        <f>IF(A212="","",IF(INDEX(Scores!$I$4:$I$227,(INT(207/Setup!$B$16)+1-1)*28+MOD(207,Setup!$B$16)+1)=1,"Complete","Waiting"))</f>
        <v/>
      </c>
      <c r="I212" s="33" t="str">
        <f t="shared" si="3"/>
        <v/>
      </c>
    </row>
    <row r="213" spans="1:9">
      <c r="A213" s="33" t="str">
        <f>IF(INT(208/Setup!$B$16)+1&lt;=Setup!$B$6,INDEX(Scores!$A$4:$A$227,(INT(208/Setup!$B$16)+1-1)*28+MOD(208,Setup!$B$16)+1),"")</f>
        <v/>
      </c>
      <c r="B213" s="33" t="str">
        <f>IF(INT(208/Setup!$B$16)+1&lt;=Setup!$B$6,INDEX(Setup!$B$22:$B$29,INT(208/Setup!$B$16)+1),"")</f>
        <v/>
      </c>
      <c r="C213" s="45" t="str">
        <f>IF(INT(208/Setup!$B$16)+1&lt;=Setup!$B$6,INDEX(Scores!$D$4:$D$227,(INT(208/Setup!$B$16)+1-1)*28+MOD(208,Setup!$B$16)+1),"")</f>
        <v/>
      </c>
      <c r="D213" s="106" t="str">
        <f>IF(INT(208/Setup!$B$16)+1&lt;=Setup!$B$6,INDEX(Scores!$E$4:$E$227,(INT(208/Setup!$B$16)+1-1)*28+MOD(208,Setup!$B$16)+1),"")</f>
        <v/>
      </c>
      <c r="E213" s="107"/>
      <c r="F213" s="107"/>
      <c r="G213" s="108" t="str">
        <f>IF(INT(208/Setup!$B$16)+1&lt;=Setup!$B$6,INDEX(Scores!$G$4:$G$227,(INT(208/Setup!$B$16)+1-1)*28+MOD(208,Setup!$B$16)+1),"")</f>
        <v/>
      </c>
      <c r="H213" s="33" t="str">
        <f>IF(A213="","",IF(INDEX(Scores!$I$4:$I$227,(INT(208/Setup!$B$16)+1-1)*28+MOD(208,Setup!$B$16)+1)=1,"Complete","Waiting"))</f>
        <v/>
      </c>
      <c r="I213" s="33" t="str">
        <f t="shared" si="3"/>
        <v/>
      </c>
    </row>
    <row r="214" spans="1:9">
      <c r="A214" s="33" t="str">
        <f>IF(INT(209/Setup!$B$16)+1&lt;=Setup!$B$6,INDEX(Scores!$A$4:$A$227,(INT(209/Setup!$B$16)+1-1)*28+MOD(209,Setup!$B$16)+1),"")</f>
        <v/>
      </c>
      <c r="B214" s="33" t="str">
        <f>IF(INT(209/Setup!$B$16)+1&lt;=Setup!$B$6,INDEX(Setup!$B$22:$B$29,INT(209/Setup!$B$16)+1),"")</f>
        <v/>
      </c>
      <c r="C214" s="45" t="str">
        <f>IF(INT(209/Setup!$B$16)+1&lt;=Setup!$B$6,INDEX(Scores!$D$4:$D$227,(INT(209/Setup!$B$16)+1-1)*28+MOD(209,Setup!$B$16)+1),"")</f>
        <v/>
      </c>
      <c r="D214" s="106" t="str">
        <f>IF(INT(209/Setup!$B$16)+1&lt;=Setup!$B$6,INDEX(Scores!$E$4:$E$227,(INT(209/Setup!$B$16)+1-1)*28+MOD(209,Setup!$B$16)+1),"")</f>
        <v/>
      </c>
      <c r="E214" s="107"/>
      <c r="F214" s="107"/>
      <c r="G214" s="108" t="str">
        <f>IF(INT(209/Setup!$B$16)+1&lt;=Setup!$B$6,INDEX(Scores!$G$4:$G$227,(INT(209/Setup!$B$16)+1-1)*28+MOD(209,Setup!$B$16)+1),"")</f>
        <v/>
      </c>
      <c r="H214" s="33" t="str">
        <f>IF(A214="","",IF(INDEX(Scores!$I$4:$I$227,(INT(209/Setup!$B$16)+1-1)*28+MOD(209,Setup!$B$16)+1)=1,"Complete","Waiting"))</f>
        <v/>
      </c>
      <c r="I214" s="33" t="str">
        <f t="shared" si="3"/>
        <v/>
      </c>
    </row>
    <row r="215" spans="1:9">
      <c r="A215" s="33" t="str">
        <f>IF(INT(210/Setup!$B$16)+1&lt;=Setup!$B$6,INDEX(Scores!$A$4:$A$227,(INT(210/Setup!$B$16)+1-1)*28+MOD(210,Setup!$B$16)+1),"")</f>
        <v/>
      </c>
      <c r="B215" s="33" t="str">
        <f>IF(INT(210/Setup!$B$16)+1&lt;=Setup!$B$6,INDEX(Setup!$B$22:$B$29,INT(210/Setup!$B$16)+1),"")</f>
        <v/>
      </c>
      <c r="C215" s="45" t="str">
        <f>IF(INT(210/Setup!$B$16)+1&lt;=Setup!$B$6,INDEX(Scores!$D$4:$D$227,(INT(210/Setup!$B$16)+1-1)*28+MOD(210,Setup!$B$16)+1),"")</f>
        <v/>
      </c>
      <c r="D215" s="106" t="str">
        <f>IF(INT(210/Setup!$B$16)+1&lt;=Setup!$B$6,INDEX(Scores!$E$4:$E$227,(INT(210/Setup!$B$16)+1-1)*28+MOD(210,Setup!$B$16)+1),"")</f>
        <v/>
      </c>
      <c r="E215" s="107"/>
      <c r="F215" s="107"/>
      <c r="G215" s="108" t="str">
        <f>IF(INT(210/Setup!$B$16)+1&lt;=Setup!$B$6,INDEX(Scores!$G$4:$G$227,(INT(210/Setup!$B$16)+1-1)*28+MOD(210,Setup!$B$16)+1),"")</f>
        <v/>
      </c>
      <c r="H215" s="33" t="str">
        <f>IF(A215="","",IF(INDEX(Scores!$I$4:$I$227,(INT(210/Setup!$B$16)+1-1)*28+MOD(210,Setup!$B$16)+1)=1,"Complete","Waiting"))</f>
        <v/>
      </c>
      <c r="I215" s="33" t="str">
        <f t="shared" si="3"/>
        <v/>
      </c>
    </row>
    <row r="216" spans="1:9">
      <c r="A216" s="33" t="str">
        <f>IF(INT(211/Setup!$B$16)+1&lt;=Setup!$B$6,INDEX(Scores!$A$4:$A$227,(INT(211/Setup!$B$16)+1-1)*28+MOD(211,Setup!$B$16)+1),"")</f>
        <v/>
      </c>
      <c r="B216" s="33" t="str">
        <f>IF(INT(211/Setup!$B$16)+1&lt;=Setup!$B$6,INDEX(Setup!$B$22:$B$29,INT(211/Setup!$B$16)+1),"")</f>
        <v/>
      </c>
      <c r="C216" s="45" t="str">
        <f>IF(INT(211/Setup!$B$16)+1&lt;=Setup!$B$6,INDEX(Scores!$D$4:$D$227,(INT(211/Setup!$B$16)+1-1)*28+MOD(211,Setup!$B$16)+1),"")</f>
        <v/>
      </c>
      <c r="D216" s="106" t="str">
        <f>IF(INT(211/Setup!$B$16)+1&lt;=Setup!$B$6,INDEX(Scores!$E$4:$E$227,(INT(211/Setup!$B$16)+1-1)*28+MOD(211,Setup!$B$16)+1),"")</f>
        <v/>
      </c>
      <c r="E216" s="107"/>
      <c r="F216" s="107"/>
      <c r="G216" s="108" t="str">
        <f>IF(INT(211/Setup!$B$16)+1&lt;=Setup!$B$6,INDEX(Scores!$G$4:$G$227,(INT(211/Setup!$B$16)+1-1)*28+MOD(211,Setup!$B$16)+1),"")</f>
        <v/>
      </c>
      <c r="H216" s="33" t="str">
        <f>IF(A216="","",IF(INDEX(Scores!$I$4:$I$227,(INT(211/Setup!$B$16)+1-1)*28+MOD(211,Setup!$B$16)+1)=1,"Complete","Waiting"))</f>
        <v/>
      </c>
      <c r="I216" s="33" t="str">
        <f t="shared" si="3"/>
        <v/>
      </c>
    </row>
    <row r="217" spans="1:9">
      <c r="A217" s="33" t="str">
        <f>IF(INT(212/Setup!$B$16)+1&lt;=Setup!$B$6,INDEX(Scores!$A$4:$A$227,(INT(212/Setup!$B$16)+1-1)*28+MOD(212,Setup!$B$16)+1),"")</f>
        <v/>
      </c>
      <c r="B217" s="33" t="str">
        <f>IF(INT(212/Setup!$B$16)+1&lt;=Setup!$B$6,INDEX(Setup!$B$22:$B$29,INT(212/Setup!$B$16)+1),"")</f>
        <v/>
      </c>
      <c r="C217" s="45" t="str">
        <f>IF(INT(212/Setup!$B$16)+1&lt;=Setup!$B$6,INDEX(Scores!$D$4:$D$227,(INT(212/Setup!$B$16)+1-1)*28+MOD(212,Setup!$B$16)+1),"")</f>
        <v/>
      </c>
      <c r="D217" s="106" t="str">
        <f>IF(INT(212/Setup!$B$16)+1&lt;=Setup!$B$6,INDEX(Scores!$E$4:$E$227,(INT(212/Setup!$B$16)+1-1)*28+MOD(212,Setup!$B$16)+1),"")</f>
        <v/>
      </c>
      <c r="E217" s="107"/>
      <c r="F217" s="107"/>
      <c r="G217" s="108" t="str">
        <f>IF(INT(212/Setup!$B$16)+1&lt;=Setup!$B$6,INDEX(Scores!$G$4:$G$227,(INT(212/Setup!$B$16)+1-1)*28+MOD(212,Setup!$B$16)+1),"")</f>
        <v/>
      </c>
      <c r="H217" s="33" t="str">
        <f>IF(A217="","",IF(INDEX(Scores!$I$4:$I$227,(INT(212/Setup!$B$16)+1-1)*28+MOD(212,Setup!$B$16)+1)=1,"Complete","Waiting"))</f>
        <v/>
      </c>
      <c r="I217" s="33" t="str">
        <f t="shared" si="3"/>
        <v/>
      </c>
    </row>
    <row r="218" spans="1:9">
      <c r="A218" s="33" t="str">
        <f>IF(INT(213/Setup!$B$16)+1&lt;=Setup!$B$6,INDEX(Scores!$A$4:$A$227,(INT(213/Setup!$B$16)+1-1)*28+MOD(213,Setup!$B$16)+1),"")</f>
        <v/>
      </c>
      <c r="B218" s="33" t="str">
        <f>IF(INT(213/Setup!$B$16)+1&lt;=Setup!$B$6,INDEX(Setup!$B$22:$B$29,INT(213/Setup!$B$16)+1),"")</f>
        <v/>
      </c>
      <c r="C218" s="45" t="str">
        <f>IF(INT(213/Setup!$B$16)+1&lt;=Setup!$B$6,INDEX(Scores!$D$4:$D$227,(INT(213/Setup!$B$16)+1-1)*28+MOD(213,Setup!$B$16)+1),"")</f>
        <v/>
      </c>
      <c r="D218" s="106" t="str">
        <f>IF(INT(213/Setup!$B$16)+1&lt;=Setup!$B$6,INDEX(Scores!$E$4:$E$227,(INT(213/Setup!$B$16)+1-1)*28+MOD(213,Setup!$B$16)+1),"")</f>
        <v/>
      </c>
      <c r="E218" s="107"/>
      <c r="F218" s="107"/>
      <c r="G218" s="108" t="str">
        <f>IF(INT(213/Setup!$B$16)+1&lt;=Setup!$B$6,INDEX(Scores!$G$4:$G$227,(INT(213/Setup!$B$16)+1-1)*28+MOD(213,Setup!$B$16)+1),"")</f>
        <v/>
      </c>
      <c r="H218" s="33" t="str">
        <f>IF(A218="","",IF(INDEX(Scores!$I$4:$I$227,(INT(213/Setup!$B$16)+1-1)*28+MOD(213,Setup!$B$16)+1)=1,"Complete","Waiting"))</f>
        <v/>
      </c>
      <c r="I218" s="33" t="str">
        <f t="shared" si="3"/>
        <v/>
      </c>
    </row>
    <row r="219" spans="1:9">
      <c r="A219" s="33" t="str">
        <f>IF(INT(214/Setup!$B$16)+1&lt;=Setup!$B$6,INDEX(Scores!$A$4:$A$227,(INT(214/Setup!$B$16)+1-1)*28+MOD(214,Setup!$B$16)+1),"")</f>
        <v/>
      </c>
      <c r="B219" s="33" t="str">
        <f>IF(INT(214/Setup!$B$16)+1&lt;=Setup!$B$6,INDEX(Setup!$B$22:$B$29,INT(214/Setup!$B$16)+1),"")</f>
        <v/>
      </c>
      <c r="C219" s="45" t="str">
        <f>IF(INT(214/Setup!$B$16)+1&lt;=Setup!$B$6,INDEX(Scores!$D$4:$D$227,(INT(214/Setup!$B$16)+1-1)*28+MOD(214,Setup!$B$16)+1),"")</f>
        <v/>
      </c>
      <c r="D219" s="106" t="str">
        <f>IF(INT(214/Setup!$B$16)+1&lt;=Setup!$B$6,INDEX(Scores!$E$4:$E$227,(INT(214/Setup!$B$16)+1-1)*28+MOD(214,Setup!$B$16)+1),"")</f>
        <v/>
      </c>
      <c r="E219" s="107"/>
      <c r="F219" s="107"/>
      <c r="G219" s="108" t="str">
        <f>IF(INT(214/Setup!$B$16)+1&lt;=Setup!$B$6,INDEX(Scores!$G$4:$G$227,(INT(214/Setup!$B$16)+1-1)*28+MOD(214,Setup!$B$16)+1),"")</f>
        <v/>
      </c>
      <c r="H219" s="33" t="str">
        <f>IF(A219="","",IF(INDEX(Scores!$I$4:$I$227,(INT(214/Setup!$B$16)+1-1)*28+MOD(214,Setup!$B$16)+1)=1,"Complete","Waiting"))</f>
        <v/>
      </c>
      <c r="I219" s="33" t="str">
        <f t="shared" si="3"/>
        <v/>
      </c>
    </row>
    <row r="220" spans="1:9">
      <c r="A220" s="33" t="str">
        <f>IF(INT(215/Setup!$B$16)+1&lt;=Setup!$B$6,INDEX(Scores!$A$4:$A$227,(INT(215/Setup!$B$16)+1-1)*28+MOD(215,Setup!$B$16)+1),"")</f>
        <v/>
      </c>
      <c r="B220" s="33" t="str">
        <f>IF(INT(215/Setup!$B$16)+1&lt;=Setup!$B$6,INDEX(Setup!$B$22:$B$29,INT(215/Setup!$B$16)+1),"")</f>
        <v/>
      </c>
      <c r="C220" s="45" t="str">
        <f>IF(INT(215/Setup!$B$16)+1&lt;=Setup!$B$6,INDEX(Scores!$D$4:$D$227,(INT(215/Setup!$B$16)+1-1)*28+MOD(215,Setup!$B$16)+1),"")</f>
        <v/>
      </c>
      <c r="D220" s="106" t="str">
        <f>IF(INT(215/Setup!$B$16)+1&lt;=Setup!$B$6,INDEX(Scores!$E$4:$E$227,(INT(215/Setup!$B$16)+1-1)*28+MOD(215,Setup!$B$16)+1),"")</f>
        <v/>
      </c>
      <c r="E220" s="107"/>
      <c r="F220" s="107"/>
      <c r="G220" s="108" t="str">
        <f>IF(INT(215/Setup!$B$16)+1&lt;=Setup!$B$6,INDEX(Scores!$G$4:$G$227,(INT(215/Setup!$B$16)+1-1)*28+MOD(215,Setup!$B$16)+1),"")</f>
        <v/>
      </c>
      <c r="H220" s="33" t="str">
        <f>IF(A220="","",IF(INDEX(Scores!$I$4:$I$227,(INT(215/Setup!$B$16)+1-1)*28+MOD(215,Setup!$B$16)+1)=1,"Complete","Waiting"))</f>
        <v/>
      </c>
      <c r="I220" s="33" t="str">
        <f t="shared" si="3"/>
        <v/>
      </c>
    </row>
    <row r="221" spans="1:9">
      <c r="A221" s="33" t="str">
        <f>IF(INT(216/Setup!$B$16)+1&lt;=Setup!$B$6,INDEX(Scores!$A$4:$A$227,(INT(216/Setup!$B$16)+1-1)*28+MOD(216,Setup!$B$16)+1),"")</f>
        <v/>
      </c>
      <c r="B221" s="33" t="str">
        <f>IF(INT(216/Setup!$B$16)+1&lt;=Setup!$B$6,INDEX(Setup!$B$22:$B$29,INT(216/Setup!$B$16)+1),"")</f>
        <v/>
      </c>
      <c r="C221" s="45" t="str">
        <f>IF(INT(216/Setup!$B$16)+1&lt;=Setup!$B$6,INDEX(Scores!$D$4:$D$227,(INT(216/Setup!$B$16)+1-1)*28+MOD(216,Setup!$B$16)+1),"")</f>
        <v/>
      </c>
      <c r="D221" s="106" t="str">
        <f>IF(INT(216/Setup!$B$16)+1&lt;=Setup!$B$6,INDEX(Scores!$E$4:$E$227,(INT(216/Setup!$B$16)+1-1)*28+MOD(216,Setup!$B$16)+1),"")</f>
        <v/>
      </c>
      <c r="E221" s="107"/>
      <c r="F221" s="107"/>
      <c r="G221" s="108" t="str">
        <f>IF(INT(216/Setup!$B$16)+1&lt;=Setup!$B$6,INDEX(Scores!$G$4:$G$227,(INT(216/Setup!$B$16)+1-1)*28+MOD(216,Setup!$B$16)+1),"")</f>
        <v/>
      </c>
      <c r="H221" s="33" t="str">
        <f>IF(A221="","",IF(INDEX(Scores!$I$4:$I$227,(INT(216/Setup!$B$16)+1-1)*28+MOD(216,Setup!$B$16)+1)=1,"Complete","Waiting"))</f>
        <v/>
      </c>
      <c r="I221" s="33" t="str">
        <f t="shared" si="3"/>
        <v/>
      </c>
    </row>
    <row r="222" spans="1:9">
      <c r="A222" s="33" t="str">
        <f>IF(INT(217/Setup!$B$16)+1&lt;=Setup!$B$6,INDEX(Scores!$A$4:$A$227,(INT(217/Setup!$B$16)+1-1)*28+MOD(217,Setup!$B$16)+1),"")</f>
        <v/>
      </c>
      <c r="B222" s="33" t="str">
        <f>IF(INT(217/Setup!$B$16)+1&lt;=Setup!$B$6,INDEX(Setup!$B$22:$B$29,INT(217/Setup!$B$16)+1),"")</f>
        <v/>
      </c>
      <c r="C222" s="45" t="str">
        <f>IF(INT(217/Setup!$B$16)+1&lt;=Setup!$B$6,INDEX(Scores!$D$4:$D$227,(INT(217/Setup!$B$16)+1-1)*28+MOD(217,Setup!$B$16)+1),"")</f>
        <v/>
      </c>
      <c r="D222" s="106" t="str">
        <f>IF(INT(217/Setup!$B$16)+1&lt;=Setup!$B$6,INDEX(Scores!$E$4:$E$227,(INT(217/Setup!$B$16)+1-1)*28+MOD(217,Setup!$B$16)+1),"")</f>
        <v/>
      </c>
      <c r="E222" s="107"/>
      <c r="F222" s="107"/>
      <c r="G222" s="108" t="str">
        <f>IF(INT(217/Setup!$B$16)+1&lt;=Setup!$B$6,INDEX(Scores!$G$4:$G$227,(INT(217/Setup!$B$16)+1-1)*28+MOD(217,Setup!$B$16)+1),"")</f>
        <v/>
      </c>
      <c r="H222" s="33" t="str">
        <f>IF(A222="","",IF(INDEX(Scores!$I$4:$I$227,(INT(217/Setup!$B$16)+1-1)*28+MOD(217,Setup!$B$16)+1)=1,"Complete","Waiting"))</f>
        <v/>
      </c>
      <c r="I222" s="33" t="str">
        <f t="shared" si="3"/>
        <v/>
      </c>
    </row>
    <row r="223" spans="1:9">
      <c r="A223" s="33" t="str">
        <f>IF(INT(218/Setup!$B$16)+1&lt;=Setup!$B$6,INDEX(Scores!$A$4:$A$227,(INT(218/Setup!$B$16)+1-1)*28+MOD(218,Setup!$B$16)+1),"")</f>
        <v/>
      </c>
      <c r="B223" s="33" t="str">
        <f>IF(INT(218/Setup!$B$16)+1&lt;=Setup!$B$6,INDEX(Setup!$B$22:$B$29,INT(218/Setup!$B$16)+1),"")</f>
        <v/>
      </c>
      <c r="C223" s="45" t="str">
        <f>IF(INT(218/Setup!$B$16)+1&lt;=Setup!$B$6,INDEX(Scores!$D$4:$D$227,(INT(218/Setup!$B$16)+1-1)*28+MOD(218,Setup!$B$16)+1),"")</f>
        <v/>
      </c>
      <c r="D223" s="106" t="str">
        <f>IF(INT(218/Setup!$B$16)+1&lt;=Setup!$B$6,INDEX(Scores!$E$4:$E$227,(INT(218/Setup!$B$16)+1-1)*28+MOD(218,Setup!$B$16)+1),"")</f>
        <v/>
      </c>
      <c r="E223" s="107"/>
      <c r="F223" s="107"/>
      <c r="G223" s="108" t="str">
        <f>IF(INT(218/Setup!$B$16)+1&lt;=Setup!$B$6,INDEX(Scores!$G$4:$G$227,(INT(218/Setup!$B$16)+1-1)*28+MOD(218,Setup!$B$16)+1),"")</f>
        <v/>
      </c>
      <c r="H223" s="33" t="str">
        <f>IF(A223="","",IF(INDEX(Scores!$I$4:$I$227,(INT(218/Setup!$B$16)+1-1)*28+MOD(218,Setup!$B$16)+1)=1,"Complete","Waiting"))</f>
        <v/>
      </c>
      <c r="I223" s="33" t="str">
        <f t="shared" si="3"/>
        <v/>
      </c>
    </row>
    <row r="224" spans="1:9">
      <c r="A224" s="33" t="str">
        <f>IF(INT(219/Setup!$B$16)+1&lt;=Setup!$B$6,INDEX(Scores!$A$4:$A$227,(INT(219/Setup!$B$16)+1-1)*28+MOD(219,Setup!$B$16)+1),"")</f>
        <v/>
      </c>
      <c r="B224" s="33" t="str">
        <f>IF(INT(219/Setup!$B$16)+1&lt;=Setup!$B$6,INDEX(Setup!$B$22:$B$29,INT(219/Setup!$B$16)+1),"")</f>
        <v/>
      </c>
      <c r="C224" s="45" t="str">
        <f>IF(INT(219/Setup!$B$16)+1&lt;=Setup!$B$6,INDEX(Scores!$D$4:$D$227,(INT(219/Setup!$B$16)+1-1)*28+MOD(219,Setup!$B$16)+1),"")</f>
        <v/>
      </c>
      <c r="D224" s="106" t="str">
        <f>IF(INT(219/Setup!$B$16)+1&lt;=Setup!$B$6,INDEX(Scores!$E$4:$E$227,(INT(219/Setup!$B$16)+1-1)*28+MOD(219,Setup!$B$16)+1),"")</f>
        <v/>
      </c>
      <c r="E224" s="107"/>
      <c r="F224" s="107"/>
      <c r="G224" s="108" t="str">
        <f>IF(INT(219/Setup!$B$16)+1&lt;=Setup!$B$6,INDEX(Scores!$G$4:$G$227,(INT(219/Setup!$B$16)+1-1)*28+MOD(219,Setup!$B$16)+1),"")</f>
        <v/>
      </c>
      <c r="H224" s="33" t="str">
        <f>IF(A224="","",IF(INDEX(Scores!$I$4:$I$227,(INT(219/Setup!$B$16)+1-1)*28+MOD(219,Setup!$B$16)+1)=1,"Complete","Waiting"))</f>
        <v/>
      </c>
      <c r="I224" s="33" t="str">
        <f t="shared" si="3"/>
        <v/>
      </c>
    </row>
    <row r="225" spans="1:9">
      <c r="A225" s="33" t="str">
        <f>IF(INT(220/Setup!$B$16)+1&lt;=Setup!$B$6,INDEX(Scores!$A$4:$A$227,(INT(220/Setup!$B$16)+1-1)*28+MOD(220,Setup!$B$16)+1),"")</f>
        <v/>
      </c>
      <c r="B225" s="33" t="str">
        <f>IF(INT(220/Setup!$B$16)+1&lt;=Setup!$B$6,INDEX(Setup!$B$22:$B$29,INT(220/Setup!$B$16)+1),"")</f>
        <v/>
      </c>
      <c r="C225" s="45" t="str">
        <f>IF(INT(220/Setup!$B$16)+1&lt;=Setup!$B$6,INDEX(Scores!$D$4:$D$227,(INT(220/Setup!$B$16)+1-1)*28+MOD(220,Setup!$B$16)+1),"")</f>
        <v/>
      </c>
      <c r="D225" s="106" t="str">
        <f>IF(INT(220/Setup!$B$16)+1&lt;=Setup!$B$6,INDEX(Scores!$E$4:$E$227,(INT(220/Setup!$B$16)+1-1)*28+MOD(220,Setup!$B$16)+1),"")</f>
        <v/>
      </c>
      <c r="E225" s="107"/>
      <c r="F225" s="107"/>
      <c r="G225" s="108" t="str">
        <f>IF(INT(220/Setup!$B$16)+1&lt;=Setup!$B$6,INDEX(Scores!$G$4:$G$227,(INT(220/Setup!$B$16)+1-1)*28+MOD(220,Setup!$B$16)+1),"")</f>
        <v/>
      </c>
      <c r="H225" s="33" t="str">
        <f>IF(A225="","",IF(INDEX(Scores!$I$4:$I$227,(INT(220/Setup!$B$16)+1-1)*28+MOD(220,Setup!$B$16)+1)=1,"Complete","Waiting"))</f>
        <v/>
      </c>
      <c r="I225" s="33" t="str">
        <f t="shared" si="3"/>
        <v/>
      </c>
    </row>
    <row r="226" spans="1:9">
      <c r="A226" s="33" t="str">
        <f>IF(INT(221/Setup!$B$16)+1&lt;=Setup!$B$6,INDEX(Scores!$A$4:$A$227,(INT(221/Setup!$B$16)+1-1)*28+MOD(221,Setup!$B$16)+1),"")</f>
        <v/>
      </c>
      <c r="B226" s="33" t="str">
        <f>IF(INT(221/Setup!$B$16)+1&lt;=Setup!$B$6,INDEX(Setup!$B$22:$B$29,INT(221/Setup!$B$16)+1),"")</f>
        <v/>
      </c>
      <c r="C226" s="45" t="str">
        <f>IF(INT(221/Setup!$B$16)+1&lt;=Setup!$B$6,INDEX(Scores!$D$4:$D$227,(INT(221/Setup!$B$16)+1-1)*28+MOD(221,Setup!$B$16)+1),"")</f>
        <v/>
      </c>
      <c r="D226" s="106" t="str">
        <f>IF(INT(221/Setup!$B$16)+1&lt;=Setup!$B$6,INDEX(Scores!$E$4:$E$227,(INT(221/Setup!$B$16)+1-1)*28+MOD(221,Setup!$B$16)+1),"")</f>
        <v/>
      </c>
      <c r="E226" s="107"/>
      <c r="F226" s="107"/>
      <c r="G226" s="108" t="str">
        <f>IF(INT(221/Setup!$B$16)+1&lt;=Setup!$B$6,INDEX(Scores!$G$4:$G$227,(INT(221/Setup!$B$16)+1-1)*28+MOD(221,Setup!$B$16)+1),"")</f>
        <v/>
      </c>
      <c r="H226" s="33" t="str">
        <f>IF(A226="","",IF(INDEX(Scores!$I$4:$I$227,(INT(221/Setup!$B$16)+1-1)*28+MOD(221,Setup!$B$16)+1)=1,"Complete","Waiting"))</f>
        <v/>
      </c>
      <c r="I226" s="33" t="str">
        <f t="shared" si="3"/>
        <v/>
      </c>
    </row>
    <row r="227" spans="1:9">
      <c r="A227" s="33" t="str">
        <f>IF(INT(222/Setup!$B$16)+1&lt;=Setup!$B$6,INDEX(Scores!$A$4:$A$227,(INT(222/Setup!$B$16)+1-1)*28+MOD(222,Setup!$B$16)+1),"")</f>
        <v/>
      </c>
      <c r="B227" s="33" t="str">
        <f>IF(INT(222/Setup!$B$16)+1&lt;=Setup!$B$6,INDEX(Setup!$B$22:$B$29,INT(222/Setup!$B$16)+1),"")</f>
        <v/>
      </c>
      <c r="C227" s="45" t="str">
        <f>IF(INT(222/Setup!$B$16)+1&lt;=Setup!$B$6,INDEX(Scores!$D$4:$D$227,(INT(222/Setup!$B$16)+1-1)*28+MOD(222,Setup!$B$16)+1),"")</f>
        <v/>
      </c>
      <c r="D227" s="106" t="str">
        <f>IF(INT(222/Setup!$B$16)+1&lt;=Setup!$B$6,INDEX(Scores!$E$4:$E$227,(INT(222/Setup!$B$16)+1-1)*28+MOD(222,Setup!$B$16)+1),"")</f>
        <v/>
      </c>
      <c r="E227" s="107"/>
      <c r="F227" s="107"/>
      <c r="G227" s="108" t="str">
        <f>IF(INT(222/Setup!$B$16)+1&lt;=Setup!$B$6,INDEX(Scores!$G$4:$G$227,(INT(222/Setup!$B$16)+1-1)*28+MOD(222,Setup!$B$16)+1),"")</f>
        <v/>
      </c>
      <c r="H227" s="33" t="str">
        <f>IF(A227="","",IF(INDEX(Scores!$I$4:$I$227,(INT(222/Setup!$B$16)+1-1)*28+MOD(222,Setup!$B$16)+1)=1,"Complete","Waiting"))</f>
        <v/>
      </c>
      <c r="I227" s="33" t="str">
        <f t="shared" si="3"/>
        <v/>
      </c>
    </row>
    <row r="228" spans="1:9">
      <c r="A228" s="33" t="str">
        <f>IF(INT(223/Setup!$B$16)+1&lt;=Setup!$B$6,INDEX(Scores!$A$4:$A$227,(INT(223/Setup!$B$16)+1-1)*28+MOD(223,Setup!$B$16)+1),"")</f>
        <v/>
      </c>
      <c r="B228" s="33" t="str">
        <f>IF(INT(223/Setup!$B$16)+1&lt;=Setup!$B$6,INDEX(Setup!$B$22:$B$29,INT(223/Setup!$B$16)+1),"")</f>
        <v/>
      </c>
      <c r="C228" s="45" t="str">
        <f>IF(INT(223/Setup!$B$16)+1&lt;=Setup!$B$6,INDEX(Scores!$D$4:$D$227,(INT(223/Setup!$B$16)+1-1)*28+MOD(223,Setup!$B$16)+1),"")</f>
        <v/>
      </c>
      <c r="D228" s="106" t="str">
        <f>IF(INT(223/Setup!$B$16)+1&lt;=Setup!$B$6,INDEX(Scores!$E$4:$E$227,(INT(223/Setup!$B$16)+1-1)*28+MOD(223,Setup!$B$16)+1),"")</f>
        <v/>
      </c>
      <c r="E228" s="107"/>
      <c r="F228" s="107"/>
      <c r="G228" s="108" t="str">
        <f>IF(INT(223/Setup!$B$16)+1&lt;=Setup!$B$6,INDEX(Scores!$G$4:$G$227,(INT(223/Setup!$B$16)+1-1)*28+MOD(223,Setup!$B$16)+1),"")</f>
        <v/>
      </c>
      <c r="H228" s="33" t="str">
        <f>IF(A228="","",IF(INDEX(Scores!$I$4:$I$227,(INT(223/Setup!$B$16)+1-1)*28+MOD(223,Setup!$B$16)+1)=1,"Complete","Waiting"))</f>
        <v/>
      </c>
      <c r="I228" s="33" t="str">
        <f t="shared" si="3"/>
        <v/>
      </c>
    </row>
    <row r="229" spans="1:9">
      <c r="A229" s="33"/>
      <c r="B229" s="33"/>
      <c r="C229" s="45"/>
      <c r="D229" s="81"/>
      <c r="E229" s="45"/>
      <c r="F229" s="45"/>
      <c r="G229" s="33"/>
      <c r="H229" s="33"/>
      <c r="I229" s="33"/>
    </row>
    <row r="230" spans="1:9">
      <c r="A230" s="33"/>
      <c r="B230" s="33"/>
      <c r="C230" s="45"/>
      <c r="D230" s="81"/>
      <c r="E230" s="45"/>
      <c r="F230" s="45"/>
      <c r="G230" s="33"/>
      <c r="H230" s="33"/>
      <c r="I230" s="33"/>
    </row>
  </sheetData>
  <conditionalFormatting sqref="A5:I228">
    <cfRule type="expression" dxfId="7" priority="1">
      <formula>$A5=""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227"/>
  <sheetViews>
    <sheetView workbookViewId="0"/>
  </sheetViews>
  <sheetFormatPr defaultRowHeight="14.25"/>
  <cols>
    <col min="1" max="1" width="7.875" style="7" customWidth="1"/>
    <col min="2" max="2" width="5.75" style="7" customWidth="1"/>
    <col min="3" max="3" width="8" style="7" customWidth="1"/>
    <col min="4" max="4" width="7" style="7" customWidth="1"/>
    <col min="5" max="5" width="14.125" customWidth="1"/>
    <col min="6" max="6" width="6.25" style="7" customWidth="1"/>
    <col min="7" max="7" width="13.125" customWidth="1"/>
    <col min="8" max="8" width="6.125" style="7" customWidth="1"/>
    <col min="9" max="9" width="11.125" style="4" customWidth="1"/>
    <col min="10" max="11" width="4.875" hidden="1" customWidth="1"/>
    <col min="12" max="13" width="9.5" style="7" hidden="1" customWidth="1"/>
    <col min="14" max="14" width="4.625" style="7" hidden="1" customWidth="1"/>
    <col min="15" max="15" width="8.875" style="7" hidden="1" customWidth="1"/>
    <col min="16" max="16" width="12" style="7" hidden="1" customWidth="1"/>
    <col min="17" max="17" width="8.875" style="7" hidden="1" customWidth="1"/>
    <col min="18" max="18" width="12" style="7" hidden="1" customWidth="1"/>
  </cols>
  <sheetData>
    <row r="1" spans="1:18" ht="24" customHeight="1">
      <c r="A1" s="11" t="s">
        <v>222</v>
      </c>
      <c r="B1" s="12"/>
      <c r="C1" s="12"/>
      <c r="D1" s="12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</row>
    <row r="2" spans="1:18">
      <c r="A2" s="102" t="s">
        <v>223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</row>
    <row r="3" spans="1:18" ht="24">
      <c r="A3" s="14" t="s">
        <v>224</v>
      </c>
      <c r="B3" s="14" t="s">
        <v>78</v>
      </c>
      <c r="C3" s="14" t="s">
        <v>225</v>
      </c>
      <c r="D3" s="14" t="s">
        <v>215</v>
      </c>
      <c r="E3" s="14" t="s">
        <v>216</v>
      </c>
      <c r="F3" s="14" t="s">
        <v>217</v>
      </c>
      <c r="G3" s="14" t="s">
        <v>219</v>
      </c>
      <c r="H3" s="14" t="s">
        <v>218</v>
      </c>
      <c r="I3" s="15" t="s">
        <v>226</v>
      </c>
      <c r="J3" s="14" t="s">
        <v>227</v>
      </c>
      <c r="K3" s="14" t="s">
        <v>228</v>
      </c>
      <c r="L3" s="14" t="s">
        <v>229</v>
      </c>
      <c r="M3" s="14" t="s">
        <v>230</v>
      </c>
      <c r="N3" s="14" t="s">
        <v>231</v>
      </c>
      <c r="O3" s="14" t="s">
        <v>232</v>
      </c>
      <c r="P3" s="14" t="s">
        <v>233</v>
      </c>
      <c r="Q3" s="14" t="s">
        <v>234</v>
      </c>
      <c r="R3" s="14" t="s">
        <v>235</v>
      </c>
    </row>
    <row r="4" spans="1:18">
      <c r="A4" s="16">
        <v>1</v>
      </c>
      <c r="B4" s="16" t="str">
        <f>IF(INT(($A4-1)/28)+1&lt;=Setup!$B$6,INDEX(Setup!$B$22:$B$29,INT(($A4-1)/28)+1),"")</f>
        <v>A</v>
      </c>
      <c r="C4" s="16">
        <f t="shared" ref="C4:C67" si="0">IF($B4="","",MOD($A4-1,28)+1)</f>
        <v>1</v>
      </c>
      <c r="D4" s="16">
        <f>IF(OR($B4="",$C4&gt;Setup!$B$16),"",IFERROR(INDEX('Fixture Library'!$D$4:$D$83,MATCH(Setup!$B$7&amp;"-"&amp;$C4,'Fixture Library'!$A$4:$A$83,0)),""))</f>
        <v>1</v>
      </c>
      <c r="E4" s="17">
        <f>IF($J4="","",IFERROR(INDEX(Teams!$D$4:$D$67,MATCH($B4&amp;"-"&amp;$J4,Teams!$E$4:$E$67,0)),""))</f>
        <v>0</v>
      </c>
      <c r="F4" s="16">
        <f>IF(OR($E4="",$G4="",$C4&gt;Setup!$B$16),"",IFERROR(INDEX(Results!$E$5:$E$228,INT(($A4-1)/28)*Setup!$B$16+$C4),""))</f>
        <v>0</v>
      </c>
      <c r="G4" s="17">
        <f>IF($K4="","",IFERROR(INDEX(Teams!$D$4:$D$67,MATCH($B4&amp;"-"&amp;$K4,Teams!$E$4:$E$67,0)),""))</f>
        <v>0</v>
      </c>
      <c r="H4" s="16">
        <f>IF(OR($E4="",$G4="",$C4&gt;Setup!$B$16),"",IFERROR(INDEX(Results!$F$5:$F$228,INT(($A4-1)/28)*Setup!$B$16+$C4),""))</f>
        <v>0</v>
      </c>
      <c r="I4" s="18">
        <f>IF(AND($E4&lt;&gt;"",$G4&lt;&gt;"",ISNUMBER($F4),ISNUMBER($H4)),1,0)</f>
        <v>1</v>
      </c>
      <c r="J4" s="19">
        <f>IF(OR($B4="",$C4&gt;Setup!$B$16),"",IFERROR(INDEX('Fixture Library'!$E$4:$E$83,MATCH(Setup!$B$7&amp;"-"&amp;$C4,'Fixture Library'!$A$4:$A$83,0)),""))</f>
        <v>1</v>
      </c>
      <c r="K4" s="19">
        <f>IF(OR($B4="",$C4&gt;Setup!$B$16),"",IFERROR(INDEX('Fixture Library'!$F$4:$F$83,MATCH(Setup!$B$7&amp;"-"&amp;$C4,'Fixture Library'!$A$4:$A$83,0)),""))</f>
        <v>8</v>
      </c>
      <c r="L4" s="16">
        <f t="shared" ref="L4:L67" si="1">IF($I4=1,IF($F4&gt;$H4,1,0),0)</f>
        <v>0</v>
      </c>
      <c r="M4" s="16">
        <f t="shared" ref="M4:M67" si="2">IF($I4=1,IF($H4&gt;$F4,1,0),0)</f>
        <v>0</v>
      </c>
      <c r="N4" s="16">
        <f t="shared" ref="N4:N67" si="3">IF($I4=1,IF($F4=$H4,1,0),0)</f>
        <v>1</v>
      </c>
      <c r="O4" s="16">
        <f t="shared" ref="O4:O67" si="4">IF($I4=1,$F4,0)</f>
        <v>0</v>
      </c>
      <c r="P4" s="16">
        <f t="shared" ref="P4:Q23" si="5">IF($I4=1,$H4,0)</f>
        <v>0</v>
      </c>
      <c r="Q4" s="16">
        <f t="shared" si="5"/>
        <v>0</v>
      </c>
      <c r="R4" s="16">
        <f t="shared" ref="R4:R67" si="6">IF($I4=1,$F4,0)</f>
        <v>0</v>
      </c>
    </row>
    <row r="5" spans="1:18">
      <c r="A5" s="16">
        <v>2</v>
      </c>
      <c r="B5" s="16" t="str">
        <f>IF(INT(($A5-1)/28)+1&lt;=Setup!$B$6,INDEX(Setup!$B$22:$B$29,INT(($A5-1)/28)+1),"")</f>
        <v>A</v>
      </c>
      <c r="C5" s="16">
        <f t="shared" si="0"/>
        <v>2</v>
      </c>
      <c r="D5" s="16">
        <f>IF(OR($B5="",$C5&gt;Setup!$B$16),"",IFERROR(INDEX('Fixture Library'!$D$4:$D$83,MATCH(Setup!$B$7&amp;"-"&amp;$C5,'Fixture Library'!$A$4:$A$83,0)),""))</f>
        <v>1</v>
      </c>
      <c r="E5" s="17">
        <f>IF($J5="","",IFERROR(INDEX(Teams!$D$4:$D$67,MATCH($B5&amp;"-"&amp;$J5,Teams!$E$4:$E$67,0)),""))</f>
        <v>0</v>
      </c>
      <c r="F5" s="16">
        <f>IF(OR($E5="",$G5="",$C5&gt;Setup!$B$16),"",IFERROR(INDEX(Results!$E$5:$E$228,INT(($A5-1)/28)*Setup!$B$16+$C5),""))</f>
        <v>0</v>
      </c>
      <c r="G5" s="17">
        <f>IF($K5="","",IFERROR(INDEX(Teams!$D$4:$D$67,MATCH($B5&amp;"-"&amp;$K5,Teams!$E$4:$E$67,0)),""))</f>
        <v>0</v>
      </c>
      <c r="H5" s="16">
        <f>IF(OR($E5="",$G5="",$C5&gt;Setup!$B$16),"",IFERROR(INDEX(Results!$F$5:$F$228,INT(($A5-1)/28)*Setup!$B$16+$C5),""))</f>
        <v>0</v>
      </c>
      <c r="I5" s="18">
        <f t="shared" ref="I5:I68" si="7">IF(AND($E5&lt;&gt;"",$G5&lt;&gt;"",ISNUMBER($F5),ISNUMBER($H5)),1,0)</f>
        <v>1</v>
      </c>
      <c r="J5" s="19">
        <f>IF(OR($B5="",$C5&gt;Setup!$B$16),"",IFERROR(INDEX('Fixture Library'!$E$4:$E$83,MATCH(Setup!$B$7&amp;"-"&amp;$C5,'Fixture Library'!$A$4:$A$83,0)),""))</f>
        <v>2</v>
      </c>
      <c r="K5" s="19">
        <f>IF(OR($B5="",$C5&gt;Setup!$B$16),"",IFERROR(INDEX('Fixture Library'!$F$4:$F$83,MATCH(Setup!$B$7&amp;"-"&amp;$C5,'Fixture Library'!$A$4:$A$83,0)),""))</f>
        <v>7</v>
      </c>
      <c r="L5" s="16">
        <f t="shared" si="1"/>
        <v>0</v>
      </c>
      <c r="M5" s="16">
        <f t="shared" si="2"/>
        <v>0</v>
      </c>
      <c r="N5" s="16">
        <f t="shared" si="3"/>
        <v>1</v>
      </c>
      <c r="O5" s="16">
        <f t="shared" si="4"/>
        <v>0</v>
      </c>
      <c r="P5" s="16">
        <f t="shared" si="5"/>
        <v>0</v>
      </c>
      <c r="Q5" s="16">
        <f t="shared" si="5"/>
        <v>0</v>
      </c>
      <c r="R5" s="16">
        <f t="shared" si="6"/>
        <v>0</v>
      </c>
    </row>
    <row r="6" spans="1:18">
      <c r="A6" s="16">
        <v>3</v>
      </c>
      <c r="B6" s="16" t="str">
        <f>IF(INT(($A6-1)/28)+1&lt;=Setup!$B$6,INDEX(Setup!$B$22:$B$29,INT(($A6-1)/28)+1),"")</f>
        <v>A</v>
      </c>
      <c r="C6" s="16">
        <f t="shared" si="0"/>
        <v>3</v>
      </c>
      <c r="D6" s="16">
        <f>IF(OR($B6="",$C6&gt;Setup!$B$16),"",IFERROR(INDEX('Fixture Library'!$D$4:$D$83,MATCH(Setup!$B$7&amp;"-"&amp;$C6,'Fixture Library'!$A$4:$A$83,0)),""))</f>
        <v>1</v>
      </c>
      <c r="E6" s="17">
        <f>IF($J6="","",IFERROR(INDEX(Teams!$D$4:$D$67,MATCH($B6&amp;"-"&amp;$J6,Teams!$E$4:$E$67,0)),""))</f>
        <v>0</v>
      </c>
      <c r="F6" s="16">
        <f>IF(OR($E6="",$G6="",$C6&gt;Setup!$B$16),"",IFERROR(INDEX(Results!$E$5:$E$228,INT(($A6-1)/28)*Setup!$B$16+$C6),""))</f>
        <v>0</v>
      </c>
      <c r="G6" s="17">
        <f>IF($K6="","",IFERROR(INDEX(Teams!$D$4:$D$67,MATCH($B6&amp;"-"&amp;$K6,Teams!$E$4:$E$67,0)),""))</f>
        <v>0</v>
      </c>
      <c r="H6" s="16">
        <f>IF(OR($E6="",$G6="",$C6&gt;Setup!$B$16),"",IFERROR(INDEX(Results!$F$5:$F$228,INT(($A6-1)/28)*Setup!$B$16+$C6),""))</f>
        <v>0</v>
      </c>
      <c r="I6" s="18">
        <f t="shared" si="7"/>
        <v>1</v>
      </c>
      <c r="J6" s="19">
        <f>IF(OR($B6="",$C6&gt;Setup!$B$16),"",IFERROR(INDEX('Fixture Library'!$E$4:$E$83,MATCH(Setup!$B$7&amp;"-"&amp;$C6,'Fixture Library'!$A$4:$A$83,0)),""))</f>
        <v>3</v>
      </c>
      <c r="K6" s="19">
        <f>IF(OR($B6="",$C6&gt;Setup!$B$16),"",IFERROR(INDEX('Fixture Library'!$F$4:$F$83,MATCH(Setup!$B$7&amp;"-"&amp;$C6,'Fixture Library'!$A$4:$A$83,0)),""))</f>
        <v>6</v>
      </c>
      <c r="L6" s="16">
        <f t="shared" si="1"/>
        <v>0</v>
      </c>
      <c r="M6" s="16">
        <f t="shared" si="2"/>
        <v>0</v>
      </c>
      <c r="N6" s="16">
        <f t="shared" si="3"/>
        <v>1</v>
      </c>
      <c r="O6" s="16">
        <f t="shared" si="4"/>
        <v>0</v>
      </c>
      <c r="P6" s="16">
        <f t="shared" si="5"/>
        <v>0</v>
      </c>
      <c r="Q6" s="16">
        <f t="shared" si="5"/>
        <v>0</v>
      </c>
      <c r="R6" s="16">
        <f t="shared" si="6"/>
        <v>0</v>
      </c>
    </row>
    <row r="7" spans="1:18">
      <c r="A7" s="16">
        <v>4</v>
      </c>
      <c r="B7" s="16" t="str">
        <f>IF(INT(($A7-1)/28)+1&lt;=Setup!$B$6,INDEX(Setup!$B$22:$B$29,INT(($A7-1)/28)+1),"")</f>
        <v>A</v>
      </c>
      <c r="C7" s="16">
        <f t="shared" si="0"/>
        <v>4</v>
      </c>
      <c r="D7" s="16">
        <f>IF(OR($B7="",$C7&gt;Setup!$B$16),"",IFERROR(INDEX('Fixture Library'!$D$4:$D$83,MATCH(Setup!$B$7&amp;"-"&amp;$C7,'Fixture Library'!$A$4:$A$83,0)),""))</f>
        <v>1</v>
      </c>
      <c r="E7" s="17">
        <f>IF($J7="","",IFERROR(INDEX(Teams!$D$4:$D$67,MATCH($B7&amp;"-"&amp;$J7,Teams!$E$4:$E$67,0)),""))</f>
        <v>0</v>
      </c>
      <c r="F7" s="16">
        <f>IF(OR($E7="",$G7="",$C7&gt;Setup!$B$16),"",IFERROR(INDEX(Results!$E$5:$E$228,INT(($A7-1)/28)*Setup!$B$16+$C7),""))</f>
        <v>0</v>
      </c>
      <c r="G7" s="17">
        <f>IF($K7="","",IFERROR(INDEX(Teams!$D$4:$D$67,MATCH($B7&amp;"-"&amp;$K7,Teams!$E$4:$E$67,0)),""))</f>
        <v>0</v>
      </c>
      <c r="H7" s="16">
        <f>IF(OR($E7="",$G7="",$C7&gt;Setup!$B$16),"",IFERROR(INDEX(Results!$F$5:$F$228,INT(($A7-1)/28)*Setup!$B$16+$C7),""))</f>
        <v>0</v>
      </c>
      <c r="I7" s="18">
        <f t="shared" si="7"/>
        <v>1</v>
      </c>
      <c r="J7" s="19">
        <f>IF(OR($B7="",$C7&gt;Setup!$B$16),"",IFERROR(INDEX('Fixture Library'!$E$4:$E$83,MATCH(Setup!$B$7&amp;"-"&amp;$C7,'Fixture Library'!$A$4:$A$83,0)),""))</f>
        <v>4</v>
      </c>
      <c r="K7" s="19">
        <f>IF(OR($B7="",$C7&gt;Setup!$B$16),"",IFERROR(INDEX('Fixture Library'!$F$4:$F$83,MATCH(Setup!$B$7&amp;"-"&amp;$C7,'Fixture Library'!$A$4:$A$83,0)),""))</f>
        <v>5</v>
      </c>
      <c r="L7" s="16">
        <f t="shared" si="1"/>
        <v>0</v>
      </c>
      <c r="M7" s="16">
        <f t="shared" si="2"/>
        <v>0</v>
      </c>
      <c r="N7" s="16">
        <f t="shared" si="3"/>
        <v>1</v>
      </c>
      <c r="O7" s="16">
        <f t="shared" si="4"/>
        <v>0</v>
      </c>
      <c r="P7" s="16">
        <f t="shared" si="5"/>
        <v>0</v>
      </c>
      <c r="Q7" s="16">
        <f t="shared" si="5"/>
        <v>0</v>
      </c>
      <c r="R7" s="16">
        <f t="shared" si="6"/>
        <v>0</v>
      </c>
    </row>
    <row r="8" spans="1:18">
      <c r="A8" s="16">
        <v>5</v>
      </c>
      <c r="B8" s="16" t="str">
        <f>IF(INT(($A8-1)/28)+1&lt;=Setup!$B$6,INDEX(Setup!$B$22:$B$29,INT(($A8-1)/28)+1),"")</f>
        <v>A</v>
      </c>
      <c r="C8" s="16">
        <f t="shared" si="0"/>
        <v>5</v>
      </c>
      <c r="D8" s="16">
        <f>IF(OR($B8="",$C8&gt;Setup!$B$16),"",IFERROR(INDEX('Fixture Library'!$D$4:$D$83,MATCH(Setup!$B$7&amp;"-"&amp;$C8,'Fixture Library'!$A$4:$A$83,0)),""))</f>
        <v>2</v>
      </c>
      <c r="E8" s="17">
        <f>IF($J8="","",IFERROR(INDEX(Teams!$D$4:$D$67,MATCH($B8&amp;"-"&amp;$J8,Teams!$E$4:$E$67,0)),""))</f>
        <v>0</v>
      </c>
      <c r="F8" s="16">
        <f>IF(OR($E8="",$G8="",$C8&gt;Setup!$B$16),"",IFERROR(INDEX(Results!$E$5:$E$228,INT(($A8-1)/28)*Setup!$B$16+$C8),""))</f>
        <v>0</v>
      </c>
      <c r="G8" s="17">
        <f>IF($K8="","",IFERROR(INDEX(Teams!$D$4:$D$67,MATCH($B8&amp;"-"&amp;$K8,Teams!$E$4:$E$67,0)),""))</f>
        <v>0</v>
      </c>
      <c r="H8" s="16">
        <f>IF(OR($E8="",$G8="",$C8&gt;Setup!$B$16),"",IFERROR(INDEX(Results!$F$5:$F$228,INT(($A8-1)/28)*Setup!$B$16+$C8),""))</f>
        <v>0</v>
      </c>
      <c r="I8" s="18">
        <f t="shared" si="7"/>
        <v>1</v>
      </c>
      <c r="J8" s="19">
        <f>IF(OR($B8="",$C8&gt;Setup!$B$16),"",IFERROR(INDEX('Fixture Library'!$E$4:$E$83,MATCH(Setup!$B$7&amp;"-"&amp;$C8,'Fixture Library'!$A$4:$A$83,0)),""))</f>
        <v>7</v>
      </c>
      <c r="K8" s="19">
        <f>IF(OR($B8="",$C8&gt;Setup!$B$16),"",IFERROR(INDEX('Fixture Library'!$F$4:$F$83,MATCH(Setup!$B$7&amp;"-"&amp;$C8,'Fixture Library'!$A$4:$A$83,0)),""))</f>
        <v>1</v>
      </c>
      <c r="L8" s="16">
        <f t="shared" si="1"/>
        <v>0</v>
      </c>
      <c r="M8" s="16">
        <f t="shared" si="2"/>
        <v>0</v>
      </c>
      <c r="N8" s="16">
        <f t="shared" si="3"/>
        <v>1</v>
      </c>
      <c r="O8" s="16">
        <f t="shared" si="4"/>
        <v>0</v>
      </c>
      <c r="P8" s="16">
        <f t="shared" si="5"/>
        <v>0</v>
      </c>
      <c r="Q8" s="16">
        <f t="shared" si="5"/>
        <v>0</v>
      </c>
      <c r="R8" s="16">
        <f t="shared" si="6"/>
        <v>0</v>
      </c>
    </row>
    <row r="9" spans="1:18">
      <c r="A9" s="16">
        <v>6</v>
      </c>
      <c r="B9" s="16" t="str">
        <f>IF(INT(($A9-1)/28)+1&lt;=Setup!$B$6,INDEX(Setup!$B$22:$B$29,INT(($A9-1)/28)+1),"")</f>
        <v>A</v>
      </c>
      <c r="C9" s="16">
        <f t="shared" si="0"/>
        <v>6</v>
      </c>
      <c r="D9" s="16">
        <f>IF(OR($B9="",$C9&gt;Setup!$B$16),"",IFERROR(INDEX('Fixture Library'!$D$4:$D$83,MATCH(Setup!$B$7&amp;"-"&amp;$C9,'Fixture Library'!$A$4:$A$83,0)),""))</f>
        <v>2</v>
      </c>
      <c r="E9" s="17">
        <f>IF($J9="","",IFERROR(INDEX(Teams!$D$4:$D$67,MATCH($B9&amp;"-"&amp;$J9,Teams!$E$4:$E$67,0)),""))</f>
        <v>0</v>
      </c>
      <c r="F9" s="16">
        <f>IF(OR($E9="",$G9="",$C9&gt;Setup!$B$16),"",IFERROR(INDEX(Results!$E$5:$E$228,INT(($A9-1)/28)*Setup!$B$16+$C9),""))</f>
        <v>0</v>
      </c>
      <c r="G9" s="17">
        <f>IF($K9="","",IFERROR(INDEX(Teams!$D$4:$D$67,MATCH($B9&amp;"-"&amp;$K9,Teams!$E$4:$E$67,0)),""))</f>
        <v>0</v>
      </c>
      <c r="H9" s="16">
        <f>IF(OR($E9="",$G9="",$C9&gt;Setup!$B$16),"",IFERROR(INDEX(Results!$F$5:$F$228,INT(($A9-1)/28)*Setup!$B$16+$C9),""))</f>
        <v>0</v>
      </c>
      <c r="I9" s="18">
        <f t="shared" si="7"/>
        <v>1</v>
      </c>
      <c r="J9" s="19">
        <f>IF(OR($B9="",$C9&gt;Setup!$B$16),"",IFERROR(INDEX('Fixture Library'!$E$4:$E$83,MATCH(Setup!$B$7&amp;"-"&amp;$C9,'Fixture Library'!$A$4:$A$83,0)),""))</f>
        <v>6</v>
      </c>
      <c r="K9" s="19">
        <f>IF(OR($B9="",$C9&gt;Setup!$B$16),"",IFERROR(INDEX('Fixture Library'!$F$4:$F$83,MATCH(Setup!$B$7&amp;"-"&amp;$C9,'Fixture Library'!$A$4:$A$83,0)),""))</f>
        <v>8</v>
      </c>
      <c r="L9" s="16">
        <f t="shared" si="1"/>
        <v>0</v>
      </c>
      <c r="M9" s="16">
        <f t="shared" si="2"/>
        <v>0</v>
      </c>
      <c r="N9" s="16">
        <f t="shared" si="3"/>
        <v>1</v>
      </c>
      <c r="O9" s="16">
        <f t="shared" si="4"/>
        <v>0</v>
      </c>
      <c r="P9" s="16">
        <f t="shared" si="5"/>
        <v>0</v>
      </c>
      <c r="Q9" s="16">
        <f t="shared" si="5"/>
        <v>0</v>
      </c>
      <c r="R9" s="16">
        <f t="shared" si="6"/>
        <v>0</v>
      </c>
    </row>
    <row r="10" spans="1:18">
      <c r="A10" s="16">
        <v>7</v>
      </c>
      <c r="B10" s="16" t="str">
        <f>IF(INT(($A10-1)/28)+1&lt;=Setup!$B$6,INDEX(Setup!$B$22:$B$29,INT(($A10-1)/28)+1),"")</f>
        <v>A</v>
      </c>
      <c r="C10" s="16">
        <f t="shared" si="0"/>
        <v>7</v>
      </c>
      <c r="D10" s="16">
        <f>IF(OR($B10="",$C10&gt;Setup!$B$16),"",IFERROR(INDEX('Fixture Library'!$D$4:$D$83,MATCH(Setup!$B$7&amp;"-"&amp;$C10,'Fixture Library'!$A$4:$A$83,0)),""))</f>
        <v>2</v>
      </c>
      <c r="E10" s="17">
        <f>IF($J10="","",IFERROR(INDEX(Teams!$D$4:$D$67,MATCH($B10&amp;"-"&amp;$J10,Teams!$E$4:$E$67,0)),""))</f>
        <v>0</v>
      </c>
      <c r="F10" s="16">
        <f>IF(OR($E10="",$G10="",$C10&gt;Setup!$B$16),"",IFERROR(INDEX(Results!$E$5:$E$228,INT(($A10-1)/28)*Setup!$B$16+$C10),""))</f>
        <v>0</v>
      </c>
      <c r="G10" s="17">
        <f>IF($K10="","",IFERROR(INDEX(Teams!$D$4:$D$67,MATCH($B10&amp;"-"&amp;$K10,Teams!$E$4:$E$67,0)),""))</f>
        <v>0</v>
      </c>
      <c r="H10" s="16">
        <f>IF(OR($E10="",$G10="",$C10&gt;Setup!$B$16),"",IFERROR(INDEX(Results!$F$5:$F$228,INT(($A10-1)/28)*Setup!$B$16+$C10),""))</f>
        <v>0</v>
      </c>
      <c r="I10" s="18">
        <f t="shared" si="7"/>
        <v>1</v>
      </c>
      <c r="J10" s="19">
        <f>IF(OR($B10="",$C10&gt;Setup!$B$16),"",IFERROR(INDEX('Fixture Library'!$E$4:$E$83,MATCH(Setup!$B$7&amp;"-"&amp;$C10,'Fixture Library'!$A$4:$A$83,0)),""))</f>
        <v>5</v>
      </c>
      <c r="K10" s="19">
        <f>IF(OR($B10="",$C10&gt;Setup!$B$16),"",IFERROR(INDEX('Fixture Library'!$F$4:$F$83,MATCH(Setup!$B$7&amp;"-"&amp;$C10,'Fixture Library'!$A$4:$A$83,0)),""))</f>
        <v>2</v>
      </c>
      <c r="L10" s="16">
        <f t="shared" si="1"/>
        <v>0</v>
      </c>
      <c r="M10" s="16">
        <f t="shared" si="2"/>
        <v>0</v>
      </c>
      <c r="N10" s="16">
        <f t="shared" si="3"/>
        <v>1</v>
      </c>
      <c r="O10" s="16">
        <f t="shared" si="4"/>
        <v>0</v>
      </c>
      <c r="P10" s="16">
        <f t="shared" si="5"/>
        <v>0</v>
      </c>
      <c r="Q10" s="16">
        <f t="shared" si="5"/>
        <v>0</v>
      </c>
      <c r="R10" s="16">
        <f t="shared" si="6"/>
        <v>0</v>
      </c>
    </row>
    <row r="11" spans="1:18">
      <c r="A11" s="16">
        <v>8</v>
      </c>
      <c r="B11" s="16" t="str">
        <f>IF(INT(($A11-1)/28)+1&lt;=Setup!$B$6,INDEX(Setup!$B$22:$B$29,INT(($A11-1)/28)+1),"")</f>
        <v>A</v>
      </c>
      <c r="C11" s="16">
        <f t="shared" si="0"/>
        <v>8</v>
      </c>
      <c r="D11" s="16">
        <f>IF(OR($B11="",$C11&gt;Setup!$B$16),"",IFERROR(INDEX('Fixture Library'!$D$4:$D$83,MATCH(Setup!$B$7&amp;"-"&amp;$C11,'Fixture Library'!$A$4:$A$83,0)),""))</f>
        <v>2</v>
      </c>
      <c r="E11" s="17">
        <f>IF($J11="","",IFERROR(INDEX(Teams!$D$4:$D$67,MATCH($B11&amp;"-"&amp;$J11,Teams!$E$4:$E$67,0)),""))</f>
        <v>0</v>
      </c>
      <c r="F11" s="16">
        <f>IF(OR($E11="",$G11="",$C11&gt;Setup!$B$16),"",IFERROR(INDEX(Results!$E$5:$E$228,INT(($A11-1)/28)*Setup!$B$16+$C11),""))</f>
        <v>0</v>
      </c>
      <c r="G11" s="17">
        <f>IF($K11="","",IFERROR(INDEX(Teams!$D$4:$D$67,MATCH($B11&amp;"-"&amp;$K11,Teams!$E$4:$E$67,0)),""))</f>
        <v>0</v>
      </c>
      <c r="H11" s="16">
        <f>IF(OR($E11="",$G11="",$C11&gt;Setup!$B$16),"",IFERROR(INDEX(Results!$F$5:$F$228,INT(($A11-1)/28)*Setup!$B$16+$C11),""))</f>
        <v>0</v>
      </c>
      <c r="I11" s="18">
        <f t="shared" si="7"/>
        <v>1</v>
      </c>
      <c r="J11" s="19">
        <f>IF(OR($B11="",$C11&gt;Setup!$B$16),"",IFERROR(INDEX('Fixture Library'!$E$4:$E$83,MATCH(Setup!$B$7&amp;"-"&amp;$C11,'Fixture Library'!$A$4:$A$83,0)),""))</f>
        <v>4</v>
      </c>
      <c r="K11" s="19">
        <f>IF(OR($B11="",$C11&gt;Setup!$B$16),"",IFERROR(INDEX('Fixture Library'!$F$4:$F$83,MATCH(Setup!$B$7&amp;"-"&amp;$C11,'Fixture Library'!$A$4:$A$83,0)),""))</f>
        <v>3</v>
      </c>
      <c r="L11" s="16">
        <f t="shared" si="1"/>
        <v>0</v>
      </c>
      <c r="M11" s="16">
        <f t="shared" si="2"/>
        <v>0</v>
      </c>
      <c r="N11" s="16">
        <f t="shared" si="3"/>
        <v>1</v>
      </c>
      <c r="O11" s="16">
        <f t="shared" si="4"/>
        <v>0</v>
      </c>
      <c r="P11" s="16">
        <f t="shared" si="5"/>
        <v>0</v>
      </c>
      <c r="Q11" s="16">
        <f t="shared" si="5"/>
        <v>0</v>
      </c>
      <c r="R11" s="16">
        <f t="shared" si="6"/>
        <v>0</v>
      </c>
    </row>
    <row r="12" spans="1:18">
      <c r="A12" s="16">
        <v>9</v>
      </c>
      <c r="B12" s="16" t="str">
        <f>IF(INT(($A12-1)/28)+1&lt;=Setup!$B$6,INDEX(Setup!$B$22:$B$29,INT(($A12-1)/28)+1),"")</f>
        <v>A</v>
      </c>
      <c r="C12" s="16">
        <f t="shared" si="0"/>
        <v>9</v>
      </c>
      <c r="D12" s="16">
        <f>IF(OR($B12="",$C12&gt;Setup!$B$16),"",IFERROR(INDEX('Fixture Library'!$D$4:$D$83,MATCH(Setup!$B$7&amp;"-"&amp;$C12,'Fixture Library'!$A$4:$A$83,0)),""))</f>
        <v>3</v>
      </c>
      <c r="E12" s="17">
        <f>IF($J12="","",IFERROR(INDEX(Teams!$D$4:$D$67,MATCH($B12&amp;"-"&amp;$J12,Teams!$E$4:$E$67,0)),""))</f>
        <v>0</v>
      </c>
      <c r="F12" s="16">
        <f>IF(OR($E12="",$G12="",$C12&gt;Setup!$B$16),"",IFERROR(INDEX(Results!$E$5:$E$228,INT(($A12-1)/28)*Setup!$B$16+$C12),""))</f>
        <v>0</v>
      </c>
      <c r="G12" s="17">
        <f>IF($K12="","",IFERROR(INDEX(Teams!$D$4:$D$67,MATCH($B12&amp;"-"&amp;$K12,Teams!$E$4:$E$67,0)),""))</f>
        <v>0</v>
      </c>
      <c r="H12" s="16">
        <f>IF(OR($E12="",$G12="",$C12&gt;Setup!$B$16),"",IFERROR(INDEX(Results!$F$5:$F$228,INT(($A12-1)/28)*Setup!$B$16+$C12),""))</f>
        <v>0</v>
      </c>
      <c r="I12" s="18">
        <f t="shared" si="7"/>
        <v>1</v>
      </c>
      <c r="J12" s="19">
        <f>IF(OR($B12="",$C12&gt;Setup!$B$16),"",IFERROR(INDEX('Fixture Library'!$E$4:$E$83,MATCH(Setup!$B$7&amp;"-"&amp;$C12,'Fixture Library'!$A$4:$A$83,0)),""))</f>
        <v>1</v>
      </c>
      <c r="K12" s="19">
        <f>IF(OR($B12="",$C12&gt;Setup!$B$16),"",IFERROR(INDEX('Fixture Library'!$F$4:$F$83,MATCH(Setup!$B$7&amp;"-"&amp;$C12,'Fixture Library'!$A$4:$A$83,0)),""))</f>
        <v>6</v>
      </c>
      <c r="L12" s="16">
        <f t="shared" si="1"/>
        <v>0</v>
      </c>
      <c r="M12" s="16">
        <f t="shared" si="2"/>
        <v>0</v>
      </c>
      <c r="N12" s="16">
        <f t="shared" si="3"/>
        <v>1</v>
      </c>
      <c r="O12" s="16">
        <f t="shared" si="4"/>
        <v>0</v>
      </c>
      <c r="P12" s="16">
        <f t="shared" si="5"/>
        <v>0</v>
      </c>
      <c r="Q12" s="16">
        <f t="shared" si="5"/>
        <v>0</v>
      </c>
      <c r="R12" s="16">
        <f t="shared" si="6"/>
        <v>0</v>
      </c>
    </row>
    <row r="13" spans="1:18">
      <c r="A13" s="16">
        <v>10</v>
      </c>
      <c r="B13" s="16" t="str">
        <f>IF(INT(($A13-1)/28)+1&lt;=Setup!$B$6,INDEX(Setup!$B$22:$B$29,INT(($A13-1)/28)+1),"")</f>
        <v>A</v>
      </c>
      <c r="C13" s="16">
        <f t="shared" si="0"/>
        <v>10</v>
      </c>
      <c r="D13" s="16">
        <f>IF(OR($B13="",$C13&gt;Setup!$B$16),"",IFERROR(INDEX('Fixture Library'!$D$4:$D$83,MATCH(Setup!$B$7&amp;"-"&amp;$C13,'Fixture Library'!$A$4:$A$83,0)),""))</f>
        <v>3</v>
      </c>
      <c r="E13" s="17">
        <f>IF($J13="","",IFERROR(INDEX(Teams!$D$4:$D$67,MATCH($B13&amp;"-"&amp;$J13,Teams!$E$4:$E$67,0)),""))</f>
        <v>0</v>
      </c>
      <c r="F13" s="16">
        <f>IF(OR($E13="",$G13="",$C13&gt;Setup!$B$16),"",IFERROR(INDEX(Results!$E$5:$E$228,INT(($A13-1)/28)*Setup!$B$16+$C13),""))</f>
        <v>0</v>
      </c>
      <c r="G13" s="17">
        <f>IF($K13="","",IFERROR(INDEX(Teams!$D$4:$D$67,MATCH($B13&amp;"-"&amp;$K13,Teams!$E$4:$E$67,0)),""))</f>
        <v>0</v>
      </c>
      <c r="H13" s="16">
        <f>IF(OR($E13="",$G13="",$C13&gt;Setup!$B$16),"",IFERROR(INDEX(Results!$F$5:$F$228,INT(($A13-1)/28)*Setup!$B$16+$C13),""))</f>
        <v>0</v>
      </c>
      <c r="I13" s="18">
        <f t="shared" si="7"/>
        <v>1</v>
      </c>
      <c r="J13" s="19">
        <f>IF(OR($B13="",$C13&gt;Setup!$B$16),"",IFERROR(INDEX('Fixture Library'!$E$4:$E$83,MATCH(Setup!$B$7&amp;"-"&amp;$C13,'Fixture Library'!$A$4:$A$83,0)),""))</f>
        <v>7</v>
      </c>
      <c r="K13" s="19">
        <f>IF(OR($B13="",$C13&gt;Setup!$B$16),"",IFERROR(INDEX('Fixture Library'!$F$4:$F$83,MATCH(Setup!$B$7&amp;"-"&amp;$C13,'Fixture Library'!$A$4:$A$83,0)),""))</f>
        <v>5</v>
      </c>
      <c r="L13" s="16">
        <f t="shared" si="1"/>
        <v>0</v>
      </c>
      <c r="M13" s="16">
        <f t="shared" si="2"/>
        <v>0</v>
      </c>
      <c r="N13" s="16">
        <f t="shared" si="3"/>
        <v>1</v>
      </c>
      <c r="O13" s="16">
        <f t="shared" si="4"/>
        <v>0</v>
      </c>
      <c r="P13" s="16">
        <f t="shared" si="5"/>
        <v>0</v>
      </c>
      <c r="Q13" s="16">
        <f t="shared" si="5"/>
        <v>0</v>
      </c>
      <c r="R13" s="16">
        <f t="shared" si="6"/>
        <v>0</v>
      </c>
    </row>
    <row r="14" spans="1:18">
      <c r="A14" s="16">
        <v>11</v>
      </c>
      <c r="B14" s="16" t="str">
        <f>IF(INT(($A14-1)/28)+1&lt;=Setup!$B$6,INDEX(Setup!$B$22:$B$29,INT(($A14-1)/28)+1),"")</f>
        <v>A</v>
      </c>
      <c r="C14" s="16">
        <f t="shared" si="0"/>
        <v>11</v>
      </c>
      <c r="D14" s="16">
        <f>IF(OR($B14="",$C14&gt;Setup!$B$16),"",IFERROR(INDEX('Fixture Library'!$D$4:$D$83,MATCH(Setup!$B$7&amp;"-"&amp;$C14,'Fixture Library'!$A$4:$A$83,0)),""))</f>
        <v>3</v>
      </c>
      <c r="E14" s="17">
        <f>IF($J14="","",IFERROR(INDEX(Teams!$D$4:$D$67,MATCH($B14&amp;"-"&amp;$J14,Teams!$E$4:$E$67,0)),""))</f>
        <v>0</v>
      </c>
      <c r="F14" s="16">
        <f>IF(OR($E14="",$G14="",$C14&gt;Setup!$B$16),"",IFERROR(INDEX(Results!$E$5:$E$228,INT(($A14-1)/28)*Setup!$B$16+$C14),""))</f>
        <v>0</v>
      </c>
      <c r="G14" s="17">
        <f>IF($K14="","",IFERROR(INDEX(Teams!$D$4:$D$67,MATCH($B14&amp;"-"&amp;$K14,Teams!$E$4:$E$67,0)),""))</f>
        <v>0</v>
      </c>
      <c r="H14" s="16">
        <f>IF(OR($E14="",$G14="",$C14&gt;Setup!$B$16),"",IFERROR(INDEX(Results!$F$5:$F$228,INT(($A14-1)/28)*Setup!$B$16+$C14),""))</f>
        <v>0</v>
      </c>
      <c r="I14" s="18">
        <f t="shared" si="7"/>
        <v>1</v>
      </c>
      <c r="J14" s="19">
        <f>IF(OR($B14="",$C14&gt;Setup!$B$16),"",IFERROR(INDEX('Fixture Library'!$E$4:$E$83,MATCH(Setup!$B$7&amp;"-"&amp;$C14,'Fixture Library'!$A$4:$A$83,0)),""))</f>
        <v>8</v>
      </c>
      <c r="K14" s="19">
        <f>IF(OR($B14="",$C14&gt;Setup!$B$16),"",IFERROR(INDEX('Fixture Library'!$F$4:$F$83,MATCH(Setup!$B$7&amp;"-"&amp;$C14,'Fixture Library'!$A$4:$A$83,0)),""))</f>
        <v>4</v>
      </c>
      <c r="L14" s="16">
        <f t="shared" si="1"/>
        <v>0</v>
      </c>
      <c r="M14" s="16">
        <f t="shared" si="2"/>
        <v>0</v>
      </c>
      <c r="N14" s="16">
        <f t="shared" si="3"/>
        <v>1</v>
      </c>
      <c r="O14" s="16">
        <f t="shared" si="4"/>
        <v>0</v>
      </c>
      <c r="P14" s="16">
        <f t="shared" si="5"/>
        <v>0</v>
      </c>
      <c r="Q14" s="16">
        <f t="shared" si="5"/>
        <v>0</v>
      </c>
      <c r="R14" s="16">
        <f t="shared" si="6"/>
        <v>0</v>
      </c>
    </row>
    <row r="15" spans="1:18">
      <c r="A15" s="16">
        <v>12</v>
      </c>
      <c r="B15" s="16" t="str">
        <f>IF(INT(($A15-1)/28)+1&lt;=Setup!$B$6,INDEX(Setup!$B$22:$B$29,INT(($A15-1)/28)+1),"")</f>
        <v>A</v>
      </c>
      <c r="C15" s="16">
        <f t="shared" si="0"/>
        <v>12</v>
      </c>
      <c r="D15" s="16">
        <f>IF(OR($B15="",$C15&gt;Setup!$B$16),"",IFERROR(INDEX('Fixture Library'!$D$4:$D$83,MATCH(Setup!$B$7&amp;"-"&amp;$C15,'Fixture Library'!$A$4:$A$83,0)),""))</f>
        <v>3</v>
      </c>
      <c r="E15" s="17">
        <f>IF($J15="","",IFERROR(INDEX(Teams!$D$4:$D$67,MATCH($B15&amp;"-"&amp;$J15,Teams!$E$4:$E$67,0)),""))</f>
        <v>0</v>
      </c>
      <c r="F15" s="16">
        <f>IF(OR($E15="",$G15="",$C15&gt;Setup!$B$16),"",IFERROR(INDEX(Results!$E$5:$E$228,INT(($A15-1)/28)*Setup!$B$16+$C15),""))</f>
        <v>0</v>
      </c>
      <c r="G15" s="17">
        <f>IF($K15="","",IFERROR(INDEX(Teams!$D$4:$D$67,MATCH($B15&amp;"-"&amp;$K15,Teams!$E$4:$E$67,0)),""))</f>
        <v>0</v>
      </c>
      <c r="H15" s="16">
        <f>IF(OR($E15="",$G15="",$C15&gt;Setup!$B$16),"",IFERROR(INDEX(Results!$F$5:$F$228,INT(($A15-1)/28)*Setup!$B$16+$C15),""))</f>
        <v>0</v>
      </c>
      <c r="I15" s="18">
        <f t="shared" si="7"/>
        <v>1</v>
      </c>
      <c r="J15" s="19">
        <f>IF(OR($B15="",$C15&gt;Setup!$B$16),"",IFERROR(INDEX('Fixture Library'!$E$4:$E$83,MATCH(Setup!$B$7&amp;"-"&amp;$C15,'Fixture Library'!$A$4:$A$83,0)),""))</f>
        <v>2</v>
      </c>
      <c r="K15" s="19">
        <f>IF(OR($B15="",$C15&gt;Setup!$B$16),"",IFERROR(INDEX('Fixture Library'!$F$4:$F$83,MATCH(Setup!$B$7&amp;"-"&amp;$C15,'Fixture Library'!$A$4:$A$83,0)),""))</f>
        <v>3</v>
      </c>
      <c r="L15" s="16">
        <f t="shared" si="1"/>
        <v>0</v>
      </c>
      <c r="M15" s="16">
        <f t="shared" si="2"/>
        <v>0</v>
      </c>
      <c r="N15" s="16">
        <f t="shared" si="3"/>
        <v>1</v>
      </c>
      <c r="O15" s="16">
        <f t="shared" si="4"/>
        <v>0</v>
      </c>
      <c r="P15" s="16">
        <f t="shared" si="5"/>
        <v>0</v>
      </c>
      <c r="Q15" s="16">
        <f t="shared" si="5"/>
        <v>0</v>
      </c>
      <c r="R15" s="16">
        <f t="shared" si="6"/>
        <v>0</v>
      </c>
    </row>
    <row r="16" spans="1:18">
      <c r="A16" s="16">
        <v>13</v>
      </c>
      <c r="B16" s="16" t="str">
        <f>IF(INT(($A16-1)/28)+1&lt;=Setup!$B$6,INDEX(Setup!$B$22:$B$29,INT(($A16-1)/28)+1),"")</f>
        <v>A</v>
      </c>
      <c r="C16" s="16">
        <f t="shared" si="0"/>
        <v>13</v>
      </c>
      <c r="D16" s="16">
        <f>IF(OR($B16="",$C16&gt;Setup!$B$16),"",IFERROR(INDEX('Fixture Library'!$D$4:$D$83,MATCH(Setup!$B$7&amp;"-"&amp;$C16,'Fixture Library'!$A$4:$A$83,0)),""))</f>
        <v>4</v>
      </c>
      <c r="E16" s="17">
        <f>IF($J16="","",IFERROR(INDEX(Teams!$D$4:$D$67,MATCH($B16&amp;"-"&amp;$J16,Teams!$E$4:$E$67,0)),""))</f>
        <v>0</v>
      </c>
      <c r="F16" s="16">
        <f>IF(OR($E16="",$G16="",$C16&gt;Setup!$B$16),"",IFERROR(INDEX(Results!$E$5:$E$228,INT(($A16-1)/28)*Setup!$B$16+$C16),""))</f>
        <v>0</v>
      </c>
      <c r="G16" s="17">
        <f>IF($K16="","",IFERROR(INDEX(Teams!$D$4:$D$67,MATCH($B16&amp;"-"&amp;$K16,Teams!$E$4:$E$67,0)),""))</f>
        <v>0</v>
      </c>
      <c r="H16" s="16">
        <f>IF(OR($E16="",$G16="",$C16&gt;Setup!$B$16),"",IFERROR(INDEX(Results!$F$5:$F$228,INT(($A16-1)/28)*Setup!$B$16+$C16),""))</f>
        <v>0</v>
      </c>
      <c r="I16" s="18">
        <f t="shared" si="7"/>
        <v>1</v>
      </c>
      <c r="J16" s="19">
        <f>IF(OR($B16="",$C16&gt;Setup!$B$16),"",IFERROR(INDEX('Fixture Library'!$E$4:$E$83,MATCH(Setup!$B$7&amp;"-"&amp;$C16,'Fixture Library'!$A$4:$A$83,0)),""))</f>
        <v>5</v>
      </c>
      <c r="K16" s="19">
        <f>IF(OR($B16="",$C16&gt;Setup!$B$16),"",IFERROR(INDEX('Fixture Library'!$F$4:$F$83,MATCH(Setup!$B$7&amp;"-"&amp;$C16,'Fixture Library'!$A$4:$A$83,0)),""))</f>
        <v>1</v>
      </c>
      <c r="L16" s="16">
        <f t="shared" si="1"/>
        <v>0</v>
      </c>
      <c r="M16" s="16">
        <f t="shared" si="2"/>
        <v>0</v>
      </c>
      <c r="N16" s="16">
        <f t="shared" si="3"/>
        <v>1</v>
      </c>
      <c r="O16" s="16">
        <f t="shared" si="4"/>
        <v>0</v>
      </c>
      <c r="P16" s="16">
        <f t="shared" si="5"/>
        <v>0</v>
      </c>
      <c r="Q16" s="16">
        <f t="shared" si="5"/>
        <v>0</v>
      </c>
      <c r="R16" s="16">
        <f t="shared" si="6"/>
        <v>0</v>
      </c>
    </row>
    <row r="17" spans="1:18">
      <c r="A17" s="16">
        <v>14</v>
      </c>
      <c r="B17" s="16" t="str">
        <f>IF(INT(($A17-1)/28)+1&lt;=Setup!$B$6,INDEX(Setup!$B$22:$B$29,INT(($A17-1)/28)+1),"")</f>
        <v>A</v>
      </c>
      <c r="C17" s="16">
        <f t="shared" si="0"/>
        <v>14</v>
      </c>
      <c r="D17" s="16">
        <f>IF(OR($B17="",$C17&gt;Setup!$B$16),"",IFERROR(INDEX('Fixture Library'!$D$4:$D$83,MATCH(Setup!$B$7&amp;"-"&amp;$C17,'Fixture Library'!$A$4:$A$83,0)),""))</f>
        <v>4</v>
      </c>
      <c r="E17" s="17">
        <f>IF($J17="","",IFERROR(INDEX(Teams!$D$4:$D$67,MATCH($B17&amp;"-"&amp;$J17,Teams!$E$4:$E$67,0)),""))</f>
        <v>0</v>
      </c>
      <c r="F17" s="16">
        <f>IF(OR($E17="",$G17="",$C17&gt;Setup!$B$16),"",IFERROR(INDEX(Results!$E$5:$E$228,INT(($A17-1)/28)*Setup!$B$16+$C17),""))</f>
        <v>0</v>
      </c>
      <c r="G17" s="17">
        <f>IF($K17="","",IFERROR(INDEX(Teams!$D$4:$D$67,MATCH($B17&amp;"-"&amp;$K17,Teams!$E$4:$E$67,0)),""))</f>
        <v>0</v>
      </c>
      <c r="H17" s="16">
        <f>IF(OR($E17="",$G17="",$C17&gt;Setup!$B$16),"",IFERROR(INDEX(Results!$F$5:$F$228,INT(($A17-1)/28)*Setup!$B$16+$C17),""))</f>
        <v>0</v>
      </c>
      <c r="I17" s="18">
        <f t="shared" si="7"/>
        <v>1</v>
      </c>
      <c r="J17" s="19">
        <f>IF(OR($B17="",$C17&gt;Setup!$B$16),"",IFERROR(INDEX('Fixture Library'!$E$4:$E$83,MATCH(Setup!$B$7&amp;"-"&amp;$C17,'Fixture Library'!$A$4:$A$83,0)),""))</f>
        <v>4</v>
      </c>
      <c r="K17" s="19">
        <f>IF(OR($B17="",$C17&gt;Setup!$B$16),"",IFERROR(INDEX('Fixture Library'!$F$4:$F$83,MATCH(Setup!$B$7&amp;"-"&amp;$C17,'Fixture Library'!$A$4:$A$83,0)),""))</f>
        <v>6</v>
      </c>
      <c r="L17" s="16">
        <f t="shared" si="1"/>
        <v>0</v>
      </c>
      <c r="M17" s="16">
        <f t="shared" si="2"/>
        <v>0</v>
      </c>
      <c r="N17" s="16">
        <f t="shared" si="3"/>
        <v>1</v>
      </c>
      <c r="O17" s="16">
        <f t="shared" si="4"/>
        <v>0</v>
      </c>
      <c r="P17" s="16">
        <f t="shared" si="5"/>
        <v>0</v>
      </c>
      <c r="Q17" s="16">
        <f t="shared" si="5"/>
        <v>0</v>
      </c>
      <c r="R17" s="16">
        <f t="shared" si="6"/>
        <v>0</v>
      </c>
    </row>
    <row r="18" spans="1:18">
      <c r="A18" s="16">
        <v>15</v>
      </c>
      <c r="B18" s="16" t="str">
        <f>IF(INT(($A18-1)/28)+1&lt;=Setup!$B$6,INDEX(Setup!$B$22:$B$29,INT(($A18-1)/28)+1),"")</f>
        <v>A</v>
      </c>
      <c r="C18" s="16">
        <f t="shared" si="0"/>
        <v>15</v>
      </c>
      <c r="D18" s="16">
        <f>IF(OR($B18="",$C18&gt;Setup!$B$16),"",IFERROR(INDEX('Fixture Library'!$D$4:$D$83,MATCH(Setup!$B$7&amp;"-"&amp;$C18,'Fixture Library'!$A$4:$A$83,0)),""))</f>
        <v>4</v>
      </c>
      <c r="E18" s="17">
        <f>IF($J18="","",IFERROR(INDEX(Teams!$D$4:$D$67,MATCH($B18&amp;"-"&amp;$J18,Teams!$E$4:$E$67,0)),""))</f>
        <v>0</v>
      </c>
      <c r="F18" s="16">
        <f>IF(OR($E18="",$G18="",$C18&gt;Setup!$B$16),"",IFERROR(INDEX(Results!$E$5:$E$228,INT(($A18-1)/28)*Setup!$B$16+$C18),""))</f>
        <v>0</v>
      </c>
      <c r="G18" s="17">
        <f>IF($K18="","",IFERROR(INDEX(Teams!$D$4:$D$67,MATCH($B18&amp;"-"&amp;$K18,Teams!$E$4:$E$67,0)),""))</f>
        <v>0</v>
      </c>
      <c r="H18" s="16">
        <f>IF(OR($E18="",$G18="",$C18&gt;Setup!$B$16),"",IFERROR(INDEX(Results!$F$5:$F$228,INT(($A18-1)/28)*Setup!$B$16+$C18),""))</f>
        <v>0</v>
      </c>
      <c r="I18" s="18">
        <f t="shared" si="7"/>
        <v>1</v>
      </c>
      <c r="J18" s="19">
        <f>IF(OR($B18="",$C18&gt;Setup!$B$16),"",IFERROR(INDEX('Fixture Library'!$E$4:$E$83,MATCH(Setup!$B$7&amp;"-"&amp;$C18,'Fixture Library'!$A$4:$A$83,0)),""))</f>
        <v>3</v>
      </c>
      <c r="K18" s="19">
        <f>IF(OR($B18="",$C18&gt;Setup!$B$16),"",IFERROR(INDEX('Fixture Library'!$F$4:$F$83,MATCH(Setup!$B$7&amp;"-"&amp;$C18,'Fixture Library'!$A$4:$A$83,0)),""))</f>
        <v>7</v>
      </c>
      <c r="L18" s="16">
        <f t="shared" si="1"/>
        <v>0</v>
      </c>
      <c r="M18" s="16">
        <f t="shared" si="2"/>
        <v>0</v>
      </c>
      <c r="N18" s="16">
        <f t="shared" si="3"/>
        <v>1</v>
      </c>
      <c r="O18" s="16">
        <f t="shared" si="4"/>
        <v>0</v>
      </c>
      <c r="P18" s="16">
        <f t="shared" si="5"/>
        <v>0</v>
      </c>
      <c r="Q18" s="16">
        <f t="shared" si="5"/>
        <v>0</v>
      </c>
      <c r="R18" s="16">
        <f t="shared" si="6"/>
        <v>0</v>
      </c>
    </row>
    <row r="19" spans="1:18">
      <c r="A19" s="16">
        <v>16</v>
      </c>
      <c r="B19" s="16" t="str">
        <f>IF(INT(($A19-1)/28)+1&lt;=Setup!$B$6,INDEX(Setup!$B$22:$B$29,INT(($A19-1)/28)+1),"")</f>
        <v>A</v>
      </c>
      <c r="C19" s="16">
        <f t="shared" si="0"/>
        <v>16</v>
      </c>
      <c r="D19" s="16">
        <f>IF(OR($B19="",$C19&gt;Setup!$B$16),"",IFERROR(INDEX('Fixture Library'!$D$4:$D$83,MATCH(Setup!$B$7&amp;"-"&amp;$C19,'Fixture Library'!$A$4:$A$83,0)),""))</f>
        <v>4</v>
      </c>
      <c r="E19" s="17">
        <f>IF($J19="","",IFERROR(INDEX(Teams!$D$4:$D$67,MATCH($B19&amp;"-"&amp;$J19,Teams!$E$4:$E$67,0)),""))</f>
        <v>0</v>
      </c>
      <c r="F19" s="16">
        <f>IF(OR($E19="",$G19="",$C19&gt;Setup!$B$16),"",IFERROR(INDEX(Results!$E$5:$E$228,INT(($A19-1)/28)*Setup!$B$16+$C19),""))</f>
        <v>0</v>
      </c>
      <c r="G19" s="17">
        <f>IF($K19="","",IFERROR(INDEX(Teams!$D$4:$D$67,MATCH($B19&amp;"-"&amp;$K19,Teams!$E$4:$E$67,0)),""))</f>
        <v>0</v>
      </c>
      <c r="H19" s="16">
        <f>IF(OR($E19="",$G19="",$C19&gt;Setup!$B$16),"",IFERROR(INDEX(Results!$F$5:$F$228,INT(($A19-1)/28)*Setup!$B$16+$C19),""))</f>
        <v>0</v>
      </c>
      <c r="I19" s="18">
        <f t="shared" si="7"/>
        <v>1</v>
      </c>
      <c r="J19" s="19">
        <f>IF(OR($B19="",$C19&gt;Setup!$B$16),"",IFERROR(INDEX('Fixture Library'!$E$4:$E$83,MATCH(Setup!$B$7&amp;"-"&amp;$C19,'Fixture Library'!$A$4:$A$83,0)),""))</f>
        <v>2</v>
      </c>
      <c r="K19" s="19">
        <f>IF(OR($B19="",$C19&gt;Setup!$B$16),"",IFERROR(INDEX('Fixture Library'!$F$4:$F$83,MATCH(Setup!$B$7&amp;"-"&amp;$C19,'Fixture Library'!$A$4:$A$83,0)),""))</f>
        <v>8</v>
      </c>
      <c r="L19" s="16">
        <f t="shared" si="1"/>
        <v>0</v>
      </c>
      <c r="M19" s="16">
        <f t="shared" si="2"/>
        <v>0</v>
      </c>
      <c r="N19" s="16">
        <f t="shared" si="3"/>
        <v>1</v>
      </c>
      <c r="O19" s="16">
        <f t="shared" si="4"/>
        <v>0</v>
      </c>
      <c r="P19" s="16">
        <f t="shared" si="5"/>
        <v>0</v>
      </c>
      <c r="Q19" s="16">
        <f t="shared" si="5"/>
        <v>0</v>
      </c>
      <c r="R19" s="16">
        <f t="shared" si="6"/>
        <v>0</v>
      </c>
    </row>
    <row r="20" spans="1:18">
      <c r="A20" s="16">
        <v>17</v>
      </c>
      <c r="B20" s="16" t="str">
        <f>IF(INT(($A20-1)/28)+1&lt;=Setup!$B$6,INDEX(Setup!$B$22:$B$29,INT(($A20-1)/28)+1),"")</f>
        <v>A</v>
      </c>
      <c r="C20" s="16">
        <f t="shared" si="0"/>
        <v>17</v>
      </c>
      <c r="D20" s="16">
        <f>IF(OR($B20="",$C20&gt;Setup!$B$16),"",IFERROR(INDEX('Fixture Library'!$D$4:$D$83,MATCH(Setup!$B$7&amp;"-"&amp;$C20,'Fixture Library'!$A$4:$A$83,0)),""))</f>
        <v>5</v>
      </c>
      <c r="E20" s="17">
        <f>IF($J20="","",IFERROR(INDEX(Teams!$D$4:$D$67,MATCH($B20&amp;"-"&amp;$J20,Teams!$E$4:$E$67,0)),""))</f>
        <v>0</v>
      </c>
      <c r="F20" s="16">
        <f>IF(OR($E20="",$G20="",$C20&gt;Setup!$B$16),"",IFERROR(INDEX(Results!$E$5:$E$228,INT(($A20-1)/28)*Setup!$B$16+$C20),""))</f>
        <v>0</v>
      </c>
      <c r="G20" s="17">
        <f>IF($K20="","",IFERROR(INDEX(Teams!$D$4:$D$67,MATCH($B20&amp;"-"&amp;$K20,Teams!$E$4:$E$67,0)),""))</f>
        <v>0</v>
      </c>
      <c r="H20" s="16">
        <f>IF(OR($E20="",$G20="",$C20&gt;Setup!$B$16),"",IFERROR(INDEX(Results!$F$5:$F$228,INT(($A20-1)/28)*Setup!$B$16+$C20),""))</f>
        <v>0</v>
      </c>
      <c r="I20" s="18">
        <f t="shared" si="7"/>
        <v>1</v>
      </c>
      <c r="J20" s="19">
        <f>IF(OR($B20="",$C20&gt;Setup!$B$16),"",IFERROR(INDEX('Fixture Library'!$E$4:$E$83,MATCH(Setup!$B$7&amp;"-"&amp;$C20,'Fixture Library'!$A$4:$A$83,0)),""))</f>
        <v>1</v>
      </c>
      <c r="K20" s="19">
        <f>IF(OR($B20="",$C20&gt;Setup!$B$16),"",IFERROR(INDEX('Fixture Library'!$F$4:$F$83,MATCH(Setup!$B$7&amp;"-"&amp;$C20,'Fixture Library'!$A$4:$A$83,0)),""))</f>
        <v>4</v>
      </c>
      <c r="L20" s="16">
        <f t="shared" si="1"/>
        <v>0</v>
      </c>
      <c r="M20" s="16">
        <f t="shared" si="2"/>
        <v>0</v>
      </c>
      <c r="N20" s="16">
        <f t="shared" si="3"/>
        <v>1</v>
      </c>
      <c r="O20" s="16">
        <f t="shared" si="4"/>
        <v>0</v>
      </c>
      <c r="P20" s="16">
        <f t="shared" si="5"/>
        <v>0</v>
      </c>
      <c r="Q20" s="16">
        <f t="shared" si="5"/>
        <v>0</v>
      </c>
      <c r="R20" s="16">
        <f t="shared" si="6"/>
        <v>0</v>
      </c>
    </row>
    <row r="21" spans="1:18">
      <c r="A21" s="16">
        <v>18</v>
      </c>
      <c r="B21" s="16" t="str">
        <f>IF(INT(($A21-1)/28)+1&lt;=Setup!$B$6,INDEX(Setup!$B$22:$B$29,INT(($A21-1)/28)+1),"")</f>
        <v>A</v>
      </c>
      <c r="C21" s="16">
        <f t="shared" si="0"/>
        <v>18</v>
      </c>
      <c r="D21" s="16">
        <f>IF(OR($B21="",$C21&gt;Setup!$B$16),"",IFERROR(INDEX('Fixture Library'!$D$4:$D$83,MATCH(Setup!$B$7&amp;"-"&amp;$C21,'Fixture Library'!$A$4:$A$83,0)),""))</f>
        <v>5</v>
      </c>
      <c r="E21" s="17">
        <f>IF($J21="","",IFERROR(INDEX(Teams!$D$4:$D$67,MATCH($B21&amp;"-"&amp;$J21,Teams!$E$4:$E$67,0)),""))</f>
        <v>0</v>
      </c>
      <c r="F21" s="16">
        <f>IF(OR($E21="",$G21="",$C21&gt;Setup!$B$16),"",IFERROR(INDEX(Results!$E$5:$E$228,INT(($A21-1)/28)*Setup!$B$16+$C21),""))</f>
        <v>0</v>
      </c>
      <c r="G21" s="17">
        <f>IF($K21="","",IFERROR(INDEX(Teams!$D$4:$D$67,MATCH($B21&amp;"-"&amp;$K21,Teams!$E$4:$E$67,0)),""))</f>
        <v>0</v>
      </c>
      <c r="H21" s="16">
        <f>IF(OR($E21="",$G21="",$C21&gt;Setup!$B$16),"",IFERROR(INDEX(Results!$F$5:$F$228,INT(($A21-1)/28)*Setup!$B$16+$C21),""))</f>
        <v>0</v>
      </c>
      <c r="I21" s="18">
        <f t="shared" si="7"/>
        <v>1</v>
      </c>
      <c r="J21" s="19">
        <f>IF(OR($B21="",$C21&gt;Setup!$B$16),"",IFERROR(INDEX('Fixture Library'!$E$4:$E$83,MATCH(Setup!$B$7&amp;"-"&amp;$C21,'Fixture Library'!$A$4:$A$83,0)),""))</f>
        <v>5</v>
      </c>
      <c r="K21" s="19">
        <f>IF(OR($B21="",$C21&gt;Setup!$B$16),"",IFERROR(INDEX('Fixture Library'!$F$4:$F$83,MATCH(Setup!$B$7&amp;"-"&amp;$C21,'Fixture Library'!$A$4:$A$83,0)),""))</f>
        <v>3</v>
      </c>
      <c r="L21" s="16">
        <f t="shared" si="1"/>
        <v>0</v>
      </c>
      <c r="M21" s="16">
        <f t="shared" si="2"/>
        <v>0</v>
      </c>
      <c r="N21" s="16">
        <f t="shared" si="3"/>
        <v>1</v>
      </c>
      <c r="O21" s="16">
        <f t="shared" si="4"/>
        <v>0</v>
      </c>
      <c r="P21" s="16">
        <f t="shared" si="5"/>
        <v>0</v>
      </c>
      <c r="Q21" s="16">
        <f t="shared" si="5"/>
        <v>0</v>
      </c>
      <c r="R21" s="16">
        <f t="shared" si="6"/>
        <v>0</v>
      </c>
    </row>
    <row r="22" spans="1:18">
      <c r="A22" s="16">
        <v>19</v>
      </c>
      <c r="B22" s="16" t="str">
        <f>IF(INT(($A22-1)/28)+1&lt;=Setup!$B$6,INDEX(Setup!$B$22:$B$29,INT(($A22-1)/28)+1),"")</f>
        <v>A</v>
      </c>
      <c r="C22" s="16">
        <f t="shared" si="0"/>
        <v>19</v>
      </c>
      <c r="D22" s="16">
        <f>IF(OR($B22="",$C22&gt;Setup!$B$16),"",IFERROR(INDEX('Fixture Library'!$D$4:$D$83,MATCH(Setup!$B$7&amp;"-"&amp;$C22,'Fixture Library'!$A$4:$A$83,0)),""))</f>
        <v>5</v>
      </c>
      <c r="E22" s="17">
        <f>IF($J22="","",IFERROR(INDEX(Teams!$D$4:$D$67,MATCH($B22&amp;"-"&amp;$J22,Teams!$E$4:$E$67,0)),""))</f>
        <v>0</v>
      </c>
      <c r="F22" s="16">
        <f>IF(OR($E22="",$G22="",$C22&gt;Setup!$B$16),"",IFERROR(INDEX(Results!$E$5:$E$228,INT(($A22-1)/28)*Setup!$B$16+$C22),""))</f>
        <v>0</v>
      </c>
      <c r="G22" s="17">
        <f>IF($K22="","",IFERROR(INDEX(Teams!$D$4:$D$67,MATCH($B22&amp;"-"&amp;$K22,Teams!$E$4:$E$67,0)),""))</f>
        <v>0</v>
      </c>
      <c r="H22" s="16">
        <f>IF(OR($E22="",$G22="",$C22&gt;Setup!$B$16),"",IFERROR(INDEX(Results!$F$5:$F$228,INT(($A22-1)/28)*Setup!$B$16+$C22),""))</f>
        <v>0</v>
      </c>
      <c r="I22" s="18">
        <f t="shared" si="7"/>
        <v>1</v>
      </c>
      <c r="J22" s="19">
        <f>IF(OR($B22="",$C22&gt;Setup!$B$16),"",IFERROR(INDEX('Fixture Library'!$E$4:$E$83,MATCH(Setup!$B$7&amp;"-"&amp;$C22,'Fixture Library'!$A$4:$A$83,0)),""))</f>
        <v>6</v>
      </c>
      <c r="K22" s="19">
        <f>IF(OR($B22="",$C22&gt;Setup!$B$16),"",IFERROR(INDEX('Fixture Library'!$F$4:$F$83,MATCH(Setup!$B$7&amp;"-"&amp;$C22,'Fixture Library'!$A$4:$A$83,0)),""))</f>
        <v>2</v>
      </c>
      <c r="L22" s="16">
        <f t="shared" si="1"/>
        <v>0</v>
      </c>
      <c r="M22" s="16">
        <f t="shared" si="2"/>
        <v>0</v>
      </c>
      <c r="N22" s="16">
        <f t="shared" si="3"/>
        <v>1</v>
      </c>
      <c r="O22" s="16">
        <f t="shared" si="4"/>
        <v>0</v>
      </c>
      <c r="P22" s="16">
        <f t="shared" si="5"/>
        <v>0</v>
      </c>
      <c r="Q22" s="16">
        <f t="shared" si="5"/>
        <v>0</v>
      </c>
      <c r="R22" s="16">
        <f t="shared" si="6"/>
        <v>0</v>
      </c>
    </row>
    <row r="23" spans="1:18">
      <c r="A23" s="16">
        <v>20</v>
      </c>
      <c r="B23" s="16" t="str">
        <f>IF(INT(($A23-1)/28)+1&lt;=Setup!$B$6,INDEX(Setup!$B$22:$B$29,INT(($A23-1)/28)+1),"")</f>
        <v>A</v>
      </c>
      <c r="C23" s="16">
        <f t="shared" si="0"/>
        <v>20</v>
      </c>
      <c r="D23" s="16">
        <f>IF(OR($B23="",$C23&gt;Setup!$B$16),"",IFERROR(INDEX('Fixture Library'!$D$4:$D$83,MATCH(Setup!$B$7&amp;"-"&amp;$C23,'Fixture Library'!$A$4:$A$83,0)),""))</f>
        <v>5</v>
      </c>
      <c r="E23" s="17">
        <f>IF($J23="","",IFERROR(INDEX(Teams!$D$4:$D$67,MATCH($B23&amp;"-"&amp;$J23,Teams!$E$4:$E$67,0)),""))</f>
        <v>0</v>
      </c>
      <c r="F23" s="16">
        <f>IF(OR($E23="",$G23="",$C23&gt;Setup!$B$16),"",IFERROR(INDEX(Results!$E$5:$E$228,INT(($A23-1)/28)*Setup!$B$16+$C23),""))</f>
        <v>0</v>
      </c>
      <c r="G23" s="17">
        <f>IF($K23="","",IFERROR(INDEX(Teams!$D$4:$D$67,MATCH($B23&amp;"-"&amp;$K23,Teams!$E$4:$E$67,0)),""))</f>
        <v>0</v>
      </c>
      <c r="H23" s="16">
        <f>IF(OR($E23="",$G23="",$C23&gt;Setup!$B$16),"",IFERROR(INDEX(Results!$F$5:$F$228,INT(($A23-1)/28)*Setup!$B$16+$C23),""))</f>
        <v>0</v>
      </c>
      <c r="I23" s="18">
        <f t="shared" si="7"/>
        <v>1</v>
      </c>
      <c r="J23" s="19">
        <f>IF(OR($B23="",$C23&gt;Setup!$B$16),"",IFERROR(INDEX('Fixture Library'!$E$4:$E$83,MATCH(Setup!$B$7&amp;"-"&amp;$C23,'Fixture Library'!$A$4:$A$83,0)),""))</f>
        <v>7</v>
      </c>
      <c r="K23" s="19">
        <f>IF(OR($B23="",$C23&gt;Setup!$B$16),"",IFERROR(INDEX('Fixture Library'!$F$4:$F$83,MATCH(Setup!$B$7&amp;"-"&amp;$C23,'Fixture Library'!$A$4:$A$83,0)),""))</f>
        <v>8</v>
      </c>
      <c r="L23" s="16">
        <f t="shared" si="1"/>
        <v>0</v>
      </c>
      <c r="M23" s="16">
        <f t="shared" si="2"/>
        <v>0</v>
      </c>
      <c r="N23" s="16">
        <f t="shared" si="3"/>
        <v>1</v>
      </c>
      <c r="O23" s="16">
        <f t="shared" si="4"/>
        <v>0</v>
      </c>
      <c r="P23" s="16">
        <f t="shared" si="5"/>
        <v>0</v>
      </c>
      <c r="Q23" s="16">
        <f t="shared" si="5"/>
        <v>0</v>
      </c>
      <c r="R23" s="16">
        <f t="shared" si="6"/>
        <v>0</v>
      </c>
    </row>
    <row r="24" spans="1:18">
      <c r="A24" s="16">
        <v>21</v>
      </c>
      <c r="B24" s="16" t="str">
        <f>IF(INT(($A24-1)/28)+1&lt;=Setup!$B$6,INDEX(Setup!$B$22:$B$29,INT(($A24-1)/28)+1),"")</f>
        <v>A</v>
      </c>
      <c r="C24" s="16">
        <f t="shared" si="0"/>
        <v>21</v>
      </c>
      <c r="D24" s="16">
        <f>IF(OR($B24="",$C24&gt;Setup!$B$16),"",IFERROR(INDEX('Fixture Library'!$D$4:$D$83,MATCH(Setup!$B$7&amp;"-"&amp;$C24,'Fixture Library'!$A$4:$A$83,0)),""))</f>
        <v>6</v>
      </c>
      <c r="E24" s="17">
        <f>IF($J24="","",IFERROR(INDEX(Teams!$D$4:$D$67,MATCH($B24&amp;"-"&amp;$J24,Teams!$E$4:$E$67,0)),""))</f>
        <v>0</v>
      </c>
      <c r="F24" s="16">
        <f>IF(OR($E24="",$G24="",$C24&gt;Setup!$B$16),"",IFERROR(INDEX(Results!$E$5:$E$228,INT(($A24-1)/28)*Setup!$B$16+$C24),""))</f>
        <v>0</v>
      </c>
      <c r="G24" s="17">
        <f>IF($K24="","",IFERROR(INDEX(Teams!$D$4:$D$67,MATCH($B24&amp;"-"&amp;$K24,Teams!$E$4:$E$67,0)),""))</f>
        <v>0</v>
      </c>
      <c r="H24" s="16">
        <f>IF(OR($E24="",$G24="",$C24&gt;Setup!$B$16),"",IFERROR(INDEX(Results!$F$5:$F$228,INT(($A24-1)/28)*Setup!$B$16+$C24),""))</f>
        <v>0</v>
      </c>
      <c r="I24" s="18">
        <f t="shared" si="7"/>
        <v>1</v>
      </c>
      <c r="J24" s="19">
        <f>IF(OR($B24="",$C24&gt;Setup!$B$16),"",IFERROR(INDEX('Fixture Library'!$E$4:$E$83,MATCH(Setup!$B$7&amp;"-"&amp;$C24,'Fixture Library'!$A$4:$A$83,0)),""))</f>
        <v>3</v>
      </c>
      <c r="K24" s="19">
        <f>IF(OR($B24="",$C24&gt;Setup!$B$16),"",IFERROR(INDEX('Fixture Library'!$F$4:$F$83,MATCH(Setup!$B$7&amp;"-"&amp;$C24,'Fixture Library'!$A$4:$A$83,0)),""))</f>
        <v>1</v>
      </c>
      <c r="L24" s="16">
        <f t="shared" si="1"/>
        <v>0</v>
      </c>
      <c r="M24" s="16">
        <f t="shared" si="2"/>
        <v>0</v>
      </c>
      <c r="N24" s="16">
        <f t="shared" si="3"/>
        <v>1</v>
      </c>
      <c r="O24" s="16">
        <f t="shared" si="4"/>
        <v>0</v>
      </c>
      <c r="P24" s="16">
        <f t="shared" ref="P24:Q43" si="8">IF($I24=1,$H24,0)</f>
        <v>0</v>
      </c>
      <c r="Q24" s="16">
        <f t="shared" si="8"/>
        <v>0</v>
      </c>
      <c r="R24" s="16">
        <f t="shared" si="6"/>
        <v>0</v>
      </c>
    </row>
    <row r="25" spans="1:18">
      <c r="A25" s="16">
        <v>22</v>
      </c>
      <c r="B25" s="16" t="str">
        <f>IF(INT(($A25-1)/28)+1&lt;=Setup!$B$6,INDEX(Setup!$B$22:$B$29,INT(($A25-1)/28)+1),"")</f>
        <v>A</v>
      </c>
      <c r="C25" s="16">
        <f t="shared" si="0"/>
        <v>22</v>
      </c>
      <c r="D25" s="16">
        <f>IF(OR($B25="",$C25&gt;Setup!$B$16),"",IFERROR(INDEX('Fixture Library'!$D$4:$D$83,MATCH(Setup!$B$7&amp;"-"&amp;$C25,'Fixture Library'!$A$4:$A$83,0)),""))</f>
        <v>6</v>
      </c>
      <c r="E25" s="17">
        <f>IF($J25="","",IFERROR(INDEX(Teams!$D$4:$D$67,MATCH($B25&amp;"-"&amp;$J25,Teams!$E$4:$E$67,0)),""))</f>
        <v>0</v>
      </c>
      <c r="F25" s="16">
        <f>IF(OR($E25="",$G25="",$C25&gt;Setup!$B$16),"",IFERROR(INDEX(Results!$E$5:$E$228,INT(($A25-1)/28)*Setup!$B$16+$C25),""))</f>
        <v>0</v>
      </c>
      <c r="G25" s="17">
        <f>IF($K25="","",IFERROR(INDEX(Teams!$D$4:$D$67,MATCH($B25&amp;"-"&amp;$K25,Teams!$E$4:$E$67,0)),""))</f>
        <v>0</v>
      </c>
      <c r="H25" s="16">
        <f>IF(OR($E25="",$G25="",$C25&gt;Setup!$B$16),"",IFERROR(INDEX(Results!$F$5:$F$228,INT(($A25-1)/28)*Setup!$B$16+$C25),""))</f>
        <v>0</v>
      </c>
      <c r="I25" s="18">
        <f t="shared" si="7"/>
        <v>1</v>
      </c>
      <c r="J25" s="19">
        <f>IF(OR($B25="",$C25&gt;Setup!$B$16),"",IFERROR(INDEX('Fixture Library'!$E$4:$E$83,MATCH(Setup!$B$7&amp;"-"&amp;$C25,'Fixture Library'!$A$4:$A$83,0)),""))</f>
        <v>2</v>
      </c>
      <c r="K25" s="19">
        <f>IF(OR($B25="",$C25&gt;Setup!$B$16),"",IFERROR(INDEX('Fixture Library'!$F$4:$F$83,MATCH(Setup!$B$7&amp;"-"&amp;$C25,'Fixture Library'!$A$4:$A$83,0)),""))</f>
        <v>4</v>
      </c>
      <c r="L25" s="16">
        <f t="shared" si="1"/>
        <v>0</v>
      </c>
      <c r="M25" s="16">
        <f t="shared" si="2"/>
        <v>0</v>
      </c>
      <c r="N25" s="16">
        <f t="shared" si="3"/>
        <v>1</v>
      </c>
      <c r="O25" s="16">
        <f t="shared" si="4"/>
        <v>0</v>
      </c>
      <c r="P25" s="16">
        <f t="shared" si="8"/>
        <v>0</v>
      </c>
      <c r="Q25" s="16">
        <f t="shared" si="8"/>
        <v>0</v>
      </c>
      <c r="R25" s="16">
        <f t="shared" si="6"/>
        <v>0</v>
      </c>
    </row>
    <row r="26" spans="1:18">
      <c r="A26" s="16">
        <v>23</v>
      </c>
      <c r="B26" s="16" t="str">
        <f>IF(INT(($A26-1)/28)+1&lt;=Setup!$B$6,INDEX(Setup!$B$22:$B$29,INT(($A26-1)/28)+1),"")</f>
        <v>A</v>
      </c>
      <c r="C26" s="16">
        <f t="shared" si="0"/>
        <v>23</v>
      </c>
      <c r="D26" s="16">
        <f>IF(OR($B26="",$C26&gt;Setup!$B$16),"",IFERROR(INDEX('Fixture Library'!$D$4:$D$83,MATCH(Setup!$B$7&amp;"-"&amp;$C26,'Fixture Library'!$A$4:$A$83,0)),""))</f>
        <v>6</v>
      </c>
      <c r="E26" s="17">
        <f>IF($J26="","",IFERROR(INDEX(Teams!$D$4:$D$67,MATCH($B26&amp;"-"&amp;$J26,Teams!$E$4:$E$67,0)),""))</f>
        <v>0</v>
      </c>
      <c r="F26" s="16">
        <f>IF(OR($E26="",$G26="",$C26&gt;Setup!$B$16),"",IFERROR(INDEX(Results!$E$5:$E$228,INT(($A26-1)/28)*Setup!$B$16+$C26),""))</f>
        <v>0</v>
      </c>
      <c r="G26" s="17">
        <f>IF($K26="","",IFERROR(INDEX(Teams!$D$4:$D$67,MATCH($B26&amp;"-"&amp;$K26,Teams!$E$4:$E$67,0)),""))</f>
        <v>0</v>
      </c>
      <c r="H26" s="16">
        <f>IF(OR($E26="",$G26="",$C26&gt;Setup!$B$16),"",IFERROR(INDEX(Results!$F$5:$F$228,INT(($A26-1)/28)*Setup!$B$16+$C26),""))</f>
        <v>0</v>
      </c>
      <c r="I26" s="18">
        <f t="shared" si="7"/>
        <v>1</v>
      </c>
      <c r="J26" s="19">
        <f>IF(OR($B26="",$C26&gt;Setup!$B$16),"",IFERROR(INDEX('Fixture Library'!$E$4:$E$83,MATCH(Setup!$B$7&amp;"-"&amp;$C26,'Fixture Library'!$A$4:$A$83,0)),""))</f>
        <v>8</v>
      </c>
      <c r="K26" s="19">
        <f>IF(OR($B26="",$C26&gt;Setup!$B$16),"",IFERROR(INDEX('Fixture Library'!$F$4:$F$83,MATCH(Setup!$B$7&amp;"-"&amp;$C26,'Fixture Library'!$A$4:$A$83,0)),""))</f>
        <v>5</v>
      </c>
      <c r="L26" s="16">
        <f t="shared" si="1"/>
        <v>0</v>
      </c>
      <c r="M26" s="16">
        <f t="shared" si="2"/>
        <v>0</v>
      </c>
      <c r="N26" s="16">
        <f t="shared" si="3"/>
        <v>1</v>
      </c>
      <c r="O26" s="16">
        <f t="shared" si="4"/>
        <v>0</v>
      </c>
      <c r="P26" s="16">
        <f t="shared" si="8"/>
        <v>0</v>
      </c>
      <c r="Q26" s="16">
        <f t="shared" si="8"/>
        <v>0</v>
      </c>
      <c r="R26" s="16">
        <f t="shared" si="6"/>
        <v>0</v>
      </c>
    </row>
    <row r="27" spans="1:18">
      <c r="A27" s="16">
        <v>24</v>
      </c>
      <c r="B27" s="16" t="str">
        <f>IF(INT(($A27-1)/28)+1&lt;=Setup!$B$6,INDEX(Setup!$B$22:$B$29,INT(($A27-1)/28)+1),"")</f>
        <v>A</v>
      </c>
      <c r="C27" s="16">
        <f t="shared" si="0"/>
        <v>24</v>
      </c>
      <c r="D27" s="16">
        <f>IF(OR($B27="",$C27&gt;Setup!$B$16),"",IFERROR(INDEX('Fixture Library'!$D$4:$D$83,MATCH(Setup!$B$7&amp;"-"&amp;$C27,'Fixture Library'!$A$4:$A$83,0)),""))</f>
        <v>6</v>
      </c>
      <c r="E27" s="17">
        <f>IF($J27="","",IFERROR(INDEX(Teams!$D$4:$D$67,MATCH($B27&amp;"-"&amp;$J27,Teams!$E$4:$E$67,0)),""))</f>
        <v>0</v>
      </c>
      <c r="F27" s="16">
        <f>IF(OR($E27="",$G27="",$C27&gt;Setup!$B$16),"",IFERROR(INDEX(Results!$E$5:$E$228,INT(($A27-1)/28)*Setup!$B$16+$C27),""))</f>
        <v>0</v>
      </c>
      <c r="G27" s="17">
        <f>IF($K27="","",IFERROR(INDEX(Teams!$D$4:$D$67,MATCH($B27&amp;"-"&amp;$K27,Teams!$E$4:$E$67,0)),""))</f>
        <v>0</v>
      </c>
      <c r="H27" s="16">
        <f>IF(OR($E27="",$G27="",$C27&gt;Setup!$B$16),"",IFERROR(INDEX(Results!$F$5:$F$228,INT(($A27-1)/28)*Setup!$B$16+$C27),""))</f>
        <v>0</v>
      </c>
      <c r="I27" s="18">
        <f t="shared" si="7"/>
        <v>1</v>
      </c>
      <c r="J27" s="19">
        <f>IF(OR($B27="",$C27&gt;Setup!$B$16),"",IFERROR(INDEX('Fixture Library'!$E$4:$E$83,MATCH(Setup!$B$7&amp;"-"&amp;$C27,'Fixture Library'!$A$4:$A$83,0)),""))</f>
        <v>7</v>
      </c>
      <c r="K27" s="19">
        <f>IF(OR($B27="",$C27&gt;Setup!$B$16),"",IFERROR(INDEX('Fixture Library'!$F$4:$F$83,MATCH(Setup!$B$7&amp;"-"&amp;$C27,'Fixture Library'!$A$4:$A$83,0)),""))</f>
        <v>6</v>
      </c>
      <c r="L27" s="16">
        <f t="shared" si="1"/>
        <v>0</v>
      </c>
      <c r="M27" s="16">
        <f t="shared" si="2"/>
        <v>0</v>
      </c>
      <c r="N27" s="16">
        <f t="shared" si="3"/>
        <v>1</v>
      </c>
      <c r="O27" s="16">
        <f t="shared" si="4"/>
        <v>0</v>
      </c>
      <c r="P27" s="16">
        <f t="shared" si="8"/>
        <v>0</v>
      </c>
      <c r="Q27" s="16">
        <f t="shared" si="8"/>
        <v>0</v>
      </c>
      <c r="R27" s="16">
        <f t="shared" si="6"/>
        <v>0</v>
      </c>
    </row>
    <row r="28" spans="1:18">
      <c r="A28" s="16">
        <v>25</v>
      </c>
      <c r="B28" s="16" t="str">
        <f>IF(INT(($A28-1)/28)+1&lt;=Setup!$B$6,INDEX(Setup!$B$22:$B$29,INT(($A28-1)/28)+1),"")</f>
        <v>A</v>
      </c>
      <c r="C28" s="16">
        <f t="shared" si="0"/>
        <v>25</v>
      </c>
      <c r="D28" s="16">
        <f>IF(OR($B28="",$C28&gt;Setup!$B$16),"",IFERROR(INDEX('Fixture Library'!$D$4:$D$83,MATCH(Setup!$B$7&amp;"-"&amp;$C28,'Fixture Library'!$A$4:$A$83,0)),""))</f>
        <v>7</v>
      </c>
      <c r="E28" s="17">
        <f>IF($J28="","",IFERROR(INDEX(Teams!$D$4:$D$67,MATCH($B28&amp;"-"&amp;$J28,Teams!$E$4:$E$67,0)),""))</f>
        <v>0</v>
      </c>
      <c r="F28" s="16">
        <f>IF(OR($E28="",$G28="",$C28&gt;Setup!$B$16),"",IFERROR(INDEX(Results!$E$5:$E$228,INT(($A28-1)/28)*Setup!$B$16+$C28),""))</f>
        <v>0</v>
      </c>
      <c r="G28" s="17">
        <f>IF($K28="","",IFERROR(INDEX(Teams!$D$4:$D$67,MATCH($B28&amp;"-"&amp;$K28,Teams!$E$4:$E$67,0)),""))</f>
        <v>0</v>
      </c>
      <c r="H28" s="16">
        <f>IF(OR($E28="",$G28="",$C28&gt;Setup!$B$16),"",IFERROR(INDEX(Results!$F$5:$F$228,INT(($A28-1)/28)*Setup!$B$16+$C28),""))</f>
        <v>0</v>
      </c>
      <c r="I28" s="18">
        <f t="shared" si="7"/>
        <v>1</v>
      </c>
      <c r="J28" s="19">
        <f>IF(OR($B28="",$C28&gt;Setup!$B$16),"",IFERROR(INDEX('Fixture Library'!$E$4:$E$83,MATCH(Setup!$B$7&amp;"-"&amp;$C28,'Fixture Library'!$A$4:$A$83,0)),""))</f>
        <v>1</v>
      </c>
      <c r="K28" s="19">
        <f>IF(OR($B28="",$C28&gt;Setup!$B$16),"",IFERROR(INDEX('Fixture Library'!$F$4:$F$83,MATCH(Setup!$B$7&amp;"-"&amp;$C28,'Fixture Library'!$A$4:$A$83,0)),""))</f>
        <v>2</v>
      </c>
      <c r="L28" s="16">
        <f t="shared" si="1"/>
        <v>0</v>
      </c>
      <c r="M28" s="16">
        <f t="shared" si="2"/>
        <v>0</v>
      </c>
      <c r="N28" s="16">
        <f t="shared" si="3"/>
        <v>1</v>
      </c>
      <c r="O28" s="16">
        <f t="shared" si="4"/>
        <v>0</v>
      </c>
      <c r="P28" s="16">
        <f t="shared" si="8"/>
        <v>0</v>
      </c>
      <c r="Q28" s="16">
        <f t="shared" si="8"/>
        <v>0</v>
      </c>
      <c r="R28" s="16">
        <f t="shared" si="6"/>
        <v>0</v>
      </c>
    </row>
    <row r="29" spans="1:18">
      <c r="A29" s="16">
        <v>26</v>
      </c>
      <c r="B29" s="16" t="str">
        <f>IF(INT(($A29-1)/28)+1&lt;=Setup!$B$6,INDEX(Setup!$B$22:$B$29,INT(($A29-1)/28)+1),"")</f>
        <v>A</v>
      </c>
      <c r="C29" s="16">
        <f t="shared" si="0"/>
        <v>26</v>
      </c>
      <c r="D29" s="16">
        <f>IF(OR($B29="",$C29&gt;Setup!$B$16),"",IFERROR(INDEX('Fixture Library'!$D$4:$D$83,MATCH(Setup!$B$7&amp;"-"&amp;$C29,'Fixture Library'!$A$4:$A$83,0)),""))</f>
        <v>7</v>
      </c>
      <c r="E29" s="17">
        <f>IF($J29="","",IFERROR(INDEX(Teams!$D$4:$D$67,MATCH($B29&amp;"-"&amp;$J29,Teams!$E$4:$E$67,0)),""))</f>
        <v>0</v>
      </c>
      <c r="F29" s="16">
        <f>IF(OR($E29="",$G29="",$C29&gt;Setup!$B$16),"",IFERROR(INDEX(Results!$E$5:$E$228,INT(($A29-1)/28)*Setup!$B$16+$C29),""))</f>
        <v>0</v>
      </c>
      <c r="G29" s="17">
        <f>IF($K29="","",IFERROR(INDEX(Teams!$D$4:$D$67,MATCH($B29&amp;"-"&amp;$K29,Teams!$E$4:$E$67,0)),""))</f>
        <v>0</v>
      </c>
      <c r="H29" s="16">
        <f>IF(OR($E29="",$G29="",$C29&gt;Setup!$B$16),"",IFERROR(INDEX(Results!$F$5:$F$228,INT(($A29-1)/28)*Setup!$B$16+$C29),""))</f>
        <v>0</v>
      </c>
      <c r="I29" s="18">
        <f t="shared" si="7"/>
        <v>1</v>
      </c>
      <c r="J29" s="19">
        <f>IF(OR($B29="",$C29&gt;Setup!$B$16),"",IFERROR(INDEX('Fixture Library'!$E$4:$E$83,MATCH(Setup!$B$7&amp;"-"&amp;$C29,'Fixture Library'!$A$4:$A$83,0)),""))</f>
        <v>3</v>
      </c>
      <c r="K29" s="19">
        <f>IF(OR($B29="",$C29&gt;Setup!$B$16),"",IFERROR(INDEX('Fixture Library'!$F$4:$F$83,MATCH(Setup!$B$7&amp;"-"&amp;$C29,'Fixture Library'!$A$4:$A$83,0)),""))</f>
        <v>8</v>
      </c>
      <c r="L29" s="16">
        <f t="shared" si="1"/>
        <v>0</v>
      </c>
      <c r="M29" s="16">
        <f t="shared" si="2"/>
        <v>0</v>
      </c>
      <c r="N29" s="16">
        <f t="shared" si="3"/>
        <v>1</v>
      </c>
      <c r="O29" s="16">
        <f t="shared" si="4"/>
        <v>0</v>
      </c>
      <c r="P29" s="16">
        <f t="shared" si="8"/>
        <v>0</v>
      </c>
      <c r="Q29" s="16">
        <f t="shared" si="8"/>
        <v>0</v>
      </c>
      <c r="R29" s="16">
        <f t="shared" si="6"/>
        <v>0</v>
      </c>
    </row>
    <row r="30" spans="1:18">
      <c r="A30" s="16">
        <v>27</v>
      </c>
      <c r="B30" s="16" t="str">
        <f>IF(INT(($A30-1)/28)+1&lt;=Setup!$B$6,INDEX(Setup!$B$22:$B$29,INT(($A30-1)/28)+1),"")</f>
        <v>A</v>
      </c>
      <c r="C30" s="16">
        <f t="shared" si="0"/>
        <v>27</v>
      </c>
      <c r="D30" s="16">
        <f>IF(OR($B30="",$C30&gt;Setup!$B$16),"",IFERROR(INDEX('Fixture Library'!$D$4:$D$83,MATCH(Setup!$B$7&amp;"-"&amp;$C30,'Fixture Library'!$A$4:$A$83,0)),""))</f>
        <v>7</v>
      </c>
      <c r="E30" s="17">
        <f>IF($J30="","",IFERROR(INDEX(Teams!$D$4:$D$67,MATCH($B30&amp;"-"&amp;$J30,Teams!$E$4:$E$67,0)),""))</f>
        <v>0</v>
      </c>
      <c r="F30" s="16">
        <f>IF(OR($E30="",$G30="",$C30&gt;Setup!$B$16),"",IFERROR(INDEX(Results!$E$5:$E$228,INT(($A30-1)/28)*Setup!$B$16+$C30),""))</f>
        <v>0</v>
      </c>
      <c r="G30" s="17">
        <f>IF($K30="","",IFERROR(INDEX(Teams!$D$4:$D$67,MATCH($B30&amp;"-"&amp;$K30,Teams!$E$4:$E$67,0)),""))</f>
        <v>0</v>
      </c>
      <c r="H30" s="16">
        <f>IF(OR($E30="",$G30="",$C30&gt;Setup!$B$16),"",IFERROR(INDEX(Results!$F$5:$F$228,INT(($A30-1)/28)*Setup!$B$16+$C30),""))</f>
        <v>0</v>
      </c>
      <c r="I30" s="18">
        <f t="shared" si="7"/>
        <v>1</v>
      </c>
      <c r="J30" s="19">
        <f>IF(OR($B30="",$C30&gt;Setup!$B$16),"",IFERROR(INDEX('Fixture Library'!$E$4:$E$83,MATCH(Setup!$B$7&amp;"-"&amp;$C30,'Fixture Library'!$A$4:$A$83,0)),""))</f>
        <v>4</v>
      </c>
      <c r="K30" s="19">
        <f>IF(OR($B30="",$C30&gt;Setup!$B$16),"",IFERROR(INDEX('Fixture Library'!$F$4:$F$83,MATCH(Setup!$B$7&amp;"-"&amp;$C30,'Fixture Library'!$A$4:$A$83,0)),""))</f>
        <v>7</v>
      </c>
      <c r="L30" s="16">
        <f t="shared" si="1"/>
        <v>0</v>
      </c>
      <c r="M30" s="16">
        <f t="shared" si="2"/>
        <v>0</v>
      </c>
      <c r="N30" s="16">
        <f t="shared" si="3"/>
        <v>1</v>
      </c>
      <c r="O30" s="16">
        <f t="shared" si="4"/>
        <v>0</v>
      </c>
      <c r="P30" s="16">
        <f t="shared" si="8"/>
        <v>0</v>
      </c>
      <c r="Q30" s="16">
        <f t="shared" si="8"/>
        <v>0</v>
      </c>
      <c r="R30" s="16">
        <f t="shared" si="6"/>
        <v>0</v>
      </c>
    </row>
    <row r="31" spans="1:18">
      <c r="A31" s="16">
        <v>28</v>
      </c>
      <c r="B31" s="16" t="str">
        <f>IF(INT(($A31-1)/28)+1&lt;=Setup!$B$6,INDEX(Setup!$B$22:$B$29,INT(($A31-1)/28)+1),"")</f>
        <v>A</v>
      </c>
      <c r="C31" s="16">
        <f t="shared" si="0"/>
        <v>28</v>
      </c>
      <c r="D31" s="16">
        <f>IF(OR($B31="",$C31&gt;Setup!$B$16),"",IFERROR(INDEX('Fixture Library'!$D$4:$D$83,MATCH(Setup!$B$7&amp;"-"&amp;$C31,'Fixture Library'!$A$4:$A$83,0)),""))</f>
        <v>7</v>
      </c>
      <c r="E31" s="17">
        <f>IF($J31="","",IFERROR(INDEX(Teams!$D$4:$D$67,MATCH($B31&amp;"-"&amp;$J31,Teams!$E$4:$E$67,0)),""))</f>
        <v>0</v>
      </c>
      <c r="F31" s="16">
        <f>IF(OR($E31="",$G31="",$C31&gt;Setup!$B$16),"",IFERROR(INDEX(Results!$E$5:$E$228,INT(($A31-1)/28)*Setup!$B$16+$C31),""))</f>
        <v>0</v>
      </c>
      <c r="G31" s="17">
        <f>IF($K31="","",IFERROR(INDEX(Teams!$D$4:$D$67,MATCH($B31&amp;"-"&amp;$K31,Teams!$E$4:$E$67,0)),""))</f>
        <v>0</v>
      </c>
      <c r="H31" s="16">
        <f>IF(OR($E31="",$G31="",$C31&gt;Setup!$B$16),"",IFERROR(INDEX(Results!$F$5:$F$228,INT(($A31-1)/28)*Setup!$B$16+$C31),""))</f>
        <v>0</v>
      </c>
      <c r="I31" s="18">
        <f t="shared" si="7"/>
        <v>1</v>
      </c>
      <c r="J31" s="19">
        <f>IF(OR($B31="",$C31&gt;Setup!$B$16),"",IFERROR(INDEX('Fixture Library'!$E$4:$E$83,MATCH(Setup!$B$7&amp;"-"&amp;$C31,'Fixture Library'!$A$4:$A$83,0)),""))</f>
        <v>5</v>
      </c>
      <c r="K31" s="19">
        <f>IF(OR($B31="",$C31&gt;Setup!$B$16),"",IFERROR(INDEX('Fixture Library'!$F$4:$F$83,MATCH(Setup!$B$7&amp;"-"&amp;$C31,'Fixture Library'!$A$4:$A$83,0)),""))</f>
        <v>6</v>
      </c>
      <c r="L31" s="16">
        <f t="shared" si="1"/>
        <v>0</v>
      </c>
      <c r="M31" s="16">
        <f t="shared" si="2"/>
        <v>0</v>
      </c>
      <c r="N31" s="16">
        <f t="shared" si="3"/>
        <v>1</v>
      </c>
      <c r="O31" s="16">
        <f t="shared" si="4"/>
        <v>0</v>
      </c>
      <c r="P31" s="16">
        <f t="shared" si="8"/>
        <v>0</v>
      </c>
      <c r="Q31" s="16">
        <f t="shared" si="8"/>
        <v>0</v>
      </c>
      <c r="R31" s="16">
        <f t="shared" si="6"/>
        <v>0</v>
      </c>
    </row>
    <row r="32" spans="1:18">
      <c r="A32" s="16">
        <v>29</v>
      </c>
      <c r="B32" s="16" t="str">
        <f>IF(INT(($A32-1)/28)+1&lt;=Setup!$B$6,INDEX(Setup!$B$22:$B$29,INT(($A32-1)/28)+1),"")</f>
        <v>B</v>
      </c>
      <c r="C32" s="16">
        <f t="shared" si="0"/>
        <v>1</v>
      </c>
      <c r="D32" s="16">
        <f>IF(OR($B32="",$C32&gt;Setup!$B$16),"",IFERROR(INDEX('Fixture Library'!$D$4:$D$83,MATCH(Setup!$B$7&amp;"-"&amp;$C32,'Fixture Library'!$A$4:$A$83,0)),""))</f>
        <v>1</v>
      </c>
      <c r="E32" s="17">
        <f>IF($J32="","",IFERROR(INDEX(Teams!$D$4:$D$67,MATCH($B32&amp;"-"&amp;$J32,Teams!$E$4:$E$67,0)),""))</f>
        <v>0</v>
      </c>
      <c r="F32" s="16">
        <f>IF(OR($E32="",$G32="",$C32&gt;Setup!$B$16),"",IFERROR(INDEX(Results!$E$5:$E$228,INT(($A32-1)/28)*Setup!$B$16+$C32),""))</f>
        <v>0</v>
      </c>
      <c r="G32" s="17">
        <f>IF($K32="","",IFERROR(INDEX(Teams!$D$4:$D$67,MATCH($B32&amp;"-"&amp;$K32,Teams!$E$4:$E$67,0)),""))</f>
        <v>0</v>
      </c>
      <c r="H32" s="16">
        <f>IF(OR($E32="",$G32="",$C32&gt;Setup!$B$16),"",IFERROR(INDEX(Results!$F$5:$F$228,INT(($A32-1)/28)*Setup!$B$16+$C32),""))</f>
        <v>0</v>
      </c>
      <c r="I32" s="18">
        <f t="shared" si="7"/>
        <v>1</v>
      </c>
      <c r="J32" s="19">
        <f>IF(OR($B32="",$C32&gt;Setup!$B$16),"",IFERROR(INDEX('Fixture Library'!$E$4:$E$83,MATCH(Setup!$B$7&amp;"-"&amp;$C32,'Fixture Library'!$A$4:$A$83,0)),""))</f>
        <v>1</v>
      </c>
      <c r="K32" s="19">
        <f>IF(OR($B32="",$C32&gt;Setup!$B$16),"",IFERROR(INDEX('Fixture Library'!$F$4:$F$83,MATCH(Setup!$B$7&amp;"-"&amp;$C32,'Fixture Library'!$A$4:$A$83,0)),""))</f>
        <v>8</v>
      </c>
      <c r="L32" s="16">
        <f t="shared" si="1"/>
        <v>0</v>
      </c>
      <c r="M32" s="16">
        <f t="shared" si="2"/>
        <v>0</v>
      </c>
      <c r="N32" s="16">
        <f t="shared" si="3"/>
        <v>1</v>
      </c>
      <c r="O32" s="16">
        <f t="shared" si="4"/>
        <v>0</v>
      </c>
      <c r="P32" s="16">
        <f t="shared" si="8"/>
        <v>0</v>
      </c>
      <c r="Q32" s="16">
        <f t="shared" si="8"/>
        <v>0</v>
      </c>
      <c r="R32" s="16">
        <f t="shared" si="6"/>
        <v>0</v>
      </c>
    </row>
    <row r="33" spans="1:18">
      <c r="A33" s="16">
        <v>30</v>
      </c>
      <c r="B33" s="16" t="str">
        <f>IF(INT(($A33-1)/28)+1&lt;=Setup!$B$6,INDEX(Setup!$B$22:$B$29,INT(($A33-1)/28)+1),"")</f>
        <v>B</v>
      </c>
      <c r="C33" s="16">
        <f t="shared" si="0"/>
        <v>2</v>
      </c>
      <c r="D33" s="16">
        <f>IF(OR($B33="",$C33&gt;Setup!$B$16),"",IFERROR(INDEX('Fixture Library'!$D$4:$D$83,MATCH(Setup!$B$7&amp;"-"&amp;$C33,'Fixture Library'!$A$4:$A$83,0)),""))</f>
        <v>1</v>
      </c>
      <c r="E33" s="17">
        <f>IF($J33="","",IFERROR(INDEX(Teams!$D$4:$D$67,MATCH($B33&amp;"-"&amp;$J33,Teams!$E$4:$E$67,0)),""))</f>
        <v>0</v>
      </c>
      <c r="F33" s="16">
        <f>IF(OR($E33="",$G33="",$C33&gt;Setup!$B$16),"",IFERROR(INDEX(Results!$E$5:$E$228,INT(($A33-1)/28)*Setup!$B$16+$C33),""))</f>
        <v>0</v>
      </c>
      <c r="G33" s="17">
        <f>IF($K33="","",IFERROR(INDEX(Teams!$D$4:$D$67,MATCH($B33&amp;"-"&amp;$K33,Teams!$E$4:$E$67,0)),""))</f>
        <v>0</v>
      </c>
      <c r="H33" s="16">
        <f>IF(OR($E33="",$G33="",$C33&gt;Setup!$B$16),"",IFERROR(INDEX(Results!$F$5:$F$228,INT(($A33-1)/28)*Setup!$B$16+$C33),""))</f>
        <v>0</v>
      </c>
      <c r="I33" s="18">
        <f t="shared" si="7"/>
        <v>1</v>
      </c>
      <c r="J33" s="19">
        <f>IF(OR($B33="",$C33&gt;Setup!$B$16),"",IFERROR(INDEX('Fixture Library'!$E$4:$E$83,MATCH(Setup!$B$7&amp;"-"&amp;$C33,'Fixture Library'!$A$4:$A$83,0)),""))</f>
        <v>2</v>
      </c>
      <c r="K33" s="19">
        <f>IF(OR($B33="",$C33&gt;Setup!$B$16),"",IFERROR(INDEX('Fixture Library'!$F$4:$F$83,MATCH(Setup!$B$7&amp;"-"&amp;$C33,'Fixture Library'!$A$4:$A$83,0)),""))</f>
        <v>7</v>
      </c>
      <c r="L33" s="16">
        <f t="shared" si="1"/>
        <v>0</v>
      </c>
      <c r="M33" s="16">
        <f t="shared" si="2"/>
        <v>0</v>
      </c>
      <c r="N33" s="16">
        <f t="shared" si="3"/>
        <v>1</v>
      </c>
      <c r="O33" s="16">
        <f t="shared" si="4"/>
        <v>0</v>
      </c>
      <c r="P33" s="16">
        <f t="shared" si="8"/>
        <v>0</v>
      </c>
      <c r="Q33" s="16">
        <f t="shared" si="8"/>
        <v>0</v>
      </c>
      <c r="R33" s="16">
        <f t="shared" si="6"/>
        <v>0</v>
      </c>
    </row>
    <row r="34" spans="1:18">
      <c r="A34" s="16">
        <v>31</v>
      </c>
      <c r="B34" s="16" t="str">
        <f>IF(INT(($A34-1)/28)+1&lt;=Setup!$B$6,INDEX(Setup!$B$22:$B$29,INT(($A34-1)/28)+1),"")</f>
        <v>B</v>
      </c>
      <c r="C34" s="16">
        <f t="shared" si="0"/>
        <v>3</v>
      </c>
      <c r="D34" s="16">
        <f>IF(OR($B34="",$C34&gt;Setup!$B$16),"",IFERROR(INDEX('Fixture Library'!$D$4:$D$83,MATCH(Setup!$B$7&amp;"-"&amp;$C34,'Fixture Library'!$A$4:$A$83,0)),""))</f>
        <v>1</v>
      </c>
      <c r="E34" s="17">
        <f>IF($J34="","",IFERROR(INDEX(Teams!$D$4:$D$67,MATCH($B34&amp;"-"&amp;$J34,Teams!$E$4:$E$67,0)),""))</f>
        <v>0</v>
      </c>
      <c r="F34" s="16">
        <f>IF(OR($E34="",$G34="",$C34&gt;Setup!$B$16),"",IFERROR(INDEX(Results!$E$5:$E$228,INT(($A34-1)/28)*Setup!$B$16+$C34),""))</f>
        <v>0</v>
      </c>
      <c r="G34" s="17">
        <f>IF($K34="","",IFERROR(INDEX(Teams!$D$4:$D$67,MATCH($B34&amp;"-"&amp;$K34,Teams!$E$4:$E$67,0)),""))</f>
        <v>0</v>
      </c>
      <c r="H34" s="16">
        <f>IF(OR($E34="",$G34="",$C34&gt;Setup!$B$16),"",IFERROR(INDEX(Results!$F$5:$F$228,INT(($A34-1)/28)*Setup!$B$16+$C34),""))</f>
        <v>0</v>
      </c>
      <c r="I34" s="18">
        <f t="shared" si="7"/>
        <v>1</v>
      </c>
      <c r="J34" s="19">
        <f>IF(OR($B34="",$C34&gt;Setup!$B$16),"",IFERROR(INDEX('Fixture Library'!$E$4:$E$83,MATCH(Setup!$B$7&amp;"-"&amp;$C34,'Fixture Library'!$A$4:$A$83,0)),""))</f>
        <v>3</v>
      </c>
      <c r="K34" s="19">
        <f>IF(OR($B34="",$C34&gt;Setup!$B$16),"",IFERROR(INDEX('Fixture Library'!$F$4:$F$83,MATCH(Setup!$B$7&amp;"-"&amp;$C34,'Fixture Library'!$A$4:$A$83,0)),""))</f>
        <v>6</v>
      </c>
      <c r="L34" s="16">
        <f t="shared" si="1"/>
        <v>0</v>
      </c>
      <c r="M34" s="16">
        <f t="shared" si="2"/>
        <v>0</v>
      </c>
      <c r="N34" s="16">
        <f t="shared" si="3"/>
        <v>1</v>
      </c>
      <c r="O34" s="16">
        <f t="shared" si="4"/>
        <v>0</v>
      </c>
      <c r="P34" s="16">
        <f t="shared" si="8"/>
        <v>0</v>
      </c>
      <c r="Q34" s="16">
        <f t="shared" si="8"/>
        <v>0</v>
      </c>
      <c r="R34" s="16">
        <f t="shared" si="6"/>
        <v>0</v>
      </c>
    </row>
    <row r="35" spans="1:18">
      <c r="A35" s="16">
        <v>32</v>
      </c>
      <c r="B35" s="16" t="str">
        <f>IF(INT(($A35-1)/28)+1&lt;=Setup!$B$6,INDEX(Setup!$B$22:$B$29,INT(($A35-1)/28)+1),"")</f>
        <v>B</v>
      </c>
      <c r="C35" s="16">
        <f t="shared" si="0"/>
        <v>4</v>
      </c>
      <c r="D35" s="16">
        <f>IF(OR($B35="",$C35&gt;Setup!$B$16),"",IFERROR(INDEX('Fixture Library'!$D$4:$D$83,MATCH(Setup!$B$7&amp;"-"&amp;$C35,'Fixture Library'!$A$4:$A$83,0)),""))</f>
        <v>1</v>
      </c>
      <c r="E35" s="17">
        <f>IF($J35="","",IFERROR(INDEX(Teams!$D$4:$D$67,MATCH($B35&amp;"-"&amp;$J35,Teams!$E$4:$E$67,0)),""))</f>
        <v>0</v>
      </c>
      <c r="F35" s="16">
        <f>IF(OR($E35="",$G35="",$C35&gt;Setup!$B$16),"",IFERROR(INDEX(Results!$E$5:$E$228,INT(($A35-1)/28)*Setup!$B$16+$C35),""))</f>
        <v>0</v>
      </c>
      <c r="G35" s="17">
        <f>IF($K35="","",IFERROR(INDEX(Teams!$D$4:$D$67,MATCH($B35&amp;"-"&amp;$K35,Teams!$E$4:$E$67,0)),""))</f>
        <v>0</v>
      </c>
      <c r="H35" s="16">
        <f>IF(OR($E35="",$G35="",$C35&gt;Setup!$B$16),"",IFERROR(INDEX(Results!$F$5:$F$228,INT(($A35-1)/28)*Setup!$B$16+$C35),""))</f>
        <v>0</v>
      </c>
      <c r="I35" s="18">
        <f t="shared" si="7"/>
        <v>1</v>
      </c>
      <c r="J35" s="19">
        <f>IF(OR($B35="",$C35&gt;Setup!$B$16),"",IFERROR(INDEX('Fixture Library'!$E$4:$E$83,MATCH(Setup!$B$7&amp;"-"&amp;$C35,'Fixture Library'!$A$4:$A$83,0)),""))</f>
        <v>4</v>
      </c>
      <c r="K35" s="19">
        <f>IF(OR($B35="",$C35&gt;Setup!$B$16),"",IFERROR(INDEX('Fixture Library'!$F$4:$F$83,MATCH(Setup!$B$7&amp;"-"&amp;$C35,'Fixture Library'!$A$4:$A$83,0)),""))</f>
        <v>5</v>
      </c>
      <c r="L35" s="16">
        <f t="shared" si="1"/>
        <v>0</v>
      </c>
      <c r="M35" s="16">
        <f t="shared" si="2"/>
        <v>0</v>
      </c>
      <c r="N35" s="16">
        <f t="shared" si="3"/>
        <v>1</v>
      </c>
      <c r="O35" s="16">
        <f t="shared" si="4"/>
        <v>0</v>
      </c>
      <c r="P35" s="16">
        <f t="shared" si="8"/>
        <v>0</v>
      </c>
      <c r="Q35" s="16">
        <f t="shared" si="8"/>
        <v>0</v>
      </c>
      <c r="R35" s="16">
        <f t="shared" si="6"/>
        <v>0</v>
      </c>
    </row>
    <row r="36" spans="1:18">
      <c r="A36" s="16">
        <v>33</v>
      </c>
      <c r="B36" s="16" t="str">
        <f>IF(INT(($A36-1)/28)+1&lt;=Setup!$B$6,INDEX(Setup!$B$22:$B$29,INT(($A36-1)/28)+1),"")</f>
        <v>B</v>
      </c>
      <c r="C36" s="16">
        <f t="shared" si="0"/>
        <v>5</v>
      </c>
      <c r="D36" s="16">
        <f>IF(OR($B36="",$C36&gt;Setup!$B$16),"",IFERROR(INDEX('Fixture Library'!$D$4:$D$83,MATCH(Setup!$B$7&amp;"-"&amp;$C36,'Fixture Library'!$A$4:$A$83,0)),""))</f>
        <v>2</v>
      </c>
      <c r="E36" s="17">
        <f>IF($J36="","",IFERROR(INDEX(Teams!$D$4:$D$67,MATCH($B36&amp;"-"&amp;$J36,Teams!$E$4:$E$67,0)),""))</f>
        <v>0</v>
      </c>
      <c r="F36" s="16">
        <f>IF(OR($E36="",$G36="",$C36&gt;Setup!$B$16),"",IFERROR(INDEX(Results!$E$5:$E$228,INT(($A36-1)/28)*Setup!$B$16+$C36),""))</f>
        <v>0</v>
      </c>
      <c r="G36" s="17">
        <f>IF($K36="","",IFERROR(INDEX(Teams!$D$4:$D$67,MATCH($B36&amp;"-"&amp;$K36,Teams!$E$4:$E$67,0)),""))</f>
        <v>0</v>
      </c>
      <c r="H36" s="16">
        <f>IF(OR($E36="",$G36="",$C36&gt;Setup!$B$16),"",IFERROR(INDEX(Results!$F$5:$F$228,INT(($A36-1)/28)*Setup!$B$16+$C36),""))</f>
        <v>0</v>
      </c>
      <c r="I36" s="18">
        <f t="shared" si="7"/>
        <v>1</v>
      </c>
      <c r="J36" s="19">
        <f>IF(OR($B36="",$C36&gt;Setup!$B$16),"",IFERROR(INDEX('Fixture Library'!$E$4:$E$83,MATCH(Setup!$B$7&amp;"-"&amp;$C36,'Fixture Library'!$A$4:$A$83,0)),""))</f>
        <v>7</v>
      </c>
      <c r="K36" s="19">
        <f>IF(OR($B36="",$C36&gt;Setup!$B$16),"",IFERROR(INDEX('Fixture Library'!$F$4:$F$83,MATCH(Setup!$B$7&amp;"-"&amp;$C36,'Fixture Library'!$A$4:$A$83,0)),""))</f>
        <v>1</v>
      </c>
      <c r="L36" s="16">
        <f t="shared" si="1"/>
        <v>0</v>
      </c>
      <c r="M36" s="16">
        <f t="shared" si="2"/>
        <v>0</v>
      </c>
      <c r="N36" s="16">
        <f t="shared" si="3"/>
        <v>1</v>
      </c>
      <c r="O36" s="16">
        <f t="shared" si="4"/>
        <v>0</v>
      </c>
      <c r="P36" s="16">
        <f t="shared" si="8"/>
        <v>0</v>
      </c>
      <c r="Q36" s="16">
        <f t="shared" si="8"/>
        <v>0</v>
      </c>
      <c r="R36" s="16">
        <f t="shared" si="6"/>
        <v>0</v>
      </c>
    </row>
    <row r="37" spans="1:18">
      <c r="A37" s="16">
        <v>34</v>
      </c>
      <c r="B37" s="16" t="str">
        <f>IF(INT(($A37-1)/28)+1&lt;=Setup!$B$6,INDEX(Setup!$B$22:$B$29,INT(($A37-1)/28)+1),"")</f>
        <v>B</v>
      </c>
      <c r="C37" s="16">
        <f t="shared" si="0"/>
        <v>6</v>
      </c>
      <c r="D37" s="16">
        <f>IF(OR($B37="",$C37&gt;Setup!$B$16),"",IFERROR(INDEX('Fixture Library'!$D$4:$D$83,MATCH(Setup!$B$7&amp;"-"&amp;$C37,'Fixture Library'!$A$4:$A$83,0)),""))</f>
        <v>2</v>
      </c>
      <c r="E37" s="17">
        <f>IF($J37="","",IFERROR(INDEX(Teams!$D$4:$D$67,MATCH($B37&amp;"-"&amp;$J37,Teams!$E$4:$E$67,0)),""))</f>
        <v>0</v>
      </c>
      <c r="F37" s="16">
        <f>IF(OR($E37="",$G37="",$C37&gt;Setup!$B$16),"",IFERROR(INDEX(Results!$E$5:$E$228,INT(($A37-1)/28)*Setup!$B$16+$C37),""))</f>
        <v>0</v>
      </c>
      <c r="G37" s="17">
        <f>IF($K37="","",IFERROR(INDEX(Teams!$D$4:$D$67,MATCH($B37&amp;"-"&amp;$K37,Teams!$E$4:$E$67,0)),""))</f>
        <v>0</v>
      </c>
      <c r="H37" s="16">
        <f>IF(OR($E37="",$G37="",$C37&gt;Setup!$B$16),"",IFERROR(INDEX(Results!$F$5:$F$228,INT(($A37-1)/28)*Setup!$B$16+$C37),""))</f>
        <v>0</v>
      </c>
      <c r="I37" s="18">
        <f t="shared" si="7"/>
        <v>1</v>
      </c>
      <c r="J37" s="19">
        <f>IF(OR($B37="",$C37&gt;Setup!$B$16),"",IFERROR(INDEX('Fixture Library'!$E$4:$E$83,MATCH(Setup!$B$7&amp;"-"&amp;$C37,'Fixture Library'!$A$4:$A$83,0)),""))</f>
        <v>6</v>
      </c>
      <c r="K37" s="19">
        <f>IF(OR($B37="",$C37&gt;Setup!$B$16),"",IFERROR(INDEX('Fixture Library'!$F$4:$F$83,MATCH(Setup!$B$7&amp;"-"&amp;$C37,'Fixture Library'!$A$4:$A$83,0)),""))</f>
        <v>8</v>
      </c>
      <c r="L37" s="16">
        <f t="shared" si="1"/>
        <v>0</v>
      </c>
      <c r="M37" s="16">
        <f t="shared" si="2"/>
        <v>0</v>
      </c>
      <c r="N37" s="16">
        <f t="shared" si="3"/>
        <v>1</v>
      </c>
      <c r="O37" s="16">
        <f t="shared" si="4"/>
        <v>0</v>
      </c>
      <c r="P37" s="16">
        <f t="shared" si="8"/>
        <v>0</v>
      </c>
      <c r="Q37" s="16">
        <f t="shared" si="8"/>
        <v>0</v>
      </c>
      <c r="R37" s="16">
        <f t="shared" si="6"/>
        <v>0</v>
      </c>
    </row>
    <row r="38" spans="1:18">
      <c r="A38" s="16">
        <v>35</v>
      </c>
      <c r="B38" s="16" t="str">
        <f>IF(INT(($A38-1)/28)+1&lt;=Setup!$B$6,INDEX(Setup!$B$22:$B$29,INT(($A38-1)/28)+1),"")</f>
        <v>B</v>
      </c>
      <c r="C38" s="16">
        <f t="shared" si="0"/>
        <v>7</v>
      </c>
      <c r="D38" s="16">
        <f>IF(OR($B38="",$C38&gt;Setup!$B$16),"",IFERROR(INDEX('Fixture Library'!$D$4:$D$83,MATCH(Setup!$B$7&amp;"-"&amp;$C38,'Fixture Library'!$A$4:$A$83,0)),""))</f>
        <v>2</v>
      </c>
      <c r="E38" s="17">
        <f>IF($J38="","",IFERROR(INDEX(Teams!$D$4:$D$67,MATCH($B38&amp;"-"&amp;$J38,Teams!$E$4:$E$67,0)),""))</f>
        <v>0</v>
      </c>
      <c r="F38" s="16">
        <f>IF(OR($E38="",$G38="",$C38&gt;Setup!$B$16),"",IFERROR(INDEX(Results!$E$5:$E$228,INT(($A38-1)/28)*Setup!$B$16+$C38),""))</f>
        <v>0</v>
      </c>
      <c r="G38" s="17">
        <f>IF($K38="","",IFERROR(INDEX(Teams!$D$4:$D$67,MATCH($B38&amp;"-"&amp;$K38,Teams!$E$4:$E$67,0)),""))</f>
        <v>0</v>
      </c>
      <c r="H38" s="16">
        <f>IF(OR($E38="",$G38="",$C38&gt;Setup!$B$16),"",IFERROR(INDEX(Results!$F$5:$F$228,INT(($A38-1)/28)*Setup!$B$16+$C38),""))</f>
        <v>0</v>
      </c>
      <c r="I38" s="18">
        <f t="shared" si="7"/>
        <v>1</v>
      </c>
      <c r="J38" s="19">
        <f>IF(OR($B38="",$C38&gt;Setup!$B$16),"",IFERROR(INDEX('Fixture Library'!$E$4:$E$83,MATCH(Setup!$B$7&amp;"-"&amp;$C38,'Fixture Library'!$A$4:$A$83,0)),""))</f>
        <v>5</v>
      </c>
      <c r="K38" s="19">
        <f>IF(OR($B38="",$C38&gt;Setup!$B$16),"",IFERROR(INDEX('Fixture Library'!$F$4:$F$83,MATCH(Setup!$B$7&amp;"-"&amp;$C38,'Fixture Library'!$A$4:$A$83,0)),""))</f>
        <v>2</v>
      </c>
      <c r="L38" s="16">
        <f t="shared" si="1"/>
        <v>0</v>
      </c>
      <c r="M38" s="16">
        <f t="shared" si="2"/>
        <v>0</v>
      </c>
      <c r="N38" s="16">
        <f t="shared" si="3"/>
        <v>1</v>
      </c>
      <c r="O38" s="16">
        <f t="shared" si="4"/>
        <v>0</v>
      </c>
      <c r="P38" s="16">
        <f t="shared" si="8"/>
        <v>0</v>
      </c>
      <c r="Q38" s="16">
        <f t="shared" si="8"/>
        <v>0</v>
      </c>
      <c r="R38" s="16">
        <f t="shared" si="6"/>
        <v>0</v>
      </c>
    </row>
    <row r="39" spans="1:18">
      <c r="A39" s="16">
        <v>36</v>
      </c>
      <c r="B39" s="16" t="str">
        <f>IF(INT(($A39-1)/28)+1&lt;=Setup!$B$6,INDEX(Setup!$B$22:$B$29,INT(($A39-1)/28)+1),"")</f>
        <v>B</v>
      </c>
      <c r="C39" s="16">
        <f t="shared" si="0"/>
        <v>8</v>
      </c>
      <c r="D39" s="16">
        <f>IF(OR($B39="",$C39&gt;Setup!$B$16),"",IFERROR(INDEX('Fixture Library'!$D$4:$D$83,MATCH(Setup!$B$7&amp;"-"&amp;$C39,'Fixture Library'!$A$4:$A$83,0)),""))</f>
        <v>2</v>
      </c>
      <c r="E39" s="17">
        <f>IF($J39="","",IFERROR(INDEX(Teams!$D$4:$D$67,MATCH($B39&amp;"-"&amp;$J39,Teams!$E$4:$E$67,0)),""))</f>
        <v>0</v>
      </c>
      <c r="F39" s="16">
        <f>IF(OR($E39="",$G39="",$C39&gt;Setup!$B$16),"",IFERROR(INDEX(Results!$E$5:$E$228,INT(($A39-1)/28)*Setup!$B$16+$C39),""))</f>
        <v>0</v>
      </c>
      <c r="G39" s="17">
        <f>IF($K39="","",IFERROR(INDEX(Teams!$D$4:$D$67,MATCH($B39&amp;"-"&amp;$K39,Teams!$E$4:$E$67,0)),""))</f>
        <v>0</v>
      </c>
      <c r="H39" s="16">
        <f>IF(OR($E39="",$G39="",$C39&gt;Setup!$B$16),"",IFERROR(INDEX(Results!$F$5:$F$228,INT(($A39-1)/28)*Setup!$B$16+$C39),""))</f>
        <v>0</v>
      </c>
      <c r="I39" s="18">
        <f t="shared" si="7"/>
        <v>1</v>
      </c>
      <c r="J39" s="19">
        <f>IF(OR($B39="",$C39&gt;Setup!$B$16),"",IFERROR(INDEX('Fixture Library'!$E$4:$E$83,MATCH(Setup!$B$7&amp;"-"&amp;$C39,'Fixture Library'!$A$4:$A$83,0)),""))</f>
        <v>4</v>
      </c>
      <c r="K39" s="19">
        <f>IF(OR($B39="",$C39&gt;Setup!$B$16),"",IFERROR(INDEX('Fixture Library'!$F$4:$F$83,MATCH(Setup!$B$7&amp;"-"&amp;$C39,'Fixture Library'!$A$4:$A$83,0)),""))</f>
        <v>3</v>
      </c>
      <c r="L39" s="16">
        <f t="shared" si="1"/>
        <v>0</v>
      </c>
      <c r="M39" s="16">
        <f t="shared" si="2"/>
        <v>0</v>
      </c>
      <c r="N39" s="16">
        <f t="shared" si="3"/>
        <v>1</v>
      </c>
      <c r="O39" s="16">
        <f t="shared" si="4"/>
        <v>0</v>
      </c>
      <c r="P39" s="16">
        <f t="shared" si="8"/>
        <v>0</v>
      </c>
      <c r="Q39" s="16">
        <f t="shared" si="8"/>
        <v>0</v>
      </c>
      <c r="R39" s="16">
        <f t="shared" si="6"/>
        <v>0</v>
      </c>
    </row>
    <row r="40" spans="1:18">
      <c r="A40" s="16">
        <v>37</v>
      </c>
      <c r="B40" s="16" t="str">
        <f>IF(INT(($A40-1)/28)+1&lt;=Setup!$B$6,INDEX(Setup!$B$22:$B$29,INT(($A40-1)/28)+1),"")</f>
        <v>B</v>
      </c>
      <c r="C40" s="16">
        <f t="shared" si="0"/>
        <v>9</v>
      </c>
      <c r="D40" s="16">
        <f>IF(OR($B40="",$C40&gt;Setup!$B$16),"",IFERROR(INDEX('Fixture Library'!$D$4:$D$83,MATCH(Setup!$B$7&amp;"-"&amp;$C40,'Fixture Library'!$A$4:$A$83,0)),""))</f>
        <v>3</v>
      </c>
      <c r="E40" s="17">
        <f>IF($J40="","",IFERROR(INDEX(Teams!$D$4:$D$67,MATCH($B40&amp;"-"&amp;$J40,Teams!$E$4:$E$67,0)),""))</f>
        <v>0</v>
      </c>
      <c r="F40" s="16">
        <f>IF(OR($E40="",$G40="",$C40&gt;Setup!$B$16),"",IFERROR(INDEX(Results!$E$5:$E$228,INT(($A40-1)/28)*Setup!$B$16+$C40),""))</f>
        <v>0</v>
      </c>
      <c r="G40" s="17">
        <f>IF($K40="","",IFERROR(INDEX(Teams!$D$4:$D$67,MATCH($B40&amp;"-"&amp;$K40,Teams!$E$4:$E$67,0)),""))</f>
        <v>0</v>
      </c>
      <c r="H40" s="16">
        <f>IF(OR($E40="",$G40="",$C40&gt;Setup!$B$16),"",IFERROR(INDEX(Results!$F$5:$F$228,INT(($A40-1)/28)*Setup!$B$16+$C40),""))</f>
        <v>0</v>
      </c>
      <c r="I40" s="18">
        <f t="shared" si="7"/>
        <v>1</v>
      </c>
      <c r="J40" s="19">
        <f>IF(OR($B40="",$C40&gt;Setup!$B$16),"",IFERROR(INDEX('Fixture Library'!$E$4:$E$83,MATCH(Setup!$B$7&amp;"-"&amp;$C40,'Fixture Library'!$A$4:$A$83,0)),""))</f>
        <v>1</v>
      </c>
      <c r="K40" s="19">
        <f>IF(OR($B40="",$C40&gt;Setup!$B$16),"",IFERROR(INDEX('Fixture Library'!$F$4:$F$83,MATCH(Setup!$B$7&amp;"-"&amp;$C40,'Fixture Library'!$A$4:$A$83,0)),""))</f>
        <v>6</v>
      </c>
      <c r="L40" s="16">
        <f t="shared" si="1"/>
        <v>0</v>
      </c>
      <c r="M40" s="16">
        <f t="shared" si="2"/>
        <v>0</v>
      </c>
      <c r="N40" s="16">
        <f t="shared" si="3"/>
        <v>1</v>
      </c>
      <c r="O40" s="16">
        <f t="shared" si="4"/>
        <v>0</v>
      </c>
      <c r="P40" s="16">
        <f t="shared" si="8"/>
        <v>0</v>
      </c>
      <c r="Q40" s="16">
        <f t="shared" si="8"/>
        <v>0</v>
      </c>
      <c r="R40" s="16">
        <f t="shared" si="6"/>
        <v>0</v>
      </c>
    </row>
    <row r="41" spans="1:18">
      <c r="A41" s="16">
        <v>38</v>
      </c>
      <c r="B41" s="16" t="str">
        <f>IF(INT(($A41-1)/28)+1&lt;=Setup!$B$6,INDEX(Setup!$B$22:$B$29,INT(($A41-1)/28)+1),"")</f>
        <v>B</v>
      </c>
      <c r="C41" s="16">
        <f t="shared" si="0"/>
        <v>10</v>
      </c>
      <c r="D41" s="16">
        <f>IF(OR($B41="",$C41&gt;Setup!$B$16),"",IFERROR(INDEX('Fixture Library'!$D$4:$D$83,MATCH(Setup!$B$7&amp;"-"&amp;$C41,'Fixture Library'!$A$4:$A$83,0)),""))</f>
        <v>3</v>
      </c>
      <c r="E41" s="17">
        <f>IF($J41="","",IFERROR(INDEX(Teams!$D$4:$D$67,MATCH($B41&amp;"-"&amp;$J41,Teams!$E$4:$E$67,0)),""))</f>
        <v>0</v>
      </c>
      <c r="F41" s="16">
        <f>IF(OR($E41="",$G41="",$C41&gt;Setup!$B$16),"",IFERROR(INDEX(Results!$E$5:$E$228,INT(($A41-1)/28)*Setup!$B$16+$C41),""))</f>
        <v>0</v>
      </c>
      <c r="G41" s="17">
        <f>IF($K41="","",IFERROR(INDEX(Teams!$D$4:$D$67,MATCH($B41&amp;"-"&amp;$K41,Teams!$E$4:$E$67,0)),""))</f>
        <v>0</v>
      </c>
      <c r="H41" s="16">
        <f>IF(OR($E41="",$G41="",$C41&gt;Setup!$B$16),"",IFERROR(INDEX(Results!$F$5:$F$228,INT(($A41-1)/28)*Setup!$B$16+$C41),""))</f>
        <v>0</v>
      </c>
      <c r="I41" s="18">
        <f t="shared" si="7"/>
        <v>1</v>
      </c>
      <c r="J41" s="19">
        <f>IF(OR($B41="",$C41&gt;Setup!$B$16),"",IFERROR(INDEX('Fixture Library'!$E$4:$E$83,MATCH(Setup!$B$7&amp;"-"&amp;$C41,'Fixture Library'!$A$4:$A$83,0)),""))</f>
        <v>7</v>
      </c>
      <c r="K41" s="19">
        <f>IF(OR($B41="",$C41&gt;Setup!$B$16),"",IFERROR(INDEX('Fixture Library'!$F$4:$F$83,MATCH(Setup!$B$7&amp;"-"&amp;$C41,'Fixture Library'!$A$4:$A$83,0)),""))</f>
        <v>5</v>
      </c>
      <c r="L41" s="16">
        <f t="shared" si="1"/>
        <v>0</v>
      </c>
      <c r="M41" s="16">
        <f t="shared" si="2"/>
        <v>0</v>
      </c>
      <c r="N41" s="16">
        <f t="shared" si="3"/>
        <v>1</v>
      </c>
      <c r="O41" s="16">
        <f t="shared" si="4"/>
        <v>0</v>
      </c>
      <c r="P41" s="16">
        <f t="shared" si="8"/>
        <v>0</v>
      </c>
      <c r="Q41" s="16">
        <f t="shared" si="8"/>
        <v>0</v>
      </c>
      <c r="R41" s="16">
        <f t="shared" si="6"/>
        <v>0</v>
      </c>
    </row>
    <row r="42" spans="1:18">
      <c r="A42" s="16">
        <v>39</v>
      </c>
      <c r="B42" s="16" t="str">
        <f>IF(INT(($A42-1)/28)+1&lt;=Setup!$B$6,INDEX(Setup!$B$22:$B$29,INT(($A42-1)/28)+1),"")</f>
        <v>B</v>
      </c>
      <c r="C42" s="16">
        <f t="shared" si="0"/>
        <v>11</v>
      </c>
      <c r="D42" s="16">
        <f>IF(OR($B42="",$C42&gt;Setup!$B$16),"",IFERROR(INDEX('Fixture Library'!$D$4:$D$83,MATCH(Setup!$B$7&amp;"-"&amp;$C42,'Fixture Library'!$A$4:$A$83,0)),""))</f>
        <v>3</v>
      </c>
      <c r="E42" s="17">
        <f>IF($J42="","",IFERROR(INDEX(Teams!$D$4:$D$67,MATCH($B42&amp;"-"&amp;$J42,Teams!$E$4:$E$67,0)),""))</f>
        <v>0</v>
      </c>
      <c r="F42" s="16">
        <f>IF(OR($E42="",$G42="",$C42&gt;Setup!$B$16),"",IFERROR(INDEX(Results!$E$5:$E$228,INT(($A42-1)/28)*Setup!$B$16+$C42),""))</f>
        <v>0</v>
      </c>
      <c r="G42" s="17">
        <f>IF($K42="","",IFERROR(INDEX(Teams!$D$4:$D$67,MATCH($B42&amp;"-"&amp;$K42,Teams!$E$4:$E$67,0)),""))</f>
        <v>0</v>
      </c>
      <c r="H42" s="16">
        <f>IF(OR($E42="",$G42="",$C42&gt;Setup!$B$16),"",IFERROR(INDEX(Results!$F$5:$F$228,INT(($A42-1)/28)*Setup!$B$16+$C42),""))</f>
        <v>0</v>
      </c>
      <c r="I42" s="18">
        <f t="shared" si="7"/>
        <v>1</v>
      </c>
      <c r="J42" s="19">
        <f>IF(OR($B42="",$C42&gt;Setup!$B$16),"",IFERROR(INDEX('Fixture Library'!$E$4:$E$83,MATCH(Setup!$B$7&amp;"-"&amp;$C42,'Fixture Library'!$A$4:$A$83,0)),""))</f>
        <v>8</v>
      </c>
      <c r="K42" s="19">
        <f>IF(OR($B42="",$C42&gt;Setup!$B$16),"",IFERROR(INDEX('Fixture Library'!$F$4:$F$83,MATCH(Setup!$B$7&amp;"-"&amp;$C42,'Fixture Library'!$A$4:$A$83,0)),""))</f>
        <v>4</v>
      </c>
      <c r="L42" s="16">
        <f t="shared" si="1"/>
        <v>0</v>
      </c>
      <c r="M42" s="16">
        <f t="shared" si="2"/>
        <v>0</v>
      </c>
      <c r="N42" s="16">
        <f t="shared" si="3"/>
        <v>1</v>
      </c>
      <c r="O42" s="16">
        <f t="shared" si="4"/>
        <v>0</v>
      </c>
      <c r="P42" s="16">
        <f t="shared" si="8"/>
        <v>0</v>
      </c>
      <c r="Q42" s="16">
        <f t="shared" si="8"/>
        <v>0</v>
      </c>
      <c r="R42" s="16">
        <f t="shared" si="6"/>
        <v>0</v>
      </c>
    </row>
    <row r="43" spans="1:18">
      <c r="A43" s="16">
        <v>40</v>
      </c>
      <c r="B43" s="16" t="str">
        <f>IF(INT(($A43-1)/28)+1&lt;=Setup!$B$6,INDEX(Setup!$B$22:$B$29,INT(($A43-1)/28)+1),"")</f>
        <v>B</v>
      </c>
      <c r="C43" s="16">
        <f t="shared" si="0"/>
        <v>12</v>
      </c>
      <c r="D43" s="16">
        <f>IF(OR($B43="",$C43&gt;Setup!$B$16),"",IFERROR(INDEX('Fixture Library'!$D$4:$D$83,MATCH(Setup!$B$7&amp;"-"&amp;$C43,'Fixture Library'!$A$4:$A$83,0)),""))</f>
        <v>3</v>
      </c>
      <c r="E43" s="17">
        <f>IF($J43="","",IFERROR(INDEX(Teams!$D$4:$D$67,MATCH($B43&amp;"-"&amp;$J43,Teams!$E$4:$E$67,0)),""))</f>
        <v>0</v>
      </c>
      <c r="F43" s="16">
        <f>IF(OR($E43="",$G43="",$C43&gt;Setup!$B$16),"",IFERROR(INDEX(Results!$E$5:$E$228,INT(($A43-1)/28)*Setup!$B$16+$C43),""))</f>
        <v>0</v>
      </c>
      <c r="G43" s="17">
        <f>IF($K43="","",IFERROR(INDEX(Teams!$D$4:$D$67,MATCH($B43&amp;"-"&amp;$K43,Teams!$E$4:$E$67,0)),""))</f>
        <v>0</v>
      </c>
      <c r="H43" s="16">
        <f>IF(OR($E43="",$G43="",$C43&gt;Setup!$B$16),"",IFERROR(INDEX(Results!$F$5:$F$228,INT(($A43-1)/28)*Setup!$B$16+$C43),""))</f>
        <v>0</v>
      </c>
      <c r="I43" s="18">
        <f t="shared" si="7"/>
        <v>1</v>
      </c>
      <c r="J43" s="19">
        <f>IF(OR($B43="",$C43&gt;Setup!$B$16),"",IFERROR(INDEX('Fixture Library'!$E$4:$E$83,MATCH(Setup!$B$7&amp;"-"&amp;$C43,'Fixture Library'!$A$4:$A$83,0)),""))</f>
        <v>2</v>
      </c>
      <c r="K43" s="19">
        <f>IF(OR($B43="",$C43&gt;Setup!$B$16),"",IFERROR(INDEX('Fixture Library'!$F$4:$F$83,MATCH(Setup!$B$7&amp;"-"&amp;$C43,'Fixture Library'!$A$4:$A$83,0)),""))</f>
        <v>3</v>
      </c>
      <c r="L43" s="16">
        <f t="shared" si="1"/>
        <v>0</v>
      </c>
      <c r="M43" s="16">
        <f t="shared" si="2"/>
        <v>0</v>
      </c>
      <c r="N43" s="16">
        <f t="shared" si="3"/>
        <v>1</v>
      </c>
      <c r="O43" s="16">
        <f t="shared" si="4"/>
        <v>0</v>
      </c>
      <c r="P43" s="16">
        <f t="shared" si="8"/>
        <v>0</v>
      </c>
      <c r="Q43" s="16">
        <f t="shared" si="8"/>
        <v>0</v>
      </c>
      <c r="R43" s="16">
        <f t="shared" si="6"/>
        <v>0</v>
      </c>
    </row>
    <row r="44" spans="1:18">
      <c r="A44" s="16">
        <v>41</v>
      </c>
      <c r="B44" s="16" t="str">
        <f>IF(INT(($A44-1)/28)+1&lt;=Setup!$B$6,INDEX(Setup!$B$22:$B$29,INT(($A44-1)/28)+1),"")</f>
        <v>B</v>
      </c>
      <c r="C44" s="16">
        <f t="shared" si="0"/>
        <v>13</v>
      </c>
      <c r="D44" s="16">
        <f>IF(OR($B44="",$C44&gt;Setup!$B$16),"",IFERROR(INDEX('Fixture Library'!$D$4:$D$83,MATCH(Setup!$B$7&amp;"-"&amp;$C44,'Fixture Library'!$A$4:$A$83,0)),""))</f>
        <v>4</v>
      </c>
      <c r="E44" s="17">
        <f>IF($J44="","",IFERROR(INDEX(Teams!$D$4:$D$67,MATCH($B44&amp;"-"&amp;$J44,Teams!$E$4:$E$67,0)),""))</f>
        <v>0</v>
      </c>
      <c r="F44" s="16">
        <f>IF(OR($E44="",$G44="",$C44&gt;Setup!$B$16),"",IFERROR(INDEX(Results!$E$5:$E$228,INT(($A44-1)/28)*Setup!$B$16+$C44),""))</f>
        <v>0</v>
      </c>
      <c r="G44" s="17">
        <f>IF($K44="","",IFERROR(INDEX(Teams!$D$4:$D$67,MATCH($B44&amp;"-"&amp;$K44,Teams!$E$4:$E$67,0)),""))</f>
        <v>0</v>
      </c>
      <c r="H44" s="16">
        <f>IF(OR($E44="",$G44="",$C44&gt;Setup!$B$16),"",IFERROR(INDEX(Results!$F$5:$F$228,INT(($A44-1)/28)*Setup!$B$16+$C44),""))</f>
        <v>0</v>
      </c>
      <c r="I44" s="18">
        <f t="shared" si="7"/>
        <v>1</v>
      </c>
      <c r="J44" s="19">
        <f>IF(OR($B44="",$C44&gt;Setup!$B$16),"",IFERROR(INDEX('Fixture Library'!$E$4:$E$83,MATCH(Setup!$B$7&amp;"-"&amp;$C44,'Fixture Library'!$A$4:$A$83,0)),""))</f>
        <v>5</v>
      </c>
      <c r="K44" s="19">
        <f>IF(OR($B44="",$C44&gt;Setup!$B$16),"",IFERROR(INDEX('Fixture Library'!$F$4:$F$83,MATCH(Setup!$B$7&amp;"-"&amp;$C44,'Fixture Library'!$A$4:$A$83,0)),""))</f>
        <v>1</v>
      </c>
      <c r="L44" s="16">
        <f t="shared" si="1"/>
        <v>0</v>
      </c>
      <c r="M44" s="16">
        <f t="shared" si="2"/>
        <v>0</v>
      </c>
      <c r="N44" s="16">
        <f t="shared" si="3"/>
        <v>1</v>
      </c>
      <c r="O44" s="16">
        <f t="shared" si="4"/>
        <v>0</v>
      </c>
      <c r="P44" s="16">
        <f t="shared" ref="P44:Q63" si="9">IF($I44=1,$H44,0)</f>
        <v>0</v>
      </c>
      <c r="Q44" s="16">
        <f t="shared" si="9"/>
        <v>0</v>
      </c>
      <c r="R44" s="16">
        <f t="shared" si="6"/>
        <v>0</v>
      </c>
    </row>
    <row r="45" spans="1:18">
      <c r="A45" s="16">
        <v>42</v>
      </c>
      <c r="B45" s="16" t="str">
        <f>IF(INT(($A45-1)/28)+1&lt;=Setup!$B$6,INDEX(Setup!$B$22:$B$29,INT(($A45-1)/28)+1),"")</f>
        <v>B</v>
      </c>
      <c r="C45" s="16">
        <f t="shared" si="0"/>
        <v>14</v>
      </c>
      <c r="D45" s="16">
        <f>IF(OR($B45="",$C45&gt;Setup!$B$16),"",IFERROR(INDEX('Fixture Library'!$D$4:$D$83,MATCH(Setup!$B$7&amp;"-"&amp;$C45,'Fixture Library'!$A$4:$A$83,0)),""))</f>
        <v>4</v>
      </c>
      <c r="E45" s="17">
        <f>IF($J45="","",IFERROR(INDEX(Teams!$D$4:$D$67,MATCH($B45&amp;"-"&amp;$J45,Teams!$E$4:$E$67,0)),""))</f>
        <v>0</v>
      </c>
      <c r="F45" s="16">
        <f>IF(OR($E45="",$G45="",$C45&gt;Setup!$B$16),"",IFERROR(INDEX(Results!$E$5:$E$228,INT(($A45-1)/28)*Setup!$B$16+$C45),""))</f>
        <v>0</v>
      </c>
      <c r="G45" s="17">
        <f>IF($K45="","",IFERROR(INDEX(Teams!$D$4:$D$67,MATCH($B45&amp;"-"&amp;$K45,Teams!$E$4:$E$67,0)),""))</f>
        <v>0</v>
      </c>
      <c r="H45" s="16">
        <f>IF(OR($E45="",$G45="",$C45&gt;Setup!$B$16),"",IFERROR(INDEX(Results!$F$5:$F$228,INT(($A45-1)/28)*Setup!$B$16+$C45),""))</f>
        <v>0</v>
      </c>
      <c r="I45" s="18">
        <f t="shared" si="7"/>
        <v>1</v>
      </c>
      <c r="J45" s="19">
        <f>IF(OR($B45="",$C45&gt;Setup!$B$16),"",IFERROR(INDEX('Fixture Library'!$E$4:$E$83,MATCH(Setup!$B$7&amp;"-"&amp;$C45,'Fixture Library'!$A$4:$A$83,0)),""))</f>
        <v>4</v>
      </c>
      <c r="K45" s="19">
        <f>IF(OR($B45="",$C45&gt;Setup!$B$16),"",IFERROR(INDEX('Fixture Library'!$F$4:$F$83,MATCH(Setup!$B$7&amp;"-"&amp;$C45,'Fixture Library'!$A$4:$A$83,0)),""))</f>
        <v>6</v>
      </c>
      <c r="L45" s="16">
        <f t="shared" si="1"/>
        <v>0</v>
      </c>
      <c r="M45" s="16">
        <f t="shared" si="2"/>
        <v>0</v>
      </c>
      <c r="N45" s="16">
        <f t="shared" si="3"/>
        <v>1</v>
      </c>
      <c r="O45" s="16">
        <f t="shared" si="4"/>
        <v>0</v>
      </c>
      <c r="P45" s="16">
        <f t="shared" si="9"/>
        <v>0</v>
      </c>
      <c r="Q45" s="16">
        <f t="shared" si="9"/>
        <v>0</v>
      </c>
      <c r="R45" s="16">
        <f t="shared" si="6"/>
        <v>0</v>
      </c>
    </row>
    <row r="46" spans="1:18">
      <c r="A46" s="16">
        <v>43</v>
      </c>
      <c r="B46" s="16" t="str">
        <f>IF(INT(($A46-1)/28)+1&lt;=Setup!$B$6,INDEX(Setup!$B$22:$B$29,INT(($A46-1)/28)+1),"")</f>
        <v>B</v>
      </c>
      <c r="C46" s="16">
        <f t="shared" si="0"/>
        <v>15</v>
      </c>
      <c r="D46" s="16">
        <f>IF(OR($B46="",$C46&gt;Setup!$B$16),"",IFERROR(INDEX('Fixture Library'!$D$4:$D$83,MATCH(Setup!$B$7&amp;"-"&amp;$C46,'Fixture Library'!$A$4:$A$83,0)),""))</f>
        <v>4</v>
      </c>
      <c r="E46" s="17">
        <f>IF($J46="","",IFERROR(INDEX(Teams!$D$4:$D$67,MATCH($B46&amp;"-"&amp;$J46,Teams!$E$4:$E$67,0)),""))</f>
        <v>0</v>
      </c>
      <c r="F46" s="16">
        <f>IF(OR($E46="",$G46="",$C46&gt;Setup!$B$16),"",IFERROR(INDEX(Results!$E$5:$E$228,INT(($A46-1)/28)*Setup!$B$16+$C46),""))</f>
        <v>0</v>
      </c>
      <c r="G46" s="17">
        <f>IF($K46="","",IFERROR(INDEX(Teams!$D$4:$D$67,MATCH($B46&amp;"-"&amp;$K46,Teams!$E$4:$E$67,0)),""))</f>
        <v>0</v>
      </c>
      <c r="H46" s="16">
        <f>IF(OR($E46="",$G46="",$C46&gt;Setup!$B$16),"",IFERROR(INDEX(Results!$F$5:$F$228,INT(($A46-1)/28)*Setup!$B$16+$C46),""))</f>
        <v>0</v>
      </c>
      <c r="I46" s="18">
        <f t="shared" si="7"/>
        <v>1</v>
      </c>
      <c r="J46" s="19">
        <f>IF(OR($B46="",$C46&gt;Setup!$B$16),"",IFERROR(INDEX('Fixture Library'!$E$4:$E$83,MATCH(Setup!$B$7&amp;"-"&amp;$C46,'Fixture Library'!$A$4:$A$83,0)),""))</f>
        <v>3</v>
      </c>
      <c r="K46" s="19">
        <f>IF(OR($B46="",$C46&gt;Setup!$B$16),"",IFERROR(INDEX('Fixture Library'!$F$4:$F$83,MATCH(Setup!$B$7&amp;"-"&amp;$C46,'Fixture Library'!$A$4:$A$83,0)),""))</f>
        <v>7</v>
      </c>
      <c r="L46" s="16">
        <f t="shared" si="1"/>
        <v>0</v>
      </c>
      <c r="M46" s="16">
        <f t="shared" si="2"/>
        <v>0</v>
      </c>
      <c r="N46" s="16">
        <f t="shared" si="3"/>
        <v>1</v>
      </c>
      <c r="O46" s="16">
        <f t="shared" si="4"/>
        <v>0</v>
      </c>
      <c r="P46" s="16">
        <f t="shared" si="9"/>
        <v>0</v>
      </c>
      <c r="Q46" s="16">
        <f t="shared" si="9"/>
        <v>0</v>
      </c>
      <c r="R46" s="16">
        <f t="shared" si="6"/>
        <v>0</v>
      </c>
    </row>
    <row r="47" spans="1:18">
      <c r="A47" s="16">
        <v>44</v>
      </c>
      <c r="B47" s="16" t="str">
        <f>IF(INT(($A47-1)/28)+1&lt;=Setup!$B$6,INDEX(Setup!$B$22:$B$29,INT(($A47-1)/28)+1),"")</f>
        <v>B</v>
      </c>
      <c r="C47" s="16">
        <f t="shared" si="0"/>
        <v>16</v>
      </c>
      <c r="D47" s="16">
        <f>IF(OR($B47="",$C47&gt;Setup!$B$16),"",IFERROR(INDEX('Fixture Library'!$D$4:$D$83,MATCH(Setup!$B$7&amp;"-"&amp;$C47,'Fixture Library'!$A$4:$A$83,0)),""))</f>
        <v>4</v>
      </c>
      <c r="E47" s="17">
        <f>IF($J47="","",IFERROR(INDEX(Teams!$D$4:$D$67,MATCH($B47&amp;"-"&amp;$J47,Teams!$E$4:$E$67,0)),""))</f>
        <v>0</v>
      </c>
      <c r="F47" s="16">
        <f>IF(OR($E47="",$G47="",$C47&gt;Setup!$B$16),"",IFERROR(INDEX(Results!$E$5:$E$228,INT(($A47-1)/28)*Setup!$B$16+$C47),""))</f>
        <v>0</v>
      </c>
      <c r="G47" s="17">
        <f>IF($K47="","",IFERROR(INDEX(Teams!$D$4:$D$67,MATCH($B47&amp;"-"&amp;$K47,Teams!$E$4:$E$67,0)),""))</f>
        <v>0</v>
      </c>
      <c r="H47" s="16">
        <f>IF(OR($E47="",$G47="",$C47&gt;Setup!$B$16),"",IFERROR(INDEX(Results!$F$5:$F$228,INT(($A47-1)/28)*Setup!$B$16+$C47),""))</f>
        <v>0</v>
      </c>
      <c r="I47" s="18">
        <f t="shared" si="7"/>
        <v>1</v>
      </c>
      <c r="J47" s="19">
        <f>IF(OR($B47="",$C47&gt;Setup!$B$16),"",IFERROR(INDEX('Fixture Library'!$E$4:$E$83,MATCH(Setup!$B$7&amp;"-"&amp;$C47,'Fixture Library'!$A$4:$A$83,0)),""))</f>
        <v>2</v>
      </c>
      <c r="K47" s="19">
        <f>IF(OR($B47="",$C47&gt;Setup!$B$16),"",IFERROR(INDEX('Fixture Library'!$F$4:$F$83,MATCH(Setup!$B$7&amp;"-"&amp;$C47,'Fixture Library'!$A$4:$A$83,0)),""))</f>
        <v>8</v>
      </c>
      <c r="L47" s="16">
        <f t="shared" si="1"/>
        <v>0</v>
      </c>
      <c r="M47" s="16">
        <f t="shared" si="2"/>
        <v>0</v>
      </c>
      <c r="N47" s="16">
        <f t="shared" si="3"/>
        <v>1</v>
      </c>
      <c r="O47" s="16">
        <f t="shared" si="4"/>
        <v>0</v>
      </c>
      <c r="P47" s="16">
        <f t="shared" si="9"/>
        <v>0</v>
      </c>
      <c r="Q47" s="16">
        <f t="shared" si="9"/>
        <v>0</v>
      </c>
      <c r="R47" s="16">
        <f t="shared" si="6"/>
        <v>0</v>
      </c>
    </row>
    <row r="48" spans="1:18">
      <c r="A48" s="16">
        <v>45</v>
      </c>
      <c r="B48" s="16" t="str">
        <f>IF(INT(($A48-1)/28)+1&lt;=Setup!$B$6,INDEX(Setup!$B$22:$B$29,INT(($A48-1)/28)+1),"")</f>
        <v>B</v>
      </c>
      <c r="C48" s="16">
        <f t="shared" si="0"/>
        <v>17</v>
      </c>
      <c r="D48" s="16">
        <f>IF(OR($B48="",$C48&gt;Setup!$B$16),"",IFERROR(INDEX('Fixture Library'!$D$4:$D$83,MATCH(Setup!$B$7&amp;"-"&amp;$C48,'Fixture Library'!$A$4:$A$83,0)),""))</f>
        <v>5</v>
      </c>
      <c r="E48" s="17">
        <f>IF($J48="","",IFERROR(INDEX(Teams!$D$4:$D$67,MATCH($B48&amp;"-"&amp;$J48,Teams!$E$4:$E$67,0)),""))</f>
        <v>0</v>
      </c>
      <c r="F48" s="16">
        <f>IF(OR($E48="",$G48="",$C48&gt;Setup!$B$16),"",IFERROR(INDEX(Results!$E$5:$E$228,INT(($A48-1)/28)*Setup!$B$16+$C48),""))</f>
        <v>0</v>
      </c>
      <c r="G48" s="17">
        <f>IF($K48="","",IFERROR(INDEX(Teams!$D$4:$D$67,MATCH($B48&amp;"-"&amp;$K48,Teams!$E$4:$E$67,0)),""))</f>
        <v>0</v>
      </c>
      <c r="H48" s="16">
        <f>IF(OR($E48="",$G48="",$C48&gt;Setup!$B$16),"",IFERROR(INDEX(Results!$F$5:$F$228,INT(($A48-1)/28)*Setup!$B$16+$C48),""))</f>
        <v>0</v>
      </c>
      <c r="I48" s="18">
        <f t="shared" si="7"/>
        <v>1</v>
      </c>
      <c r="J48" s="19">
        <f>IF(OR($B48="",$C48&gt;Setup!$B$16),"",IFERROR(INDEX('Fixture Library'!$E$4:$E$83,MATCH(Setup!$B$7&amp;"-"&amp;$C48,'Fixture Library'!$A$4:$A$83,0)),""))</f>
        <v>1</v>
      </c>
      <c r="K48" s="19">
        <f>IF(OR($B48="",$C48&gt;Setup!$B$16),"",IFERROR(INDEX('Fixture Library'!$F$4:$F$83,MATCH(Setup!$B$7&amp;"-"&amp;$C48,'Fixture Library'!$A$4:$A$83,0)),""))</f>
        <v>4</v>
      </c>
      <c r="L48" s="16">
        <f t="shared" si="1"/>
        <v>0</v>
      </c>
      <c r="M48" s="16">
        <f t="shared" si="2"/>
        <v>0</v>
      </c>
      <c r="N48" s="16">
        <f t="shared" si="3"/>
        <v>1</v>
      </c>
      <c r="O48" s="16">
        <f t="shared" si="4"/>
        <v>0</v>
      </c>
      <c r="P48" s="16">
        <f t="shared" si="9"/>
        <v>0</v>
      </c>
      <c r="Q48" s="16">
        <f t="shared" si="9"/>
        <v>0</v>
      </c>
      <c r="R48" s="16">
        <f t="shared" si="6"/>
        <v>0</v>
      </c>
    </row>
    <row r="49" spans="1:18">
      <c r="A49" s="16">
        <v>46</v>
      </c>
      <c r="B49" s="16" t="str">
        <f>IF(INT(($A49-1)/28)+1&lt;=Setup!$B$6,INDEX(Setup!$B$22:$B$29,INT(($A49-1)/28)+1),"")</f>
        <v>B</v>
      </c>
      <c r="C49" s="16">
        <f t="shared" si="0"/>
        <v>18</v>
      </c>
      <c r="D49" s="16">
        <f>IF(OR($B49="",$C49&gt;Setup!$B$16),"",IFERROR(INDEX('Fixture Library'!$D$4:$D$83,MATCH(Setup!$B$7&amp;"-"&amp;$C49,'Fixture Library'!$A$4:$A$83,0)),""))</f>
        <v>5</v>
      </c>
      <c r="E49" s="17">
        <f>IF($J49="","",IFERROR(INDEX(Teams!$D$4:$D$67,MATCH($B49&amp;"-"&amp;$J49,Teams!$E$4:$E$67,0)),""))</f>
        <v>0</v>
      </c>
      <c r="F49" s="16">
        <f>IF(OR($E49="",$G49="",$C49&gt;Setup!$B$16),"",IFERROR(INDEX(Results!$E$5:$E$228,INT(($A49-1)/28)*Setup!$B$16+$C49),""))</f>
        <v>0</v>
      </c>
      <c r="G49" s="17">
        <f>IF($K49="","",IFERROR(INDEX(Teams!$D$4:$D$67,MATCH($B49&amp;"-"&amp;$K49,Teams!$E$4:$E$67,0)),""))</f>
        <v>0</v>
      </c>
      <c r="H49" s="16">
        <f>IF(OR($E49="",$G49="",$C49&gt;Setup!$B$16),"",IFERROR(INDEX(Results!$F$5:$F$228,INT(($A49-1)/28)*Setup!$B$16+$C49),""))</f>
        <v>0</v>
      </c>
      <c r="I49" s="18">
        <f t="shared" si="7"/>
        <v>1</v>
      </c>
      <c r="J49" s="19">
        <f>IF(OR($B49="",$C49&gt;Setup!$B$16),"",IFERROR(INDEX('Fixture Library'!$E$4:$E$83,MATCH(Setup!$B$7&amp;"-"&amp;$C49,'Fixture Library'!$A$4:$A$83,0)),""))</f>
        <v>5</v>
      </c>
      <c r="K49" s="19">
        <f>IF(OR($B49="",$C49&gt;Setup!$B$16),"",IFERROR(INDEX('Fixture Library'!$F$4:$F$83,MATCH(Setup!$B$7&amp;"-"&amp;$C49,'Fixture Library'!$A$4:$A$83,0)),""))</f>
        <v>3</v>
      </c>
      <c r="L49" s="16">
        <f t="shared" si="1"/>
        <v>0</v>
      </c>
      <c r="M49" s="16">
        <f t="shared" si="2"/>
        <v>0</v>
      </c>
      <c r="N49" s="16">
        <f t="shared" si="3"/>
        <v>1</v>
      </c>
      <c r="O49" s="16">
        <f t="shared" si="4"/>
        <v>0</v>
      </c>
      <c r="P49" s="16">
        <f t="shared" si="9"/>
        <v>0</v>
      </c>
      <c r="Q49" s="16">
        <f t="shared" si="9"/>
        <v>0</v>
      </c>
      <c r="R49" s="16">
        <f t="shared" si="6"/>
        <v>0</v>
      </c>
    </row>
    <row r="50" spans="1:18">
      <c r="A50" s="16">
        <v>47</v>
      </c>
      <c r="B50" s="16" t="str">
        <f>IF(INT(($A50-1)/28)+1&lt;=Setup!$B$6,INDEX(Setup!$B$22:$B$29,INT(($A50-1)/28)+1),"")</f>
        <v>B</v>
      </c>
      <c r="C50" s="16">
        <f t="shared" si="0"/>
        <v>19</v>
      </c>
      <c r="D50" s="16">
        <f>IF(OR($B50="",$C50&gt;Setup!$B$16),"",IFERROR(INDEX('Fixture Library'!$D$4:$D$83,MATCH(Setup!$B$7&amp;"-"&amp;$C50,'Fixture Library'!$A$4:$A$83,0)),""))</f>
        <v>5</v>
      </c>
      <c r="E50" s="17">
        <f>IF($J50="","",IFERROR(INDEX(Teams!$D$4:$D$67,MATCH($B50&amp;"-"&amp;$J50,Teams!$E$4:$E$67,0)),""))</f>
        <v>0</v>
      </c>
      <c r="F50" s="16">
        <f>IF(OR($E50="",$G50="",$C50&gt;Setup!$B$16),"",IFERROR(INDEX(Results!$E$5:$E$228,INT(($A50-1)/28)*Setup!$B$16+$C50),""))</f>
        <v>0</v>
      </c>
      <c r="G50" s="17">
        <f>IF($K50="","",IFERROR(INDEX(Teams!$D$4:$D$67,MATCH($B50&amp;"-"&amp;$K50,Teams!$E$4:$E$67,0)),""))</f>
        <v>0</v>
      </c>
      <c r="H50" s="16">
        <f>IF(OR($E50="",$G50="",$C50&gt;Setup!$B$16),"",IFERROR(INDEX(Results!$F$5:$F$228,INT(($A50-1)/28)*Setup!$B$16+$C50),""))</f>
        <v>0</v>
      </c>
      <c r="I50" s="18">
        <f t="shared" si="7"/>
        <v>1</v>
      </c>
      <c r="J50" s="19">
        <f>IF(OR($B50="",$C50&gt;Setup!$B$16),"",IFERROR(INDEX('Fixture Library'!$E$4:$E$83,MATCH(Setup!$B$7&amp;"-"&amp;$C50,'Fixture Library'!$A$4:$A$83,0)),""))</f>
        <v>6</v>
      </c>
      <c r="K50" s="19">
        <f>IF(OR($B50="",$C50&gt;Setup!$B$16),"",IFERROR(INDEX('Fixture Library'!$F$4:$F$83,MATCH(Setup!$B$7&amp;"-"&amp;$C50,'Fixture Library'!$A$4:$A$83,0)),""))</f>
        <v>2</v>
      </c>
      <c r="L50" s="16">
        <f t="shared" si="1"/>
        <v>0</v>
      </c>
      <c r="M50" s="16">
        <f t="shared" si="2"/>
        <v>0</v>
      </c>
      <c r="N50" s="16">
        <f t="shared" si="3"/>
        <v>1</v>
      </c>
      <c r="O50" s="16">
        <f t="shared" si="4"/>
        <v>0</v>
      </c>
      <c r="P50" s="16">
        <f t="shared" si="9"/>
        <v>0</v>
      </c>
      <c r="Q50" s="16">
        <f t="shared" si="9"/>
        <v>0</v>
      </c>
      <c r="R50" s="16">
        <f t="shared" si="6"/>
        <v>0</v>
      </c>
    </row>
    <row r="51" spans="1:18">
      <c r="A51" s="16">
        <v>48</v>
      </c>
      <c r="B51" s="16" t="str">
        <f>IF(INT(($A51-1)/28)+1&lt;=Setup!$B$6,INDEX(Setup!$B$22:$B$29,INT(($A51-1)/28)+1),"")</f>
        <v>B</v>
      </c>
      <c r="C51" s="16">
        <f t="shared" si="0"/>
        <v>20</v>
      </c>
      <c r="D51" s="16">
        <f>IF(OR($B51="",$C51&gt;Setup!$B$16),"",IFERROR(INDEX('Fixture Library'!$D$4:$D$83,MATCH(Setup!$B$7&amp;"-"&amp;$C51,'Fixture Library'!$A$4:$A$83,0)),""))</f>
        <v>5</v>
      </c>
      <c r="E51" s="17">
        <f>IF($J51="","",IFERROR(INDEX(Teams!$D$4:$D$67,MATCH($B51&amp;"-"&amp;$J51,Teams!$E$4:$E$67,0)),""))</f>
        <v>0</v>
      </c>
      <c r="F51" s="16">
        <f>IF(OR($E51="",$G51="",$C51&gt;Setup!$B$16),"",IFERROR(INDEX(Results!$E$5:$E$228,INT(($A51-1)/28)*Setup!$B$16+$C51),""))</f>
        <v>0</v>
      </c>
      <c r="G51" s="17">
        <f>IF($K51="","",IFERROR(INDEX(Teams!$D$4:$D$67,MATCH($B51&amp;"-"&amp;$K51,Teams!$E$4:$E$67,0)),""))</f>
        <v>0</v>
      </c>
      <c r="H51" s="16">
        <f>IF(OR($E51="",$G51="",$C51&gt;Setup!$B$16),"",IFERROR(INDEX(Results!$F$5:$F$228,INT(($A51-1)/28)*Setup!$B$16+$C51),""))</f>
        <v>0</v>
      </c>
      <c r="I51" s="18">
        <f t="shared" si="7"/>
        <v>1</v>
      </c>
      <c r="J51" s="19">
        <f>IF(OR($B51="",$C51&gt;Setup!$B$16),"",IFERROR(INDEX('Fixture Library'!$E$4:$E$83,MATCH(Setup!$B$7&amp;"-"&amp;$C51,'Fixture Library'!$A$4:$A$83,0)),""))</f>
        <v>7</v>
      </c>
      <c r="K51" s="19">
        <f>IF(OR($B51="",$C51&gt;Setup!$B$16),"",IFERROR(INDEX('Fixture Library'!$F$4:$F$83,MATCH(Setup!$B$7&amp;"-"&amp;$C51,'Fixture Library'!$A$4:$A$83,0)),""))</f>
        <v>8</v>
      </c>
      <c r="L51" s="16">
        <f t="shared" si="1"/>
        <v>0</v>
      </c>
      <c r="M51" s="16">
        <f t="shared" si="2"/>
        <v>0</v>
      </c>
      <c r="N51" s="16">
        <f t="shared" si="3"/>
        <v>1</v>
      </c>
      <c r="O51" s="16">
        <f t="shared" si="4"/>
        <v>0</v>
      </c>
      <c r="P51" s="16">
        <f t="shared" si="9"/>
        <v>0</v>
      </c>
      <c r="Q51" s="16">
        <f t="shared" si="9"/>
        <v>0</v>
      </c>
      <c r="R51" s="16">
        <f t="shared" si="6"/>
        <v>0</v>
      </c>
    </row>
    <row r="52" spans="1:18">
      <c r="A52" s="16">
        <v>49</v>
      </c>
      <c r="B52" s="16" t="str">
        <f>IF(INT(($A52-1)/28)+1&lt;=Setup!$B$6,INDEX(Setup!$B$22:$B$29,INT(($A52-1)/28)+1),"")</f>
        <v>B</v>
      </c>
      <c r="C52" s="16">
        <f t="shared" si="0"/>
        <v>21</v>
      </c>
      <c r="D52" s="16">
        <f>IF(OR($B52="",$C52&gt;Setup!$B$16),"",IFERROR(INDEX('Fixture Library'!$D$4:$D$83,MATCH(Setup!$B$7&amp;"-"&amp;$C52,'Fixture Library'!$A$4:$A$83,0)),""))</f>
        <v>6</v>
      </c>
      <c r="E52" s="17">
        <f>IF($J52="","",IFERROR(INDEX(Teams!$D$4:$D$67,MATCH($B52&amp;"-"&amp;$J52,Teams!$E$4:$E$67,0)),""))</f>
        <v>0</v>
      </c>
      <c r="F52" s="16">
        <f>IF(OR($E52="",$G52="",$C52&gt;Setup!$B$16),"",IFERROR(INDEX(Results!$E$5:$E$228,INT(($A52-1)/28)*Setup!$B$16+$C52),""))</f>
        <v>0</v>
      </c>
      <c r="G52" s="17">
        <f>IF($K52="","",IFERROR(INDEX(Teams!$D$4:$D$67,MATCH($B52&amp;"-"&amp;$K52,Teams!$E$4:$E$67,0)),""))</f>
        <v>0</v>
      </c>
      <c r="H52" s="16">
        <f>IF(OR($E52="",$G52="",$C52&gt;Setup!$B$16),"",IFERROR(INDEX(Results!$F$5:$F$228,INT(($A52-1)/28)*Setup!$B$16+$C52),""))</f>
        <v>0</v>
      </c>
      <c r="I52" s="18">
        <f t="shared" si="7"/>
        <v>1</v>
      </c>
      <c r="J52" s="19">
        <f>IF(OR($B52="",$C52&gt;Setup!$B$16),"",IFERROR(INDEX('Fixture Library'!$E$4:$E$83,MATCH(Setup!$B$7&amp;"-"&amp;$C52,'Fixture Library'!$A$4:$A$83,0)),""))</f>
        <v>3</v>
      </c>
      <c r="K52" s="19">
        <f>IF(OR($B52="",$C52&gt;Setup!$B$16),"",IFERROR(INDEX('Fixture Library'!$F$4:$F$83,MATCH(Setup!$B$7&amp;"-"&amp;$C52,'Fixture Library'!$A$4:$A$83,0)),""))</f>
        <v>1</v>
      </c>
      <c r="L52" s="16">
        <f t="shared" si="1"/>
        <v>0</v>
      </c>
      <c r="M52" s="16">
        <f t="shared" si="2"/>
        <v>0</v>
      </c>
      <c r="N52" s="16">
        <f t="shared" si="3"/>
        <v>1</v>
      </c>
      <c r="O52" s="16">
        <f t="shared" si="4"/>
        <v>0</v>
      </c>
      <c r="P52" s="16">
        <f t="shared" si="9"/>
        <v>0</v>
      </c>
      <c r="Q52" s="16">
        <f t="shared" si="9"/>
        <v>0</v>
      </c>
      <c r="R52" s="16">
        <f t="shared" si="6"/>
        <v>0</v>
      </c>
    </row>
    <row r="53" spans="1:18">
      <c r="A53" s="16">
        <v>50</v>
      </c>
      <c r="B53" s="16" t="str">
        <f>IF(INT(($A53-1)/28)+1&lt;=Setup!$B$6,INDEX(Setup!$B$22:$B$29,INT(($A53-1)/28)+1),"")</f>
        <v>B</v>
      </c>
      <c r="C53" s="16">
        <f t="shared" si="0"/>
        <v>22</v>
      </c>
      <c r="D53" s="16">
        <f>IF(OR($B53="",$C53&gt;Setup!$B$16),"",IFERROR(INDEX('Fixture Library'!$D$4:$D$83,MATCH(Setup!$B$7&amp;"-"&amp;$C53,'Fixture Library'!$A$4:$A$83,0)),""))</f>
        <v>6</v>
      </c>
      <c r="E53" s="17">
        <f>IF($J53="","",IFERROR(INDEX(Teams!$D$4:$D$67,MATCH($B53&amp;"-"&amp;$J53,Teams!$E$4:$E$67,0)),""))</f>
        <v>0</v>
      </c>
      <c r="F53" s="16">
        <f>IF(OR($E53="",$G53="",$C53&gt;Setup!$B$16),"",IFERROR(INDEX(Results!$E$5:$E$228,INT(($A53-1)/28)*Setup!$B$16+$C53),""))</f>
        <v>0</v>
      </c>
      <c r="G53" s="17">
        <f>IF($K53="","",IFERROR(INDEX(Teams!$D$4:$D$67,MATCH($B53&amp;"-"&amp;$K53,Teams!$E$4:$E$67,0)),""))</f>
        <v>0</v>
      </c>
      <c r="H53" s="16">
        <f>IF(OR($E53="",$G53="",$C53&gt;Setup!$B$16),"",IFERROR(INDEX(Results!$F$5:$F$228,INT(($A53-1)/28)*Setup!$B$16+$C53),""))</f>
        <v>0</v>
      </c>
      <c r="I53" s="18">
        <f t="shared" si="7"/>
        <v>1</v>
      </c>
      <c r="J53" s="19">
        <f>IF(OR($B53="",$C53&gt;Setup!$B$16),"",IFERROR(INDEX('Fixture Library'!$E$4:$E$83,MATCH(Setup!$B$7&amp;"-"&amp;$C53,'Fixture Library'!$A$4:$A$83,0)),""))</f>
        <v>2</v>
      </c>
      <c r="K53" s="19">
        <f>IF(OR($B53="",$C53&gt;Setup!$B$16),"",IFERROR(INDEX('Fixture Library'!$F$4:$F$83,MATCH(Setup!$B$7&amp;"-"&amp;$C53,'Fixture Library'!$A$4:$A$83,0)),""))</f>
        <v>4</v>
      </c>
      <c r="L53" s="16">
        <f t="shared" si="1"/>
        <v>0</v>
      </c>
      <c r="M53" s="16">
        <f t="shared" si="2"/>
        <v>0</v>
      </c>
      <c r="N53" s="16">
        <f t="shared" si="3"/>
        <v>1</v>
      </c>
      <c r="O53" s="16">
        <f t="shared" si="4"/>
        <v>0</v>
      </c>
      <c r="P53" s="16">
        <f t="shared" si="9"/>
        <v>0</v>
      </c>
      <c r="Q53" s="16">
        <f t="shared" si="9"/>
        <v>0</v>
      </c>
      <c r="R53" s="16">
        <f t="shared" si="6"/>
        <v>0</v>
      </c>
    </row>
    <row r="54" spans="1:18">
      <c r="A54" s="16">
        <v>51</v>
      </c>
      <c r="B54" s="16" t="str">
        <f>IF(INT(($A54-1)/28)+1&lt;=Setup!$B$6,INDEX(Setup!$B$22:$B$29,INT(($A54-1)/28)+1),"")</f>
        <v>B</v>
      </c>
      <c r="C54" s="16">
        <f t="shared" si="0"/>
        <v>23</v>
      </c>
      <c r="D54" s="16">
        <f>IF(OR($B54="",$C54&gt;Setup!$B$16),"",IFERROR(INDEX('Fixture Library'!$D$4:$D$83,MATCH(Setup!$B$7&amp;"-"&amp;$C54,'Fixture Library'!$A$4:$A$83,0)),""))</f>
        <v>6</v>
      </c>
      <c r="E54" s="17">
        <f>IF($J54="","",IFERROR(INDEX(Teams!$D$4:$D$67,MATCH($B54&amp;"-"&amp;$J54,Teams!$E$4:$E$67,0)),""))</f>
        <v>0</v>
      </c>
      <c r="F54" s="16">
        <f>IF(OR($E54="",$G54="",$C54&gt;Setup!$B$16),"",IFERROR(INDEX(Results!$E$5:$E$228,INT(($A54-1)/28)*Setup!$B$16+$C54),""))</f>
        <v>0</v>
      </c>
      <c r="G54" s="17">
        <f>IF($K54="","",IFERROR(INDEX(Teams!$D$4:$D$67,MATCH($B54&amp;"-"&amp;$K54,Teams!$E$4:$E$67,0)),""))</f>
        <v>0</v>
      </c>
      <c r="H54" s="16">
        <f>IF(OR($E54="",$G54="",$C54&gt;Setup!$B$16),"",IFERROR(INDEX(Results!$F$5:$F$228,INT(($A54-1)/28)*Setup!$B$16+$C54),""))</f>
        <v>0</v>
      </c>
      <c r="I54" s="18">
        <f t="shared" si="7"/>
        <v>1</v>
      </c>
      <c r="J54" s="19">
        <f>IF(OR($B54="",$C54&gt;Setup!$B$16),"",IFERROR(INDEX('Fixture Library'!$E$4:$E$83,MATCH(Setup!$B$7&amp;"-"&amp;$C54,'Fixture Library'!$A$4:$A$83,0)),""))</f>
        <v>8</v>
      </c>
      <c r="K54" s="19">
        <f>IF(OR($B54="",$C54&gt;Setup!$B$16),"",IFERROR(INDEX('Fixture Library'!$F$4:$F$83,MATCH(Setup!$B$7&amp;"-"&amp;$C54,'Fixture Library'!$A$4:$A$83,0)),""))</f>
        <v>5</v>
      </c>
      <c r="L54" s="16">
        <f t="shared" si="1"/>
        <v>0</v>
      </c>
      <c r="M54" s="16">
        <f t="shared" si="2"/>
        <v>0</v>
      </c>
      <c r="N54" s="16">
        <f t="shared" si="3"/>
        <v>1</v>
      </c>
      <c r="O54" s="16">
        <f t="shared" si="4"/>
        <v>0</v>
      </c>
      <c r="P54" s="16">
        <f t="shared" si="9"/>
        <v>0</v>
      </c>
      <c r="Q54" s="16">
        <f t="shared" si="9"/>
        <v>0</v>
      </c>
      <c r="R54" s="16">
        <f t="shared" si="6"/>
        <v>0</v>
      </c>
    </row>
    <row r="55" spans="1:18">
      <c r="A55" s="16">
        <v>52</v>
      </c>
      <c r="B55" s="16" t="str">
        <f>IF(INT(($A55-1)/28)+1&lt;=Setup!$B$6,INDEX(Setup!$B$22:$B$29,INT(($A55-1)/28)+1),"")</f>
        <v>B</v>
      </c>
      <c r="C55" s="16">
        <f t="shared" si="0"/>
        <v>24</v>
      </c>
      <c r="D55" s="16">
        <f>IF(OR($B55="",$C55&gt;Setup!$B$16),"",IFERROR(INDEX('Fixture Library'!$D$4:$D$83,MATCH(Setup!$B$7&amp;"-"&amp;$C55,'Fixture Library'!$A$4:$A$83,0)),""))</f>
        <v>6</v>
      </c>
      <c r="E55" s="17">
        <f>IF($J55="","",IFERROR(INDEX(Teams!$D$4:$D$67,MATCH($B55&amp;"-"&amp;$J55,Teams!$E$4:$E$67,0)),""))</f>
        <v>0</v>
      </c>
      <c r="F55" s="16">
        <f>IF(OR($E55="",$G55="",$C55&gt;Setup!$B$16),"",IFERROR(INDEX(Results!$E$5:$E$228,INT(($A55-1)/28)*Setup!$B$16+$C55),""))</f>
        <v>0</v>
      </c>
      <c r="G55" s="17">
        <f>IF($K55="","",IFERROR(INDEX(Teams!$D$4:$D$67,MATCH($B55&amp;"-"&amp;$K55,Teams!$E$4:$E$67,0)),""))</f>
        <v>0</v>
      </c>
      <c r="H55" s="16">
        <f>IF(OR($E55="",$G55="",$C55&gt;Setup!$B$16),"",IFERROR(INDEX(Results!$F$5:$F$228,INT(($A55-1)/28)*Setup!$B$16+$C55),""))</f>
        <v>0</v>
      </c>
      <c r="I55" s="18">
        <f t="shared" si="7"/>
        <v>1</v>
      </c>
      <c r="J55" s="19">
        <f>IF(OR($B55="",$C55&gt;Setup!$B$16),"",IFERROR(INDEX('Fixture Library'!$E$4:$E$83,MATCH(Setup!$B$7&amp;"-"&amp;$C55,'Fixture Library'!$A$4:$A$83,0)),""))</f>
        <v>7</v>
      </c>
      <c r="K55" s="19">
        <f>IF(OR($B55="",$C55&gt;Setup!$B$16),"",IFERROR(INDEX('Fixture Library'!$F$4:$F$83,MATCH(Setup!$B$7&amp;"-"&amp;$C55,'Fixture Library'!$A$4:$A$83,0)),""))</f>
        <v>6</v>
      </c>
      <c r="L55" s="16">
        <f t="shared" si="1"/>
        <v>0</v>
      </c>
      <c r="M55" s="16">
        <f t="shared" si="2"/>
        <v>0</v>
      </c>
      <c r="N55" s="16">
        <f t="shared" si="3"/>
        <v>1</v>
      </c>
      <c r="O55" s="16">
        <f t="shared" si="4"/>
        <v>0</v>
      </c>
      <c r="P55" s="16">
        <f t="shared" si="9"/>
        <v>0</v>
      </c>
      <c r="Q55" s="16">
        <f t="shared" si="9"/>
        <v>0</v>
      </c>
      <c r="R55" s="16">
        <f t="shared" si="6"/>
        <v>0</v>
      </c>
    </row>
    <row r="56" spans="1:18">
      <c r="A56" s="16">
        <v>53</v>
      </c>
      <c r="B56" s="16" t="str">
        <f>IF(INT(($A56-1)/28)+1&lt;=Setup!$B$6,INDEX(Setup!$B$22:$B$29,INT(($A56-1)/28)+1),"")</f>
        <v>B</v>
      </c>
      <c r="C56" s="16">
        <f t="shared" si="0"/>
        <v>25</v>
      </c>
      <c r="D56" s="16">
        <f>IF(OR($B56="",$C56&gt;Setup!$B$16),"",IFERROR(INDEX('Fixture Library'!$D$4:$D$83,MATCH(Setup!$B$7&amp;"-"&amp;$C56,'Fixture Library'!$A$4:$A$83,0)),""))</f>
        <v>7</v>
      </c>
      <c r="E56" s="17">
        <f>IF($J56="","",IFERROR(INDEX(Teams!$D$4:$D$67,MATCH($B56&amp;"-"&amp;$J56,Teams!$E$4:$E$67,0)),""))</f>
        <v>0</v>
      </c>
      <c r="F56" s="16">
        <f>IF(OR($E56="",$G56="",$C56&gt;Setup!$B$16),"",IFERROR(INDEX(Results!$E$5:$E$228,INT(($A56-1)/28)*Setup!$B$16+$C56),""))</f>
        <v>0</v>
      </c>
      <c r="G56" s="17">
        <f>IF($K56="","",IFERROR(INDEX(Teams!$D$4:$D$67,MATCH($B56&amp;"-"&amp;$K56,Teams!$E$4:$E$67,0)),""))</f>
        <v>0</v>
      </c>
      <c r="H56" s="16">
        <f>IF(OR($E56="",$G56="",$C56&gt;Setup!$B$16),"",IFERROR(INDEX(Results!$F$5:$F$228,INT(($A56-1)/28)*Setup!$B$16+$C56),""))</f>
        <v>0</v>
      </c>
      <c r="I56" s="18">
        <f t="shared" si="7"/>
        <v>1</v>
      </c>
      <c r="J56" s="19">
        <f>IF(OR($B56="",$C56&gt;Setup!$B$16),"",IFERROR(INDEX('Fixture Library'!$E$4:$E$83,MATCH(Setup!$B$7&amp;"-"&amp;$C56,'Fixture Library'!$A$4:$A$83,0)),""))</f>
        <v>1</v>
      </c>
      <c r="K56" s="19">
        <f>IF(OR($B56="",$C56&gt;Setup!$B$16),"",IFERROR(INDEX('Fixture Library'!$F$4:$F$83,MATCH(Setup!$B$7&amp;"-"&amp;$C56,'Fixture Library'!$A$4:$A$83,0)),""))</f>
        <v>2</v>
      </c>
      <c r="L56" s="16">
        <f t="shared" si="1"/>
        <v>0</v>
      </c>
      <c r="M56" s="16">
        <f t="shared" si="2"/>
        <v>0</v>
      </c>
      <c r="N56" s="16">
        <f t="shared" si="3"/>
        <v>1</v>
      </c>
      <c r="O56" s="16">
        <f t="shared" si="4"/>
        <v>0</v>
      </c>
      <c r="P56" s="16">
        <f t="shared" si="9"/>
        <v>0</v>
      </c>
      <c r="Q56" s="16">
        <f t="shared" si="9"/>
        <v>0</v>
      </c>
      <c r="R56" s="16">
        <f t="shared" si="6"/>
        <v>0</v>
      </c>
    </row>
    <row r="57" spans="1:18">
      <c r="A57" s="16">
        <v>54</v>
      </c>
      <c r="B57" s="16" t="str">
        <f>IF(INT(($A57-1)/28)+1&lt;=Setup!$B$6,INDEX(Setup!$B$22:$B$29,INT(($A57-1)/28)+1),"")</f>
        <v>B</v>
      </c>
      <c r="C57" s="16">
        <f t="shared" si="0"/>
        <v>26</v>
      </c>
      <c r="D57" s="16">
        <f>IF(OR($B57="",$C57&gt;Setup!$B$16),"",IFERROR(INDEX('Fixture Library'!$D$4:$D$83,MATCH(Setup!$B$7&amp;"-"&amp;$C57,'Fixture Library'!$A$4:$A$83,0)),""))</f>
        <v>7</v>
      </c>
      <c r="E57" s="17">
        <f>IF($J57="","",IFERROR(INDEX(Teams!$D$4:$D$67,MATCH($B57&amp;"-"&amp;$J57,Teams!$E$4:$E$67,0)),""))</f>
        <v>0</v>
      </c>
      <c r="F57" s="16">
        <f>IF(OR($E57="",$G57="",$C57&gt;Setup!$B$16),"",IFERROR(INDEX(Results!$E$5:$E$228,INT(($A57-1)/28)*Setup!$B$16+$C57),""))</f>
        <v>0</v>
      </c>
      <c r="G57" s="17">
        <f>IF($K57="","",IFERROR(INDEX(Teams!$D$4:$D$67,MATCH($B57&amp;"-"&amp;$K57,Teams!$E$4:$E$67,0)),""))</f>
        <v>0</v>
      </c>
      <c r="H57" s="16">
        <f>IF(OR($E57="",$G57="",$C57&gt;Setup!$B$16),"",IFERROR(INDEX(Results!$F$5:$F$228,INT(($A57-1)/28)*Setup!$B$16+$C57),""))</f>
        <v>0</v>
      </c>
      <c r="I57" s="18">
        <f t="shared" si="7"/>
        <v>1</v>
      </c>
      <c r="J57" s="19">
        <f>IF(OR($B57="",$C57&gt;Setup!$B$16),"",IFERROR(INDEX('Fixture Library'!$E$4:$E$83,MATCH(Setup!$B$7&amp;"-"&amp;$C57,'Fixture Library'!$A$4:$A$83,0)),""))</f>
        <v>3</v>
      </c>
      <c r="K57" s="19">
        <f>IF(OR($B57="",$C57&gt;Setup!$B$16),"",IFERROR(INDEX('Fixture Library'!$F$4:$F$83,MATCH(Setup!$B$7&amp;"-"&amp;$C57,'Fixture Library'!$A$4:$A$83,0)),""))</f>
        <v>8</v>
      </c>
      <c r="L57" s="16">
        <f t="shared" si="1"/>
        <v>0</v>
      </c>
      <c r="M57" s="16">
        <f t="shared" si="2"/>
        <v>0</v>
      </c>
      <c r="N57" s="16">
        <f t="shared" si="3"/>
        <v>1</v>
      </c>
      <c r="O57" s="16">
        <f t="shared" si="4"/>
        <v>0</v>
      </c>
      <c r="P57" s="16">
        <f t="shared" si="9"/>
        <v>0</v>
      </c>
      <c r="Q57" s="16">
        <f t="shared" si="9"/>
        <v>0</v>
      </c>
      <c r="R57" s="16">
        <f t="shared" si="6"/>
        <v>0</v>
      </c>
    </row>
    <row r="58" spans="1:18">
      <c r="A58" s="16">
        <v>55</v>
      </c>
      <c r="B58" s="16" t="str">
        <f>IF(INT(($A58-1)/28)+1&lt;=Setup!$B$6,INDEX(Setup!$B$22:$B$29,INT(($A58-1)/28)+1),"")</f>
        <v>B</v>
      </c>
      <c r="C58" s="16">
        <f t="shared" si="0"/>
        <v>27</v>
      </c>
      <c r="D58" s="16">
        <f>IF(OR($B58="",$C58&gt;Setup!$B$16),"",IFERROR(INDEX('Fixture Library'!$D$4:$D$83,MATCH(Setup!$B$7&amp;"-"&amp;$C58,'Fixture Library'!$A$4:$A$83,0)),""))</f>
        <v>7</v>
      </c>
      <c r="E58" s="17">
        <f>IF($J58="","",IFERROR(INDEX(Teams!$D$4:$D$67,MATCH($B58&amp;"-"&amp;$J58,Teams!$E$4:$E$67,0)),""))</f>
        <v>0</v>
      </c>
      <c r="F58" s="16">
        <f>IF(OR($E58="",$G58="",$C58&gt;Setup!$B$16),"",IFERROR(INDEX(Results!$E$5:$E$228,INT(($A58-1)/28)*Setup!$B$16+$C58),""))</f>
        <v>0</v>
      </c>
      <c r="G58" s="17">
        <f>IF($K58="","",IFERROR(INDEX(Teams!$D$4:$D$67,MATCH($B58&amp;"-"&amp;$K58,Teams!$E$4:$E$67,0)),""))</f>
        <v>0</v>
      </c>
      <c r="H58" s="16">
        <f>IF(OR($E58="",$G58="",$C58&gt;Setup!$B$16),"",IFERROR(INDEX(Results!$F$5:$F$228,INT(($A58-1)/28)*Setup!$B$16+$C58),""))</f>
        <v>0</v>
      </c>
      <c r="I58" s="18">
        <f t="shared" si="7"/>
        <v>1</v>
      </c>
      <c r="J58" s="19">
        <f>IF(OR($B58="",$C58&gt;Setup!$B$16),"",IFERROR(INDEX('Fixture Library'!$E$4:$E$83,MATCH(Setup!$B$7&amp;"-"&amp;$C58,'Fixture Library'!$A$4:$A$83,0)),""))</f>
        <v>4</v>
      </c>
      <c r="K58" s="19">
        <f>IF(OR($B58="",$C58&gt;Setup!$B$16),"",IFERROR(INDEX('Fixture Library'!$F$4:$F$83,MATCH(Setup!$B$7&amp;"-"&amp;$C58,'Fixture Library'!$A$4:$A$83,0)),""))</f>
        <v>7</v>
      </c>
      <c r="L58" s="16">
        <f t="shared" si="1"/>
        <v>0</v>
      </c>
      <c r="M58" s="16">
        <f t="shared" si="2"/>
        <v>0</v>
      </c>
      <c r="N58" s="16">
        <f t="shared" si="3"/>
        <v>1</v>
      </c>
      <c r="O58" s="16">
        <f t="shared" si="4"/>
        <v>0</v>
      </c>
      <c r="P58" s="16">
        <f t="shared" si="9"/>
        <v>0</v>
      </c>
      <c r="Q58" s="16">
        <f t="shared" si="9"/>
        <v>0</v>
      </c>
      <c r="R58" s="16">
        <f t="shared" si="6"/>
        <v>0</v>
      </c>
    </row>
    <row r="59" spans="1:18">
      <c r="A59" s="16">
        <v>56</v>
      </c>
      <c r="B59" s="16" t="str">
        <f>IF(INT(($A59-1)/28)+1&lt;=Setup!$B$6,INDEX(Setup!$B$22:$B$29,INT(($A59-1)/28)+1),"")</f>
        <v>B</v>
      </c>
      <c r="C59" s="16">
        <f t="shared" si="0"/>
        <v>28</v>
      </c>
      <c r="D59" s="16">
        <f>IF(OR($B59="",$C59&gt;Setup!$B$16),"",IFERROR(INDEX('Fixture Library'!$D$4:$D$83,MATCH(Setup!$B$7&amp;"-"&amp;$C59,'Fixture Library'!$A$4:$A$83,0)),""))</f>
        <v>7</v>
      </c>
      <c r="E59" s="17">
        <f>IF($J59="","",IFERROR(INDEX(Teams!$D$4:$D$67,MATCH($B59&amp;"-"&amp;$J59,Teams!$E$4:$E$67,0)),""))</f>
        <v>0</v>
      </c>
      <c r="F59" s="16">
        <f>IF(OR($E59="",$G59="",$C59&gt;Setup!$B$16),"",IFERROR(INDEX(Results!$E$5:$E$228,INT(($A59-1)/28)*Setup!$B$16+$C59),""))</f>
        <v>0</v>
      </c>
      <c r="G59" s="17">
        <f>IF($K59="","",IFERROR(INDEX(Teams!$D$4:$D$67,MATCH($B59&amp;"-"&amp;$K59,Teams!$E$4:$E$67,0)),""))</f>
        <v>0</v>
      </c>
      <c r="H59" s="16">
        <f>IF(OR($E59="",$G59="",$C59&gt;Setup!$B$16),"",IFERROR(INDEX(Results!$F$5:$F$228,INT(($A59-1)/28)*Setup!$B$16+$C59),""))</f>
        <v>0</v>
      </c>
      <c r="I59" s="18">
        <f t="shared" si="7"/>
        <v>1</v>
      </c>
      <c r="J59" s="19">
        <f>IF(OR($B59="",$C59&gt;Setup!$B$16),"",IFERROR(INDEX('Fixture Library'!$E$4:$E$83,MATCH(Setup!$B$7&amp;"-"&amp;$C59,'Fixture Library'!$A$4:$A$83,0)),""))</f>
        <v>5</v>
      </c>
      <c r="K59" s="19">
        <f>IF(OR($B59="",$C59&gt;Setup!$B$16),"",IFERROR(INDEX('Fixture Library'!$F$4:$F$83,MATCH(Setup!$B$7&amp;"-"&amp;$C59,'Fixture Library'!$A$4:$A$83,0)),""))</f>
        <v>6</v>
      </c>
      <c r="L59" s="16">
        <f t="shared" si="1"/>
        <v>0</v>
      </c>
      <c r="M59" s="16">
        <f t="shared" si="2"/>
        <v>0</v>
      </c>
      <c r="N59" s="16">
        <f t="shared" si="3"/>
        <v>1</v>
      </c>
      <c r="O59" s="16">
        <f t="shared" si="4"/>
        <v>0</v>
      </c>
      <c r="P59" s="16">
        <f t="shared" si="9"/>
        <v>0</v>
      </c>
      <c r="Q59" s="16">
        <f t="shared" si="9"/>
        <v>0</v>
      </c>
      <c r="R59" s="16">
        <f t="shared" si="6"/>
        <v>0</v>
      </c>
    </row>
    <row r="60" spans="1:18">
      <c r="A60" s="16">
        <v>57</v>
      </c>
      <c r="B60" s="16" t="str">
        <f>IF(INT(($A60-1)/28)+1&lt;=Setup!$B$6,INDEX(Setup!$B$22:$B$29,INT(($A60-1)/28)+1),"")</f>
        <v/>
      </c>
      <c r="C60" s="16" t="str">
        <f t="shared" si="0"/>
        <v/>
      </c>
      <c r="D60" s="16" t="str">
        <f>IF(OR($B60="",$C60&gt;Setup!$B$16),"",IFERROR(INDEX('Fixture Library'!$D$4:$D$83,MATCH(Setup!$B$7&amp;"-"&amp;$C60,'Fixture Library'!$A$4:$A$83,0)),""))</f>
        <v/>
      </c>
      <c r="E60" s="17" t="str">
        <f>IF($J60="","",IFERROR(INDEX(Teams!$D$4:$D$67,MATCH($B60&amp;"-"&amp;$J60,Teams!$E$4:$E$67,0)),""))</f>
        <v/>
      </c>
      <c r="F60" s="16" t="str">
        <f>IF(OR($E60="",$G60="",$C60&gt;Setup!$B$16),"",IFERROR(INDEX(Results!$E$5:$E$228,INT(($A60-1)/28)*Setup!$B$16+$C60),""))</f>
        <v/>
      </c>
      <c r="G60" s="17" t="str">
        <f>IF($K60="","",IFERROR(INDEX(Teams!$D$4:$D$67,MATCH($B60&amp;"-"&amp;$K60,Teams!$E$4:$E$67,0)),""))</f>
        <v/>
      </c>
      <c r="H60" s="16" t="str">
        <f>IF(OR($E60="",$G60="",$C60&gt;Setup!$B$16),"",IFERROR(INDEX(Results!$F$5:$F$228,INT(($A60-1)/28)*Setup!$B$16+$C60),""))</f>
        <v/>
      </c>
      <c r="I60" s="18">
        <f t="shared" si="7"/>
        <v>0</v>
      </c>
      <c r="J60" s="19" t="str">
        <f>IF(OR($B60="",$C60&gt;Setup!$B$16),"",IFERROR(INDEX('Fixture Library'!$E$4:$E$83,MATCH(Setup!$B$7&amp;"-"&amp;$C60,'Fixture Library'!$A$4:$A$83,0)),""))</f>
        <v/>
      </c>
      <c r="K60" s="19" t="str">
        <f>IF(OR($B60="",$C60&gt;Setup!$B$16),"",IFERROR(INDEX('Fixture Library'!$F$4:$F$83,MATCH(Setup!$B$7&amp;"-"&amp;$C60,'Fixture Library'!$A$4:$A$83,0)),""))</f>
        <v/>
      </c>
      <c r="L60" s="16">
        <f t="shared" si="1"/>
        <v>0</v>
      </c>
      <c r="M60" s="16">
        <f t="shared" si="2"/>
        <v>0</v>
      </c>
      <c r="N60" s="16">
        <f t="shared" si="3"/>
        <v>0</v>
      </c>
      <c r="O60" s="16">
        <f t="shared" si="4"/>
        <v>0</v>
      </c>
      <c r="P60" s="16">
        <f t="shared" si="9"/>
        <v>0</v>
      </c>
      <c r="Q60" s="16">
        <f t="shared" si="9"/>
        <v>0</v>
      </c>
      <c r="R60" s="16">
        <f t="shared" si="6"/>
        <v>0</v>
      </c>
    </row>
    <row r="61" spans="1:18">
      <c r="A61" s="16">
        <v>58</v>
      </c>
      <c r="B61" s="16" t="str">
        <f>IF(INT(($A61-1)/28)+1&lt;=Setup!$B$6,INDEX(Setup!$B$22:$B$29,INT(($A61-1)/28)+1),"")</f>
        <v/>
      </c>
      <c r="C61" s="16" t="str">
        <f t="shared" si="0"/>
        <v/>
      </c>
      <c r="D61" s="16" t="str">
        <f>IF(OR($B61="",$C61&gt;Setup!$B$16),"",IFERROR(INDEX('Fixture Library'!$D$4:$D$83,MATCH(Setup!$B$7&amp;"-"&amp;$C61,'Fixture Library'!$A$4:$A$83,0)),""))</f>
        <v/>
      </c>
      <c r="E61" s="17" t="str">
        <f>IF($J61="","",IFERROR(INDEX(Teams!$D$4:$D$67,MATCH($B61&amp;"-"&amp;$J61,Teams!$E$4:$E$67,0)),""))</f>
        <v/>
      </c>
      <c r="F61" s="16" t="str">
        <f>IF(OR($E61="",$G61="",$C61&gt;Setup!$B$16),"",IFERROR(INDEX(Results!$E$5:$E$228,INT(($A61-1)/28)*Setup!$B$16+$C61),""))</f>
        <v/>
      </c>
      <c r="G61" s="17" t="str">
        <f>IF($K61="","",IFERROR(INDEX(Teams!$D$4:$D$67,MATCH($B61&amp;"-"&amp;$K61,Teams!$E$4:$E$67,0)),""))</f>
        <v/>
      </c>
      <c r="H61" s="16" t="str">
        <f>IF(OR($E61="",$G61="",$C61&gt;Setup!$B$16),"",IFERROR(INDEX(Results!$F$5:$F$228,INT(($A61-1)/28)*Setup!$B$16+$C61),""))</f>
        <v/>
      </c>
      <c r="I61" s="18">
        <f t="shared" si="7"/>
        <v>0</v>
      </c>
      <c r="J61" s="19" t="str">
        <f>IF(OR($B61="",$C61&gt;Setup!$B$16),"",IFERROR(INDEX('Fixture Library'!$E$4:$E$83,MATCH(Setup!$B$7&amp;"-"&amp;$C61,'Fixture Library'!$A$4:$A$83,0)),""))</f>
        <v/>
      </c>
      <c r="K61" s="19" t="str">
        <f>IF(OR($B61="",$C61&gt;Setup!$B$16),"",IFERROR(INDEX('Fixture Library'!$F$4:$F$83,MATCH(Setup!$B$7&amp;"-"&amp;$C61,'Fixture Library'!$A$4:$A$83,0)),""))</f>
        <v/>
      </c>
      <c r="L61" s="16">
        <f t="shared" si="1"/>
        <v>0</v>
      </c>
      <c r="M61" s="16">
        <f t="shared" si="2"/>
        <v>0</v>
      </c>
      <c r="N61" s="16">
        <f t="shared" si="3"/>
        <v>0</v>
      </c>
      <c r="O61" s="16">
        <f t="shared" si="4"/>
        <v>0</v>
      </c>
      <c r="P61" s="16">
        <f t="shared" si="9"/>
        <v>0</v>
      </c>
      <c r="Q61" s="16">
        <f t="shared" si="9"/>
        <v>0</v>
      </c>
      <c r="R61" s="16">
        <f t="shared" si="6"/>
        <v>0</v>
      </c>
    </row>
    <row r="62" spans="1:18">
      <c r="A62" s="16">
        <v>59</v>
      </c>
      <c r="B62" s="16" t="str">
        <f>IF(INT(($A62-1)/28)+1&lt;=Setup!$B$6,INDEX(Setup!$B$22:$B$29,INT(($A62-1)/28)+1),"")</f>
        <v/>
      </c>
      <c r="C62" s="16" t="str">
        <f t="shared" si="0"/>
        <v/>
      </c>
      <c r="D62" s="16" t="str">
        <f>IF(OR($B62="",$C62&gt;Setup!$B$16),"",IFERROR(INDEX('Fixture Library'!$D$4:$D$83,MATCH(Setup!$B$7&amp;"-"&amp;$C62,'Fixture Library'!$A$4:$A$83,0)),""))</f>
        <v/>
      </c>
      <c r="E62" s="17" t="str">
        <f>IF($J62="","",IFERROR(INDEX(Teams!$D$4:$D$67,MATCH($B62&amp;"-"&amp;$J62,Teams!$E$4:$E$67,0)),""))</f>
        <v/>
      </c>
      <c r="F62" s="16" t="str">
        <f>IF(OR($E62="",$G62="",$C62&gt;Setup!$B$16),"",IFERROR(INDEX(Results!$E$5:$E$228,INT(($A62-1)/28)*Setup!$B$16+$C62),""))</f>
        <v/>
      </c>
      <c r="G62" s="17" t="str">
        <f>IF($K62="","",IFERROR(INDEX(Teams!$D$4:$D$67,MATCH($B62&amp;"-"&amp;$K62,Teams!$E$4:$E$67,0)),""))</f>
        <v/>
      </c>
      <c r="H62" s="16" t="str">
        <f>IF(OR($E62="",$G62="",$C62&gt;Setup!$B$16),"",IFERROR(INDEX(Results!$F$5:$F$228,INT(($A62-1)/28)*Setup!$B$16+$C62),""))</f>
        <v/>
      </c>
      <c r="I62" s="18">
        <f t="shared" si="7"/>
        <v>0</v>
      </c>
      <c r="J62" s="19" t="str">
        <f>IF(OR($B62="",$C62&gt;Setup!$B$16),"",IFERROR(INDEX('Fixture Library'!$E$4:$E$83,MATCH(Setup!$B$7&amp;"-"&amp;$C62,'Fixture Library'!$A$4:$A$83,0)),""))</f>
        <v/>
      </c>
      <c r="K62" s="19" t="str">
        <f>IF(OR($B62="",$C62&gt;Setup!$B$16),"",IFERROR(INDEX('Fixture Library'!$F$4:$F$83,MATCH(Setup!$B$7&amp;"-"&amp;$C62,'Fixture Library'!$A$4:$A$83,0)),""))</f>
        <v/>
      </c>
      <c r="L62" s="16">
        <f t="shared" si="1"/>
        <v>0</v>
      </c>
      <c r="M62" s="16">
        <f t="shared" si="2"/>
        <v>0</v>
      </c>
      <c r="N62" s="16">
        <f t="shared" si="3"/>
        <v>0</v>
      </c>
      <c r="O62" s="16">
        <f t="shared" si="4"/>
        <v>0</v>
      </c>
      <c r="P62" s="16">
        <f t="shared" si="9"/>
        <v>0</v>
      </c>
      <c r="Q62" s="16">
        <f t="shared" si="9"/>
        <v>0</v>
      </c>
      <c r="R62" s="16">
        <f t="shared" si="6"/>
        <v>0</v>
      </c>
    </row>
    <row r="63" spans="1:18">
      <c r="A63" s="16">
        <v>60</v>
      </c>
      <c r="B63" s="16" t="str">
        <f>IF(INT(($A63-1)/28)+1&lt;=Setup!$B$6,INDEX(Setup!$B$22:$B$29,INT(($A63-1)/28)+1),"")</f>
        <v/>
      </c>
      <c r="C63" s="16" t="str">
        <f t="shared" si="0"/>
        <v/>
      </c>
      <c r="D63" s="16" t="str">
        <f>IF(OR($B63="",$C63&gt;Setup!$B$16),"",IFERROR(INDEX('Fixture Library'!$D$4:$D$83,MATCH(Setup!$B$7&amp;"-"&amp;$C63,'Fixture Library'!$A$4:$A$83,0)),""))</f>
        <v/>
      </c>
      <c r="E63" s="17" t="str">
        <f>IF($J63="","",IFERROR(INDEX(Teams!$D$4:$D$67,MATCH($B63&amp;"-"&amp;$J63,Teams!$E$4:$E$67,0)),""))</f>
        <v/>
      </c>
      <c r="F63" s="16" t="str">
        <f>IF(OR($E63="",$G63="",$C63&gt;Setup!$B$16),"",IFERROR(INDEX(Results!$E$5:$E$228,INT(($A63-1)/28)*Setup!$B$16+$C63),""))</f>
        <v/>
      </c>
      <c r="G63" s="17" t="str">
        <f>IF($K63="","",IFERROR(INDEX(Teams!$D$4:$D$67,MATCH($B63&amp;"-"&amp;$K63,Teams!$E$4:$E$67,0)),""))</f>
        <v/>
      </c>
      <c r="H63" s="16" t="str">
        <f>IF(OR($E63="",$G63="",$C63&gt;Setup!$B$16),"",IFERROR(INDEX(Results!$F$5:$F$228,INT(($A63-1)/28)*Setup!$B$16+$C63),""))</f>
        <v/>
      </c>
      <c r="I63" s="18">
        <f t="shared" si="7"/>
        <v>0</v>
      </c>
      <c r="J63" s="19" t="str">
        <f>IF(OR($B63="",$C63&gt;Setup!$B$16),"",IFERROR(INDEX('Fixture Library'!$E$4:$E$83,MATCH(Setup!$B$7&amp;"-"&amp;$C63,'Fixture Library'!$A$4:$A$83,0)),""))</f>
        <v/>
      </c>
      <c r="K63" s="19" t="str">
        <f>IF(OR($B63="",$C63&gt;Setup!$B$16),"",IFERROR(INDEX('Fixture Library'!$F$4:$F$83,MATCH(Setup!$B$7&amp;"-"&amp;$C63,'Fixture Library'!$A$4:$A$83,0)),""))</f>
        <v/>
      </c>
      <c r="L63" s="16">
        <f t="shared" si="1"/>
        <v>0</v>
      </c>
      <c r="M63" s="16">
        <f t="shared" si="2"/>
        <v>0</v>
      </c>
      <c r="N63" s="16">
        <f t="shared" si="3"/>
        <v>0</v>
      </c>
      <c r="O63" s="16">
        <f t="shared" si="4"/>
        <v>0</v>
      </c>
      <c r="P63" s="16">
        <f t="shared" si="9"/>
        <v>0</v>
      </c>
      <c r="Q63" s="16">
        <f t="shared" si="9"/>
        <v>0</v>
      </c>
      <c r="R63" s="16">
        <f t="shared" si="6"/>
        <v>0</v>
      </c>
    </row>
    <row r="64" spans="1:18">
      <c r="A64" s="16">
        <v>61</v>
      </c>
      <c r="B64" s="16" t="str">
        <f>IF(INT(($A64-1)/28)+1&lt;=Setup!$B$6,INDEX(Setup!$B$22:$B$29,INT(($A64-1)/28)+1),"")</f>
        <v/>
      </c>
      <c r="C64" s="16" t="str">
        <f t="shared" si="0"/>
        <v/>
      </c>
      <c r="D64" s="16" t="str">
        <f>IF(OR($B64="",$C64&gt;Setup!$B$16),"",IFERROR(INDEX('Fixture Library'!$D$4:$D$83,MATCH(Setup!$B$7&amp;"-"&amp;$C64,'Fixture Library'!$A$4:$A$83,0)),""))</f>
        <v/>
      </c>
      <c r="E64" s="17" t="str">
        <f>IF($J64="","",IFERROR(INDEX(Teams!$D$4:$D$67,MATCH($B64&amp;"-"&amp;$J64,Teams!$E$4:$E$67,0)),""))</f>
        <v/>
      </c>
      <c r="F64" s="16" t="str">
        <f>IF(OR($E64="",$G64="",$C64&gt;Setup!$B$16),"",IFERROR(INDEX(Results!$E$5:$E$228,INT(($A64-1)/28)*Setup!$B$16+$C64),""))</f>
        <v/>
      </c>
      <c r="G64" s="17" t="str">
        <f>IF($K64="","",IFERROR(INDEX(Teams!$D$4:$D$67,MATCH($B64&amp;"-"&amp;$K64,Teams!$E$4:$E$67,0)),""))</f>
        <v/>
      </c>
      <c r="H64" s="16" t="str">
        <f>IF(OR($E64="",$G64="",$C64&gt;Setup!$B$16),"",IFERROR(INDEX(Results!$F$5:$F$228,INT(($A64-1)/28)*Setup!$B$16+$C64),""))</f>
        <v/>
      </c>
      <c r="I64" s="18">
        <f t="shared" si="7"/>
        <v>0</v>
      </c>
      <c r="J64" s="19" t="str">
        <f>IF(OR($B64="",$C64&gt;Setup!$B$16),"",IFERROR(INDEX('Fixture Library'!$E$4:$E$83,MATCH(Setup!$B$7&amp;"-"&amp;$C64,'Fixture Library'!$A$4:$A$83,0)),""))</f>
        <v/>
      </c>
      <c r="K64" s="19" t="str">
        <f>IF(OR($B64="",$C64&gt;Setup!$B$16),"",IFERROR(INDEX('Fixture Library'!$F$4:$F$83,MATCH(Setup!$B$7&amp;"-"&amp;$C64,'Fixture Library'!$A$4:$A$83,0)),""))</f>
        <v/>
      </c>
      <c r="L64" s="16">
        <f t="shared" si="1"/>
        <v>0</v>
      </c>
      <c r="M64" s="16">
        <f t="shared" si="2"/>
        <v>0</v>
      </c>
      <c r="N64" s="16">
        <f t="shared" si="3"/>
        <v>0</v>
      </c>
      <c r="O64" s="16">
        <f t="shared" si="4"/>
        <v>0</v>
      </c>
      <c r="P64" s="16">
        <f t="shared" ref="P64:Q83" si="10">IF($I64=1,$H64,0)</f>
        <v>0</v>
      </c>
      <c r="Q64" s="16">
        <f t="shared" si="10"/>
        <v>0</v>
      </c>
      <c r="R64" s="16">
        <f t="shared" si="6"/>
        <v>0</v>
      </c>
    </row>
    <row r="65" spans="1:18">
      <c r="A65" s="16">
        <v>62</v>
      </c>
      <c r="B65" s="16" t="str">
        <f>IF(INT(($A65-1)/28)+1&lt;=Setup!$B$6,INDEX(Setup!$B$22:$B$29,INT(($A65-1)/28)+1),"")</f>
        <v/>
      </c>
      <c r="C65" s="16" t="str">
        <f t="shared" si="0"/>
        <v/>
      </c>
      <c r="D65" s="16" t="str">
        <f>IF(OR($B65="",$C65&gt;Setup!$B$16),"",IFERROR(INDEX('Fixture Library'!$D$4:$D$83,MATCH(Setup!$B$7&amp;"-"&amp;$C65,'Fixture Library'!$A$4:$A$83,0)),""))</f>
        <v/>
      </c>
      <c r="E65" s="17" t="str">
        <f>IF($J65="","",IFERROR(INDEX(Teams!$D$4:$D$67,MATCH($B65&amp;"-"&amp;$J65,Teams!$E$4:$E$67,0)),""))</f>
        <v/>
      </c>
      <c r="F65" s="16" t="str">
        <f>IF(OR($E65="",$G65="",$C65&gt;Setup!$B$16),"",IFERROR(INDEX(Results!$E$5:$E$228,INT(($A65-1)/28)*Setup!$B$16+$C65),""))</f>
        <v/>
      </c>
      <c r="G65" s="17" t="str">
        <f>IF($K65="","",IFERROR(INDEX(Teams!$D$4:$D$67,MATCH($B65&amp;"-"&amp;$K65,Teams!$E$4:$E$67,0)),""))</f>
        <v/>
      </c>
      <c r="H65" s="16" t="str">
        <f>IF(OR($E65="",$G65="",$C65&gt;Setup!$B$16),"",IFERROR(INDEX(Results!$F$5:$F$228,INT(($A65-1)/28)*Setup!$B$16+$C65),""))</f>
        <v/>
      </c>
      <c r="I65" s="18">
        <f t="shared" si="7"/>
        <v>0</v>
      </c>
      <c r="J65" s="19" t="str">
        <f>IF(OR($B65="",$C65&gt;Setup!$B$16),"",IFERROR(INDEX('Fixture Library'!$E$4:$E$83,MATCH(Setup!$B$7&amp;"-"&amp;$C65,'Fixture Library'!$A$4:$A$83,0)),""))</f>
        <v/>
      </c>
      <c r="K65" s="19" t="str">
        <f>IF(OR($B65="",$C65&gt;Setup!$B$16),"",IFERROR(INDEX('Fixture Library'!$F$4:$F$83,MATCH(Setup!$B$7&amp;"-"&amp;$C65,'Fixture Library'!$A$4:$A$83,0)),""))</f>
        <v/>
      </c>
      <c r="L65" s="16">
        <f t="shared" si="1"/>
        <v>0</v>
      </c>
      <c r="M65" s="16">
        <f t="shared" si="2"/>
        <v>0</v>
      </c>
      <c r="N65" s="16">
        <f t="shared" si="3"/>
        <v>0</v>
      </c>
      <c r="O65" s="16">
        <f t="shared" si="4"/>
        <v>0</v>
      </c>
      <c r="P65" s="16">
        <f t="shared" si="10"/>
        <v>0</v>
      </c>
      <c r="Q65" s="16">
        <f t="shared" si="10"/>
        <v>0</v>
      </c>
      <c r="R65" s="16">
        <f t="shared" si="6"/>
        <v>0</v>
      </c>
    </row>
    <row r="66" spans="1:18">
      <c r="A66" s="16">
        <v>63</v>
      </c>
      <c r="B66" s="16" t="str">
        <f>IF(INT(($A66-1)/28)+1&lt;=Setup!$B$6,INDEX(Setup!$B$22:$B$29,INT(($A66-1)/28)+1),"")</f>
        <v/>
      </c>
      <c r="C66" s="16" t="str">
        <f t="shared" si="0"/>
        <v/>
      </c>
      <c r="D66" s="16" t="str">
        <f>IF(OR($B66="",$C66&gt;Setup!$B$16),"",IFERROR(INDEX('Fixture Library'!$D$4:$D$83,MATCH(Setup!$B$7&amp;"-"&amp;$C66,'Fixture Library'!$A$4:$A$83,0)),""))</f>
        <v/>
      </c>
      <c r="E66" s="17" t="str">
        <f>IF($J66="","",IFERROR(INDEX(Teams!$D$4:$D$67,MATCH($B66&amp;"-"&amp;$J66,Teams!$E$4:$E$67,0)),""))</f>
        <v/>
      </c>
      <c r="F66" s="16" t="str">
        <f>IF(OR($E66="",$G66="",$C66&gt;Setup!$B$16),"",IFERROR(INDEX(Results!$E$5:$E$228,INT(($A66-1)/28)*Setup!$B$16+$C66),""))</f>
        <v/>
      </c>
      <c r="G66" s="17" t="str">
        <f>IF($K66="","",IFERROR(INDEX(Teams!$D$4:$D$67,MATCH($B66&amp;"-"&amp;$K66,Teams!$E$4:$E$67,0)),""))</f>
        <v/>
      </c>
      <c r="H66" s="16" t="str">
        <f>IF(OR($E66="",$G66="",$C66&gt;Setup!$B$16),"",IFERROR(INDEX(Results!$F$5:$F$228,INT(($A66-1)/28)*Setup!$B$16+$C66),""))</f>
        <v/>
      </c>
      <c r="I66" s="18">
        <f t="shared" si="7"/>
        <v>0</v>
      </c>
      <c r="J66" s="19" t="str">
        <f>IF(OR($B66="",$C66&gt;Setup!$B$16),"",IFERROR(INDEX('Fixture Library'!$E$4:$E$83,MATCH(Setup!$B$7&amp;"-"&amp;$C66,'Fixture Library'!$A$4:$A$83,0)),""))</f>
        <v/>
      </c>
      <c r="K66" s="19" t="str">
        <f>IF(OR($B66="",$C66&gt;Setup!$B$16),"",IFERROR(INDEX('Fixture Library'!$F$4:$F$83,MATCH(Setup!$B$7&amp;"-"&amp;$C66,'Fixture Library'!$A$4:$A$83,0)),""))</f>
        <v/>
      </c>
      <c r="L66" s="16">
        <f t="shared" si="1"/>
        <v>0</v>
      </c>
      <c r="M66" s="16">
        <f t="shared" si="2"/>
        <v>0</v>
      </c>
      <c r="N66" s="16">
        <f t="shared" si="3"/>
        <v>0</v>
      </c>
      <c r="O66" s="16">
        <f t="shared" si="4"/>
        <v>0</v>
      </c>
      <c r="P66" s="16">
        <f t="shared" si="10"/>
        <v>0</v>
      </c>
      <c r="Q66" s="16">
        <f t="shared" si="10"/>
        <v>0</v>
      </c>
      <c r="R66" s="16">
        <f t="shared" si="6"/>
        <v>0</v>
      </c>
    </row>
    <row r="67" spans="1:18">
      <c r="A67" s="16">
        <v>64</v>
      </c>
      <c r="B67" s="16" t="str">
        <f>IF(INT(($A67-1)/28)+1&lt;=Setup!$B$6,INDEX(Setup!$B$22:$B$29,INT(($A67-1)/28)+1),"")</f>
        <v/>
      </c>
      <c r="C67" s="16" t="str">
        <f t="shared" si="0"/>
        <v/>
      </c>
      <c r="D67" s="16" t="str">
        <f>IF(OR($B67="",$C67&gt;Setup!$B$16),"",IFERROR(INDEX('Fixture Library'!$D$4:$D$83,MATCH(Setup!$B$7&amp;"-"&amp;$C67,'Fixture Library'!$A$4:$A$83,0)),""))</f>
        <v/>
      </c>
      <c r="E67" s="17" t="str">
        <f>IF($J67="","",IFERROR(INDEX(Teams!$D$4:$D$67,MATCH($B67&amp;"-"&amp;$J67,Teams!$E$4:$E$67,0)),""))</f>
        <v/>
      </c>
      <c r="F67" s="16" t="str">
        <f>IF(OR($E67="",$G67="",$C67&gt;Setup!$B$16),"",IFERROR(INDEX(Results!$E$5:$E$228,INT(($A67-1)/28)*Setup!$B$16+$C67),""))</f>
        <v/>
      </c>
      <c r="G67" s="17" t="str">
        <f>IF($K67="","",IFERROR(INDEX(Teams!$D$4:$D$67,MATCH($B67&amp;"-"&amp;$K67,Teams!$E$4:$E$67,0)),""))</f>
        <v/>
      </c>
      <c r="H67" s="16" t="str">
        <f>IF(OR($E67="",$G67="",$C67&gt;Setup!$B$16),"",IFERROR(INDEX(Results!$F$5:$F$228,INT(($A67-1)/28)*Setup!$B$16+$C67),""))</f>
        <v/>
      </c>
      <c r="I67" s="18">
        <f t="shared" si="7"/>
        <v>0</v>
      </c>
      <c r="J67" s="19" t="str">
        <f>IF(OR($B67="",$C67&gt;Setup!$B$16),"",IFERROR(INDEX('Fixture Library'!$E$4:$E$83,MATCH(Setup!$B$7&amp;"-"&amp;$C67,'Fixture Library'!$A$4:$A$83,0)),""))</f>
        <v/>
      </c>
      <c r="K67" s="19" t="str">
        <f>IF(OR($B67="",$C67&gt;Setup!$B$16),"",IFERROR(INDEX('Fixture Library'!$F$4:$F$83,MATCH(Setup!$B$7&amp;"-"&amp;$C67,'Fixture Library'!$A$4:$A$83,0)),""))</f>
        <v/>
      </c>
      <c r="L67" s="16">
        <f t="shared" si="1"/>
        <v>0</v>
      </c>
      <c r="M67" s="16">
        <f t="shared" si="2"/>
        <v>0</v>
      </c>
      <c r="N67" s="16">
        <f t="shared" si="3"/>
        <v>0</v>
      </c>
      <c r="O67" s="16">
        <f t="shared" si="4"/>
        <v>0</v>
      </c>
      <c r="P67" s="16">
        <f t="shared" si="10"/>
        <v>0</v>
      </c>
      <c r="Q67" s="16">
        <f t="shared" si="10"/>
        <v>0</v>
      </c>
      <c r="R67" s="16">
        <f t="shared" si="6"/>
        <v>0</v>
      </c>
    </row>
    <row r="68" spans="1:18">
      <c r="A68" s="16">
        <v>65</v>
      </c>
      <c r="B68" s="16" t="str">
        <f>IF(INT(($A68-1)/28)+1&lt;=Setup!$B$6,INDEX(Setup!$B$22:$B$29,INT(($A68-1)/28)+1),"")</f>
        <v/>
      </c>
      <c r="C68" s="16" t="str">
        <f t="shared" ref="C68:C131" si="11">IF($B68="","",MOD($A68-1,28)+1)</f>
        <v/>
      </c>
      <c r="D68" s="16" t="str">
        <f>IF(OR($B68="",$C68&gt;Setup!$B$16),"",IFERROR(INDEX('Fixture Library'!$D$4:$D$83,MATCH(Setup!$B$7&amp;"-"&amp;$C68,'Fixture Library'!$A$4:$A$83,0)),""))</f>
        <v/>
      </c>
      <c r="E68" s="17" t="str">
        <f>IF($J68="","",IFERROR(INDEX(Teams!$D$4:$D$67,MATCH($B68&amp;"-"&amp;$J68,Teams!$E$4:$E$67,0)),""))</f>
        <v/>
      </c>
      <c r="F68" s="16" t="str">
        <f>IF(OR($E68="",$G68="",$C68&gt;Setup!$B$16),"",IFERROR(INDEX(Results!$E$5:$E$228,INT(($A68-1)/28)*Setup!$B$16+$C68),""))</f>
        <v/>
      </c>
      <c r="G68" s="17" t="str">
        <f>IF($K68="","",IFERROR(INDEX(Teams!$D$4:$D$67,MATCH($B68&amp;"-"&amp;$K68,Teams!$E$4:$E$67,0)),""))</f>
        <v/>
      </c>
      <c r="H68" s="16" t="str">
        <f>IF(OR($E68="",$G68="",$C68&gt;Setup!$B$16),"",IFERROR(INDEX(Results!$F$5:$F$228,INT(($A68-1)/28)*Setup!$B$16+$C68),""))</f>
        <v/>
      </c>
      <c r="I68" s="18">
        <f t="shared" si="7"/>
        <v>0</v>
      </c>
      <c r="J68" s="19" t="str">
        <f>IF(OR($B68="",$C68&gt;Setup!$B$16),"",IFERROR(INDEX('Fixture Library'!$E$4:$E$83,MATCH(Setup!$B$7&amp;"-"&amp;$C68,'Fixture Library'!$A$4:$A$83,0)),""))</f>
        <v/>
      </c>
      <c r="K68" s="19" t="str">
        <f>IF(OR($B68="",$C68&gt;Setup!$B$16),"",IFERROR(INDEX('Fixture Library'!$F$4:$F$83,MATCH(Setup!$B$7&amp;"-"&amp;$C68,'Fixture Library'!$A$4:$A$83,0)),""))</f>
        <v/>
      </c>
      <c r="L68" s="16">
        <f t="shared" ref="L68:L131" si="12">IF($I68=1,IF($F68&gt;$H68,1,0),0)</f>
        <v>0</v>
      </c>
      <c r="M68" s="16">
        <f t="shared" ref="M68:M131" si="13">IF($I68=1,IF($H68&gt;$F68,1,0),0)</f>
        <v>0</v>
      </c>
      <c r="N68" s="16">
        <f t="shared" ref="N68:N131" si="14">IF($I68=1,IF($F68=$H68,1,0),0)</f>
        <v>0</v>
      </c>
      <c r="O68" s="16">
        <f t="shared" ref="O68:O131" si="15">IF($I68=1,$F68,0)</f>
        <v>0</v>
      </c>
      <c r="P68" s="16">
        <f t="shared" si="10"/>
        <v>0</v>
      </c>
      <c r="Q68" s="16">
        <f t="shared" si="10"/>
        <v>0</v>
      </c>
      <c r="R68" s="16">
        <f t="shared" ref="R68:R131" si="16">IF($I68=1,$F68,0)</f>
        <v>0</v>
      </c>
    </row>
    <row r="69" spans="1:18">
      <c r="A69" s="16">
        <v>66</v>
      </c>
      <c r="B69" s="16" t="str">
        <f>IF(INT(($A69-1)/28)+1&lt;=Setup!$B$6,INDEX(Setup!$B$22:$B$29,INT(($A69-1)/28)+1),"")</f>
        <v/>
      </c>
      <c r="C69" s="16" t="str">
        <f t="shared" si="11"/>
        <v/>
      </c>
      <c r="D69" s="16" t="str">
        <f>IF(OR($B69="",$C69&gt;Setup!$B$16),"",IFERROR(INDEX('Fixture Library'!$D$4:$D$83,MATCH(Setup!$B$7&amp;"-"&amp;$C69,'Fixture Library'!$A$4:$A$83,0)),""))</f>
        <v/>
      </c>
      <c r="E69" s="17" t="str">
        <f>IF($J69="","",IFERROR(INDEX(Teams!$D$4:$D$67,MATCH($B69&amp;"-"&amp;$J69,Teams!$E$4:$E$67,0)),""))</f>
        <v/>
      </c>
      <c r="F69" s="16" t="str">
        <f>IF(OR($E69="",$G69="",$C69&gt;Setup!$B$16),"",IFERROR(INDEX(Results!$E$5:$E$228,INT(($A69-1)/28)*Setup!$B$16+$C69),""))</f>
        <v/>
      </c>
      <c r="G69" s="17" t="str">
        <f>IF($K69="","",IFERROR(INDEX(Teams!$D$4:$D$67,MATCH($B69&amp;"-"&amp;$K69,Teams!$E$4:$E$67,0)),""))</f>
        <v/>
      </c>
      <c r="H69" s="16" t="str">
        <f>IF(OR($E69="",$G69="",$C69&gt;Setup!$B$16),"",IFERROR(INDEX(Results!$F$5:$F$228,INT(($A69-1)/28)*Setup!$B$16+$C69),""))</f>
        <v/>
      </c>
      <c r="I69" s="18">
        <f t="shared" ref="I69:I132" si="17">IF(AND($E69&lt;&gt;"",$G69&lt;&gt;"",ISNUMBER($F69),ISNUMBER($H69)),1,0)</f>
        <v>0</v>
      </c>
      <c r="J69" s="19" t="str">
        <f>IF(OR($B69="",$C69&gt;Setup!$B$16),"",IFERROR(INDEX('Fixture Library'!$E$4:$E$83,MATCH(Setup!$B$7&amp;"-"&amp;$C69,'Fixture Library'!$A$4:$A$83,0)),""))</f>
        <v/>
      </c>
      <c r="K69" s="19" t="str">
        <f>IF(OR($B69="",$C69&gt;Setup!$B$16),"",IFERROR(INDEX('Fixture Library'!$F$4:$F$83,MATCH(Setup!$B$7&amp;"-"&amp;$C69,'Fixture Library'!$A$4:$A$83,0)),""))</f>
        <v/>
      </c>
      <c r="L69" s="16">
        <f t="shared" si="12"/>
        <v>0</v>
      </c>
      <c r="M69" s="16">
        <f t="shared" si="13"/>
        <v>0</v>
      </c>
      <c r="N69" s="16">
        <f t="shared" si="14"/>
        <v>0</v>
      </c>
      <c r="O69" s="16">
        <f t="shared" si="15"/>
        <v>0</v>
      </c>
      <c r="P69" s="16">
        <f t="shared" si="10"/>
        <v>0</v>
      </c>
      <c r="Q69" s="16">
        <f t="shared" si="10"/>
        <v>0</v>
      </c>
      <c r="R69" s="16">
        <f t="shared" si="16"/>
        <v>0</v>
      </c>
    </row>
    <row r="70" spans="1:18">
      <c r="A70" s="16">
        <v>67</v>
      </c>
      <c r="B70" s="16" t="str">
        <f>IF(INT(($A70-1)/28)+1&lt;=Setup!$B$6,INDEX(Setup!$B$22:$B$29,INT(($A70-1)/28)+1),"")</f>
        <v/>
      </c>
      <c r="C70" s="16" t="str">
        <f t="shared" si="11"/>
        <v/>
      </c>
      <c r="D70" s="16" t="str">
        <f>IF(OR($B70="",$C70&gt;Setup!$B$16),"",IFERROR(INDEX('Fixture Library'!$D$4:$D$83,MATCH(Setup!$B$7&amp;"-"&amp;$C70,'Fixture Library'!$A$4:$A$83,0)),""))</f>
        <v/>
      </c>
      <c r="E70" s="17" t="str">
        <f>IF($J70="","",IFERROR(INDEX(Teams!$D$4:$D$67,MATCH($B70&amp;"-"&amp;$J70,Teams!$E$4:$E$67,0)),""))</f>
        <v/>
      </c>
      <c r="F70" s="16" t="str">
        <f>IF(OR($E70="",$G70="",$C70&gt;Setup!$B$16),"",IFERROR(INDEX(Results!$E$5:$E$228,INT(($A70-1)/28)*Setup!$B$16+$C70),""))</f>
        <v/>
      </c>
      <c r="G70" s="17" t="str">
        <f>IF($K70="","",IFERROR(INDEX(Teams!$D$4:$D$67,MATCH($B70&amp;"-"&amp;$K70,Teams!$E$4:$E$67,0)),""))</f>
        <v/>
      </c>
      <c r="H70" s="16" t="str">
        <f>IF(OR($E70="",$G70="",$C70&gt;Setup!$B$16),"",IFERROR(INDEX(Results!$F$5:$F$228,INT(($A70-1)/28)*Setup!$B$16+$C70),""))</f>
        <v/>
      </c>
      <c r="I70" s="18">
        <f t="shared" si="17"/>
        <v>0</v>
      </c>
      <c r="J70" s="19" t="str">
        <f>IF(OR($B70="",$C70&gt;Setup!$B$16),"",IFERROR(INDEX('Fixture Library'!$E$4:$E$83,MATCH(Setup!$B$7&amp;"-"&amp;$C70,'Fixture Library'!$A$4:$A$83,0)),""))</f>
        <v/>
      </c>
      <c r="K70" s="19" t="str">
        <f>IF(OR($B70="",$C70&gt;Setup!$B$16),"",IFERROR(INDEX('Fixture Library'!$F$4:$F$83,MATCH(Setup!$B$7&amp;"-"&amp;$C70,'Fixture Library'!$A$4:$A$83,0)),""))</f>
        <v/>
      </c>
      <c r="L70" s="16">
        <f t="shared" si="12"/>
        <v>0</v>
      </c>
      <c r="M70" s="16">
        <f t="shared" si="13"/>
        <v>0</v>
      </c>
      <c r="N70" s="16">
        <f t="shared" si="14"/>
        <v>0</v>
      </c>
      <c r="O70" s="16">
        <f t="shared" si="15"/>
        <v>0</v>
      </c>
      <c r="P70" s="16">
        <f t="shared" si="10"/>
        <v>0</v>
      </c>
      <c r="Q70" s="16">
        <f t="shared" si="10"/>
        <v>0</v>
      </c>
      <c r="R70" s="16">
        <f t="shared" si="16"/>
        <v>0</v>
      </c>
    </row>
    <row r="71" spans="1:18">
      <c r="A71" s="16">
        <v>68</v>
      </c>
      <c r="B71" s="16" t="str">
        <f>IF(INT(($A71-1)/28)+1&lt;=Setup!$B$6,INDEX(Setup!$B$22:$B$29,INT(($A71-1)/28)+1),"")</f>
        <v/>
      </c>
      <c r="C71" s="16" t="str">
        <f t="shared" si="11"/>
        <v/>
      </c>
      <c r="D71" s="16" t="str">
        <f>IF(OR($B71="",$C71&gt;Setup!$B$16),"",IFERROR(INDEX('Fixture Library'!$D$4:$D$83,MATCH(Setup!$B$7&amp;"-"&amp;$C71,'Fixture Library'!$A$4:$A$83,0)),""))</f>
        <v/>
      </c>
      <c r="E71" s="17" t="str">
        <f>IF($J71="","",IFERROR(INDEX(Teams!$D$4:$D$67,MATCH($B71&amp;"-"&amp;$J71,Teams!$E$4:$E$67,0)),""))</f>
        <v/>
      </c>
      <c r="F71" s="16" t="str">
        <f>IF(OR($E71="",$G71="",$C71&gt;Setup!$B$16),"",IFERROR(INDEX(Results!$E$5:$E$228,INT(($A71-1)/28)*Setup!$B$16+$C71),""))</f>
        <v/>
      </c>
      <c r="G71" s="17" t="str">
        <f>IF($K71="","",IFERROR(INDEX(Teams!$D$4:$D$67,MATCH($B71&amp;"-"&amp;$K71,Teams!$E$4:$E$67,0)),""))</f>
        <v/>
      </c>
      <c r="H71" s="16" t="str">
        <f>IF(OR($E71="",$G71="",$C71&gt;Setup!$B$16),"",IFERROR(INDEX(Results!$F$5:$F$228,INT(($A71-1)/28)*Setup!$B$16+$C71),""))</f>
        <v/>
      </c>
      <c r="I71" s="18">
        <f t="shared" si="17"/>
        <v>0</v>
      </c>
      <c r="J71" s="19" t="str">
        <f>IF(OR($B71="",$C71&gt;Setup!$B$16),"",IFERROR(INDEX('Fixture Library'!$E$4:$E$83,MATCH(Setup!$B$7&amp;"-"&amp;$C71,'Fixture Library'!$A$4:$A$83,0)),""))</f>
        <v/>
      </c>
      <c r="K71" s="19" t="str">
        <f>IF(OR($B71="",$C71&gt;Setup!$B$16),"",IFERROR(INDEX('Fixture Library'!$F$4:$F$83,MATCH(Setup!$B$7&amp;"-"&amp;$C71,'Fixture Library'!$A$4:$A$83,0)),""))</f>
        <v/>
      </c>
      <c r="L71" s="16">
        <f t="shared" si="12"/>
        <v>0</v>
      </c>
      <c r="M71" s="16">
        <f t="shared" si="13"/>
        <v>0</v>
      </c>
      <c r="N71" s="16">
        <f t="shared" si="14"/>
        <v>0</v>
      </c>
      <c r="O71" s="16">
        <f t="shared" si="15"/>
        <v>0</v>
      </c>
      <c r="P71" s="16">
        <f t="shared" si="10"/>
        <v>0</v>
      </c>
      <c r="Q71" s="16">
        <f t="shared" si="10"/>
        <v>0</v>
      </c>
      <c r="R71" s="16">
        <f t="shared" si="16"/>
        <v>0</v>
      </c>
    </row>
    <row r="72" spans="1:18">
      <c r="A72" s="16">
        <v>69</v>
      </c>
      <c r="B72" s="16" t="str">
        <f>IF(INT(($A72-1)/28)+1&lt;=Setup!$B$6,INDEX(Setup!$B$22:$B$29,INT(($A72-1)/28)+1),"")</f>
        <v/>
      </c>
      <c r="C72" s="16" t="str">
        <f t="shared" si="11"/>
        <v/>
      </c>
      <c r="D72" s="16" t="str">
        <f>IF(OR($B72="",$C72&gt;Setup!$B$16),"",IFERROR(INDEX('Fixture Library'!$D$4:$D$83,MATCH(Setup!$B$7&amp;"-"&amp;$C72,'Fixture Library'!$A$4:$A$83,0)),""))</f>
        <v/>
      </c>
      <c r="E72" s="17" t="str">
        <f>IF($J72="","",IFERROR(INDEX(Teams!$D$4:$D$67,MATCH($B72&amp;"-"&amp;$J72,Teams!$E$4:$E$67,0)),""))</f>
        <v/>
      </c>
      <c r="F72" s="16" t="str">
        <f>IF(OR($E72="",$G72="",$C72&gt;Setup!$B$16),"",IFERROR(INDEX(Results!$E$5:$E$228,INT(($A72-1)/28)*Setup!$B$16+$C72),""))</f>
        <v/>
      </c>
      <c r="G72" s="17" t="str">
        <f>IF($K72="","",IFERROR(INDEX(Teams!$D$4:$D$67,MATCH($B72&amp;"-"&amp;$K72,Teams!$E$4:$E$67,0)),""))</f>
        <v/>
      </c>
      <c r="H72" s="16" t="str">
        <f>IF(OR($E72="",$G72="",$C72&gt;Setup!$B$16),"",IFERROR(INDEX(Results!$F$5:$F$228,INT(($A72-1)/28)*Setup!$B$16+$C72),""))</f>
        <v/>
      </c>
      <c r="I72" s="18">
        <f t="shared" si="17"/>
        <v>0</v>
      </c>
      <c r="J72" s="19" t="str">
        <f>IF(OR($B72="",$C72&gt;Setup!$B$16),"",IFERROR(INDEX('Fixture Library'!$E$4:$E$83,MATCH(Setup!$B$7&amp;"-"&amp;$C72,'Fixture Library'!$A$4:$A$83,0)),""))</f>
        <v/>
      </c>
      <c r="K72" s="19" t="str">
        <f>IF(OR($B72="",$C72&gt;Setup!$B$16),"",IFERROR(INDEX('Fixture Library'!$F$4:$F$83,MATCH(Setup!$B$7&amp;"-"&amp;$C72,'Fixture Library'!$A$4:$A$83,0)),""))</f>
        <v/>
      </c>
      <c r="L72" s="16">
        <f t="shared" si="12"/>
        <v>0</v>
      </c>
      <c r="M72" s="16">
        <f t="shared" si="13"/>
        <v>0</v>
      </c>
      <c r="N72" s="16">
        <f t="shared" si="14"/>
        <v>0</v>
      </c>
      <c r="O72" s="16">
        <f t="shared" si="15"/>
        <v>0</v>
      </c>
      <c r="P72" s="16">
        <f t="shared" si="10"/>
        <v>0</v>
      </c>
      <c r="Q72" s="16">
        <f t="shared" si="10"/>
        <v>0</v>
      </c>
      <c r="R72" s="16">
        <f t="shared" si="16"/>
        <v>0</v>
      </c>
    </row>
    <row r="73" spans="1:18">
      <c r="A73" s="16">
        <v>70</v>
      </c>
      <c r="B73" s="16" t="str">
        <f>IF(INT(($A73-1)/28)+1&lt;=Setup!$B$6,INDEX(Setup!$B$22:$B$29,INT(($A73-1)/28)+1),"")</f>
        <v/>
      </c>
      <c r="C73" s="16" t="str">
        <f t="shared" si="11"/>
        <v/>
      </c>
      <c r="D73" s="16" t="str">
        <f>IF(OR($B73="",$C73&gt;Setup!$B$16),"",IFERROR(INDEX('Fixture Library'!$D$4:$D$83,MATCH(Setup!$B$7&amp;"-"&amp;$C73,'Fixture Library'!$A$4:$A$83,0)),""))</f>
        <v/>
      </c>
      <c r="E73" s="17" t="str">
        <f>IF($J73="","",IFERROR(INDEX(Teams!$D$4:$D$67,MATCH($B73&amp;"-"&amp;$J73,Teams!$E$4:$E$67,0)),""))</f>
        <v/>
      </c>
      <c r="F73" s="16" t="str">
        <f>IF(OR($E73="",$G73="",$C73&gt;Setup!$B$16),"",IFERROR(INDEX(Results!$E$5:$E$228,INT(($A73-1)/28)*Setup!$B$16+$C73),""))</f>
        <v/>
      </c>
      <c r="G73" s="17" t="str">
        <f>IF($K73="","",IFERROR(INDEX(Teams!$D$4:$D$67,MATCH($B73&amp;"-"&amp;$K73,Teams!$E$4:$E$67,0)),""))</f>
        <v/>
      </c>
      <c r="H73" s="16" t="str">
        <f>IF(OR($E73="",$G73="",$C73&gt;Setup!$B$16),"",IFERROR(INDEX(Results!$F$5:$F$228,INT(($A73-1)/28)*Setup!$B$16+$C73),""))</f>
        <v/>
      </c>
      <c r="I73" s="18">
        <f t="shared" si="17"/>
        <v>0</v>
      </c>
      <c r="J73" s="19" t="str">
        <f>IF(OR($B73="",$C73&gt;Setup!$B$16),"",IFERROR(INDEX('Fixture Library'!$E$4:$E$83,MATCH(Setup!$B$7&amp;"-"&amp;$C73,'Fixture Library'!$A$4:$A$83,0)),""))</f>
        <v/>
      </c>
      <c r="K73" s="19" t="str">
        <f>IF(OR($B73="",$C73&gt;Setup!$B$16),"",IFERROR(INDEX('Fixture Library'!$F$4:$F$83,MATCH(Setup!$B$7&amp;"-"&amp;$C73,'Fixture Library'!$A$4:$A$83,0)),""))</f>
        <v/>
      </c>
      <c r="L73" s="16">
        <f t="shared" si="12"/>
        <v>0</v>
      </c>
      <c r="M73" s="16">
        <f t="shared" si="13"/>
        <v>0</v>
      </c>
      <c r="N73" s="16">
        <f t="shared" si="14"/>
        <v>0</v>
      </c>
      <c r="O73" s="16">
        <f t="shared" si="15"/>
        <v>0</v>
      </c>
      <c r="P73" s="16">
        <f t="shared" si="10"/>
        <v>0</v>
      </c>
      <c r="Q73" s="16">
        <f t="shared" si="10"/>
        <v>0</v>
      </c>
      <c r="R73" s="16">
        <f t="shared" si="16"/>
        <v>0</v>
      </c>
    </row>
    <row r="74" spans="1:18">
      <c r="A74" s="16">
        <v>71</v>
      </c>
      <c r="B74" s="16" t="str">
        <f>IF(INT(($A74-1)/28)+1&lt;=Setup!$B$6,INDEX(Setup!$B$22:$B$29,INT(($A74-1)/28)+1),"")</f>
        <v/>
      </c>
      <c r="C74" s="16" t="str">
        <f t="shared" si="11"/>
        <v/>
      </c>
      <c r="D74" s="16" t="str">
        <f>IF(OR($B74="",$C74&gt;Setup!$B$16),"",IFERROR(INDEX('Fixture Library'!$D$4:$D$83,MATCH(Setup!$B$7&amp;"-"&amp;$C74,'Fixture Library'!$A$4:$A$83,0)),""))</f>
        <v/>
      </c>
      <c r="E74" s="17" t="str">
        <f>IF($J74="","",IFERROR(INDEX(Teams!$D$4:$D$67,MATCH($B74&amp;"-"&amp;$J74,Teams!$E$4:$E$67,0)),""))</f>
        <v/>
      </c>
      <c r="F74" s="16" t="str">
        <f>IF(OR($E74="",$G74="",$C74&gt;Setup!$B$16),"",IFERROR(INDEX(Results!$E$5:$E$228,INT(($A74-1)/28)*Setup!$B$16+$C74),""))</f>
        <v/>
      </c>
      <c r="G74" s="17" t="str">
        <f>IF($K74="","",IFERROR(INDEX(Teams!$D$4:$D$67,MATCH($B74&amp;"-"&amp;$K74,Teams!$E$4:$E$67,0)),""))</f>
        <v/>
      </c>
      <c r="H74" s="16" t="str">
        <f>IF(OR($E74="",$G74="",$C74&gt;Setup!$B$16),"",IFERROR(INDEX(Results!$F$5:$F$228,INT(($A74-1)/28)*Setup!$B$16+$C74),""))</f>
        <v/>
      </c>
      <c r="I74" s="18">
        <f t="shared" si="17"/>
        <v>0</v>
      </c>
      <c r="J74" s="19" t="str">
        <f>IF(OR($B74="",$C74&gt;Setup!$B$16),"",IFERROR(INDEX('Fixture Library'!$E$4:$E$83,MATCH(Setup!$B$7&amp;"-"&amp;$C74,'Fixture Library'!$A$4:$A$83,0)),""))</f>
        <v/>
      </c>
      <c r="K74" s="19" t="str">
        <f>IF(OR($B74="",$C74&gt;Setup!$B$16),"",IFERROR(INDEX('Fixture Library'!$F$4:$F$83,MATCH(Setup!$B$7&amp;"-"&amp;$C74,'Fixture Library'!$A$4:$A$83,0)),""))</f>
        <v/>
      </c>
      <c r="L74" s="16">
        <f t="shared" si="12"/>
        <v>0</v>
      </c>
      <c r="M74" s="16">
        <f t="shared" si="13"/>
        <v>0</v>
      </c>
      <c r="N74" s="16">
        <f t="shared" si="14"/>
        <v>0</v>
      </c>
      <c r="O74" s="16">
        <f t="shared" si="15"/>
        <v>0</v>
      </c>
      <c r="P74" s="16">
        <f t="shared" si="10"/>
        <v>0</v>
      </c>
      <c r="Q74" s="16">
        <f t="shared" si="10"/>
        <v>0</v>
      </c>
      <c r="R74" s="16">
        <f t="shared" si="16"/>
        <v>0</v>
      </c>
    </row>
    <row r="75" spans="1:18">
      <c r="A75" s="16">
        <v>72</v>
      </c>
      <c r="B75" s="16" t="str">
        <f>IF(INT(($A75-1)/28)+1&lt;=Setup!$B$6,INDEX(Setup!$B$22:$B$29,INT(($A75-1)/28)+1),"")</f>
        <v/>
      </c>
      <c r="C75" s="16" t="str">
        <f t="shared" si="11"/>
        <v/>
      </c>
      <c r="D75" s="16" t="str">
        <f>IF(OR($B75="",$C75&gt;Setup!$B$16),"",IFERROR(INDEX('Fixture Library'!$D$4:$D$83,MATCH(Setup!$B$7&amp;"-"&amp;$C75,'Fixture Library'!$A$4:$A$83,0)),""))</f>
        <v/>
      </c>
      <c r="E75" s="17" t="str">
        <f>IF($J75="","",IFERROR(INDEX(Teams!$D$4:$D$67,MATCH($B75&amp;"-"&amp;$J75,Teams!$E$4:$E$67,0)),""))</f>
        <v/>
      </c>
      <c r="F75" s="16" t="str">
        <f>IF(OR($E75="",$G75="",$C75&gt;Setup!$B$16),"",IFERROR(INDEX(Results!$E$5:$E$228,INT(($A75-1)/28)*Setup!$B$16+$C75),""))</f>
        <v/>
      </c>
      <c r="G75" s="17" t="str">
        <f>IF($K75="","",IFERROR(INDEX(Teams!$D$4:$D$67,MATCH($B75&amp;"-"&amp;$K75,Teams!$E$4:$E$67,0)),""))</f>
        <v/>
      </c>
      <c r="H75" s="16" t="str">
        <f>IF(OR($E75="",$G75="",$C75&gt;Setup!$B$16),"",IFERROR(INDEX(Results!$F$5:$F$228,INT(($A75-1)/28)*Setup!$B$16+$C75),""))</f>
        <v/>
      </c>
      <c r="I75" s="18">
        <f t="shared" si="17"/>
        <v>0</v>
      </c>
      <c r="J75" s="19" t="str">
        <f>IF(OR($B75="",$C75&gt;Setup!$B$16),"",IFERROR(INDEX('Fixture Library'!$E$4:$E$83,MATCH(Setup!$B$7&amp;"-"&amp;$C75,'Fixture Library'!$A$4:$A$83,0)),""))</f>
        <v/>
      </c>
      <c r="K75" s="19" t="str">
        <f>IF(OR($B75="",$C75&gt;Setup!$B$16),"",IFERROR(INDEX('Fixture Library'!$F$4:$F$83,MATCH(Setup!$B$7&amp;"-"&amp;$C75,'Fixture Library'!$A$4:$A$83,0)),""))</f>
        <v/>
      </c>
      <c r="L75" s="16">
        <f t="shared" si="12"/>
        <v>0</v>
      </c>
      <c r="M75" s="16">
        <f t="shared" si="13"/>
        <v>0</v>
      </c>
      <c r="N75" s="16">
        <f t="shared" si="14"/>
        <v>0</v>
      </c>
      <c r="O75" s="16">
        <f t="shared" si="15"/>
        <v>0</v>
      </c>
      <c r="P75" s="16">
        <f t="shared" si="10"/>
        <v>0</v>
      </c>
      <c r="Q75" s="16">
        <f t="shared" si="10"/>
        <v>0</v>
      </c>
      <c r="R75" s="16">
        <f t="shared" si="16"/>
        <v>0</v>
      </c>
    </row>
    <row r="76" spans="1:18">
      <c r="A76" s="16">
        <v>73</v>
      </c>
      <c r="B76" s="16" t="str">
        <f>IF(INT(($A76-1)/28)+1&lt;=Setup!$B$6,INDEX(Setup!$B$22:$B$29,INT(($A76-1)/28)+1),"")</f>
        <v/>
      </c>
      <c r="C76" s="16" t="str">
        <f t="shared" si="11"/>
        <v/>
      </c>
      <c r="D76" s="16" t="str">
        <f>IF(OR($B76="",$C76&gt;Setup!$B$16),"",IFERROR(INDEX('Fixture Library'!$D$4:$D$83,MATCH(Setup!$B$7&amp;"-"&amp;$C76,'Fixture Library'!$A$4:$A$83,0)),""))</f>
        <v/>
      </c>
      <c r="E76" s="17" t="str">
        <f>IF($J76="","",IFERROR(INDEX(Teams!$D$4:$D$67,MATCH($B76&amp;"-"&amp;$J76,Teams!$E$4:$E$67,0)),""))</f>
        <v/>
      </c>
      <c r="F76" s="16" t="str">
        <f>IF(OR($E76="",$G76="",$C76&gt;Setup!$B$16),"",IFERROR(INDEX(Results!$E$5:$E$228,INT(($A76-1)/28)*Setup!$B$16+$C76),""))</f>
        <v/>
      </c>
      <c r="G76" s="17" t="str">
        <f>IF($K76="","",IFERROR(INDEX(Teams!$D$4:$D$67,MATCH($B76&amp;"-"&amp;$K76,Teams!$E$4:$E$67,0)),""))</f>
        <v/>
      </c>
      <c r="H76" s="16" t="str">
        <f>IF(OR($E76="",$G76="",$C76&gt;Setup!$B$16),"",IFERROR(INDEX(Results!$F$5:$F$228,INT(($A76-1)/28)*Setup!$B$16+$C76),""))</f>
        <v/>
      </c>
      <c r="I76" s="18">
        <f t="shared" si="17"/>
        <v>0</v>
      </c>
      <c r="J76" s="19" t="str">
        <f>IF(OR($B76="",$C76&gt;Setup!$B$16),"",IFERROR(INDEX('Fixture Library'!$E$4:$E$83,MATCH(Setup!$B$7&amp;"-"&amp;$C76,'Fixture Library'!$A$4:$A$83,0)),""))</f>
        <v/>
      </c>
      <c r="K76" s="19" t="str">
        <f>IF(OR($B76="",$C76&gt;Setup!$B$16),"",IFERROR(INDEX('Fixture Library'!$F$4:$F$83,MATCH(Setup!$B$7&amp;"-"&amp;$C76,'Fixture Library'!$A$4:$A$83,0)),""))</f>
        <v/>
      </c>
      <c r="L76" s="16">
        <f t="shared" si="12"/>
        <v>0</v>
      </c>
      <c r="M76" s="16">
        <f t="shared" si="13"/>
        <v>0</v>
      </c>
      <c r="N76" s="16">
        <f t="shared" si="14"/>
        <v>0</v>
      </c>
      <c r="O76" s="16">
        <f t="shared" si="15"/>
        <v>0</v>
      </c>
      <c r="P76" s="16">
        <f t="shared" si="10"/>
        <v>0</v>
      </c>
      <c r="Q76" s="16">
        <f t="shared" si="10"/>
        <v>0</v>
      </c>
      <c r="R76" s="16">
        <f t="shared" si="16"/>
        <v>0</v>
      </c>
    </row>
    <row r="77" spans="1:18">
      <c r="A77" s="16">
        <v>74</v>
      </c>
      <c r="B77" s="16" t="str">
        <f>IF(INT(($A77-1)/28)+1&lt;=Setup!$B$6,INDEX(Setup!$B$22:$B$29,INT(($A77-1)/28)+1),"")</f>
        <v/>
      </c>
      <c r="C77" s="16" t="str">
        <f t="shared" si="11"/>
        <v/>
      </c>
      <c r="D77" s="16" t="str">
        <f>IF(OR($B77="",$C77&gt;Setup!$B$16),"",IFERROR(INDEX('Fixture Library'!$D$4:$D$83,MATCH(Setup!$B$7&amp;"-"&amp;$C77,'Fixture Library'!$A$4:$A$83,0)),""))</f>
        <v/>
      </c>
      <c r="E77" s="17" t="str">
        <f>IF($J77="","",IFERROR(INDEX(Teams!$D$4:$D$67,MATCH($B77&amp;"-"&amp;$J77,Teams!$E$4:$E$67,0)),""))</f>
        <v/>
      </c>
      <c r="F77" s="16" t="str">
        <f>IF(OR($E77="",$G77="",$C77&gt;Setup!$B$16),"",IFERROR(INDEX(Results!$E$5:$E$228,INT(($A77-1)/28)*Setup!$B$16+$C77),""))</f>
        <v/>
      </c>
      <c r="G77" s="17" t="str">
        <f>IF($K77="","",IFERROR(INDEX(Teams!$D$4:$D$67,MATCH($B77&amp;"-"&amp;$K77,Teams!$E$4:$E$67,0)),""))</f>
        <v/>
      </c>
      <c r="H77" s="16" t="str">
        <f>IF(OR($E77="",$G77="",$C77&gt;Setup!$B$16),"",IFERROR(INDEX(Results!$F$5:$F$228,INT(($A77-1)/28)*Setup!$B$16+$C77),""))</f>
        <v/>
      </c>
      <c r="I77" s="18">
        <f t="shared" si="17"/>
        <v>0</v>
      </c>
      <c r="J77" s="19" t="str">
        <f>IF(OR($B77="",$C77&gt;Setup!$B$16),"",IFERROR(INDEX('Fixture Library'!$E$4:$E$83,MATCH(Setup!$B$7&amp;"-"&amp;$C77,'Fixture Library'!$A$4:$A$83,0)),""))</f>
        <v/>
      </c>
      <c r="K77" s="19" t="str">
        <f>IF(OR($B77="",$C77&gt;Setup!$B$16),"",IFERROR(INDEX('Fixture Library'!$F$4:$F$83,MATCH(Setup!$B$7&amp;"-"&amp;$C77,'Fixture Library'!$A$4:$A$83,0)),""))</f>
        <v/>
      </c>
      <c r="L77" s="16">
        <f t="shared" si="12"/>
        <v>0</v>
      </c>
      <c r="M77" s="16">
        <f t="shared" si="13"/>
        <v>0</v>
      </c>
      <c r="N77" s="16">
        <f t="shared" si="14"/>
        <v>0</v>
      </c>
      <c r="O77" s="16">
        <f t="shared" si="15"/>
        <v>0</v>
      </c>
      <c r="P77" s="16">
        <f t="shared" si="10"/>
        <v>0</v>
      </c>
      <c r="Q77" s="16">
        <f t="shared" si="10"/>
        <v>0</v>
      </c>
      <c r="R77" s="16">
        <f t="shared" si="16"/>
        <v>0</v>
      </c>
    </row>
    <row r="78" spans="1:18">
      <c r="A78" s="16">
        <v>75</v>
      </c>
      <c r="B78" s="16" t="str">
        <f>IF(INT(($A78-1)/28)+1&lt;=Setup!$B$6,INDEX(Setup!$B$22:$B$29,INT(($A78-1)/28)+1),"")</f>
        <v/>
      </c>
      <c r="C78" s="16" t="str">
        <f t="shared" si="11"/>
        <v/>
      </c>
      <c r="D78" s="16" t="str">
        <f>IF(OR($B78="",$C78&gt;Setup!$B$16),"",IFERROR(INDEX('Fixture Library'!$D$4:$D$83,MATCH(Setup!$B$7&amp;"-"&amp;$C78,'Fixture Library'!$A$4:$A$83,0)),""))</f>
        <v/>
      </c>
      <c r="E78" s="17" t="str">
        <f>IF($J78="","",IFERROR(INDEX(Teams!$D$4:$D$67,MATCH($B78&amp;"-"&amp;$J78,Teams!$E$4:$E$67,0)),""))</f>
        <v/>
      </c>
      <c r="F78" s="16" t="str">
        <f>IF(OR($E78="",$G78="",$C78&gt;Setup!$B$16),"",IFERROR(INDEX(Results!$E$5:$E$228,INT(($A78-1)/28)*Setup!$B$16+$C78),""))</f>
        <v/>
      </c>
      <c r="G78" s="17" t="str">
        <f>IF($K78="","",IFERROR(INDEX(Teams!$D$4:$D$67,MATCH($B78&amp;"-"&amp;$K78,Teams!$E$4:$E$67,0)),""))</f>
        <v/>
      </c>
      <c r="H78" s="16" t="str">
        <f>IF(OR($E78="",$G78="",$C78&gt;Setup!$B$16),"",IFERROR(INDEX(Results!$F$5:$F$228,INT(($A78-1)/28)*Setup!$B$16+$C78),""))</f>
        <v/>
      </c>
      <c r="I78" s="18">
        <f t="shared" si="17"/>
        <v>0</v>
      </c>
      <c r="J78" s="19" t="str">
        <f>IF(OR($B78="",$C78&gt;Setup!$B$16),"",IFERROR(INDEX('Fixture Library'!$E$4:$E$83,MATCH(Setup!$B$7&amp;"-"&amp;$C78,'Fixture Library'!$A$4:$A$83,0)),""))</f>
        <v/>
      </c>
      <c r="K78" s="19" t="str">
        <f>IF(OR($B78="",$C78&gt;Setup!$B$16),"",IFERROR(INDEX('Fixture Library'!$F$4:$F$83,MATCH(Setup!$B$7&amp;"-"&amp;$C78,'Fixture Library'!$A$4:$A$83,0)),""))</f>
        <v/>
      </c>
      <c r="L78" s="16">
        <f t="shared" si="12"/>
        <v>0</v>
      </c>
      <c r="M78" s="16">
        <f t="shared" si="13"/>
        <v>0</v>
      </c>
      <c r="N78" s="16">
        <f t="shared" si="14"/>
        <v>0</v>
      </c>
      <c r="O78" s="16">
        <f t="shared" si="15"/>
        <v>0</v>
      </c>
      <c r="P78" s="16">
        <f t="shared" si="10"/>
        <v>0</v>
      </c>
      <c r="Q78" s="16">
        <f t="shared" si="10"/>
        <v>0</v>
      </c>
      <c r="R78" s="16">
        <f t="shared" si="16"/>
        <v>0</v>
      </c>
    </row>
    <row r="79" spans="1:18">
      <c r="A79" s="16">
        <v>76</v>
      </c>
      <c r="B79" s="16" t="str">
        <f>IF(INT(($A79-1)/28)+1&lt;=Setup!$B$6,INDEX(Setup!$B$22:$B$29,INT(($A79-1)/28)+1),"")</f>
        <v/>
      </c>
      <c r="C79" s="16" t="str">
        <f t="shared" si="11"/>
        <v/>
      </c>
      <c r="D79" s="16" t="str">
        <f>IF(OR($B79="",$C79&gt;Setup!$B$16),"",IFERROR(INDEX('Fixture Library'!$D$4:$D$83,MATCH(Setup!$B$7&amp;"-"&amp;$C79,'Fixture Library'!$A$4:$A$83,0)),""))</f>
        <v/>
      </c>
      <c r="E79" s="17" t="str">
        <f>IF($J79="","",IFERROR(INDEX(Teams!$D$4:$D$67,MATCH($B79&amp;"-"&amp;$J79,Teams!$E$4:$E$67,0)),""))</f>
        <v/>
      </c>
      <c r="F79" s="16" t="str">
        <f>IF(OR($E79="",$G79="",$C79&gt;Setup!$B$16),"",IFERROR(INDEX(Results!$E$5:$E$228,INT(($A79-1)/28)*Setup!$B$16+$C79),""))</f>
        <v/>
      </c>
      <c r="G79" s="17" t="str">
        <f>IF($K79="","",IFERROR(INDEX(Teams!$D$4:$D$67,MATCH($B79&amp;"-"&amp;$K79,Teams!$E$4:$E$67,0)),""))</f>
        <v/>
      </c>
      <c r="H79" s="16" t="str">
        <f>IF(OR($E79="",$G79="",$C79&gt;Setup!$B$16),"",IFERROR(INDEX(Results!$F$5:$F$228,INT(($A79-1)/28)*Setup!$B$16+$C79),""))</f>
        <v/>
      </c>
      <c r="I79" s="18">
        <f t="shared" si="17"/>
        <v>0</v>
      </c>
      <c r="J79" s="19" t="str">
        <f>IF(OR($B79="",$C79&gt;Setup!$B$16),"",IFERROR(INDEX('Fixture Library'!$E$4:$E$83,MATCH(Setup!$B$7&amp;"-"&amp;$C79,'Fixture Library'!$A$4:$A$83,0)),""))</f>
        <v/>
      </c>
      <c r="K79" s="19" t="str">
        <f>IF(OR($B79="",$C79&gt;Setup!$B$16),"",IFERROR(INDEX('Fixture Library'!$F$4:$F$83,MATCH(Setup!$B$7&amp;"-"&amp;$C79,'Fixture Library'!$A$4:$A$83,0)),""))</f>
        <v/>
      </c>
      <c r="L79" s="16">
        <f t="shared" si="12"/>
        <v>0</v>
      </c>
      <c r="M79" s="16">
        <f t="shared" si="13"/>
        <v>0</v>
      </c>
      <c r="N79" s="16">
        <f t="shared" si="14"/>
        <v>0</v>
      </c>
      <c r="O79" s="16">
        <f t="shared" si="15"/>
        <v>0</v>
      </c>
      <c r="P79" s="16">
        <f t="shared" si="10"/>
        <v>0</v>
      </c>
      <c r="Q79" s="16">
        <f t="shared" si="10"/>
        <v>0</v>
      </c>
      <c r="R79" s="16">
        <f t="shared" si="16"/>
        <v>0</v>
      </c>
    </row>
    <row r="80" spans="1:18">
      <c r="A80" s="16">
        <v>77</v>
      </c>
      <c r="B80" s="16" t="str">
        <f>IF(INT(($A80-1)/28)+1&lt;=Setup!$B$6,INDEX(Setup!$B$22:$B$29,INT(($A80-1)/28)+1),"")</f>
        <v/>
      </c>
      <c r="C80" s="16" t="str">
        <f t="shared" si="11"/>
        <v/>
      </c>
      <c r="D80" s="16" t="str">
        <f>IF(OR($B80="",$C80&gt;Setup!$B$16),"",IFERROR(INDEX('Fixture Library'!$D$4:$D$83,MATCH(Setup!$B$7&amp;"-"&amp;$C80,'Fixture Library'!$A$4:$A$83,0)),""))</f>
        <v/>
      </c>
      <c r="E80" s="17" t="str">
        <f>IF($J80="","",IFERROR(INDEX(Teams!$D$4:$D$67,MATCH($B80&amp;"-"&amp;$J80,Teams!$E$4:$E$67,0)),""))</f>
        <v/>
      </c>
      <c r="F80" s="16" t="str">
        <f>IF(OR($E80="",$G80="",$C80&gt;Setup!$B$16),"",IFERROR(INDEX(Results!$E$5:$E$228,INT(($A80-1)/28)*Setup!$B$16+$C80),""))</f>
        <v/>
      </c>
      <c r="G80" s="17" t="str">
        <f>IF($K80="","",IFERROR(INDEX(Teams!$D$4:$D$67,MATCH($B80&amp;"-"&amp;$K80,Teams!$E$4:$E$67,0)),""))</f>
        <v/>
      </c>
      <c r="H80" s="16" t="str">
        <f>IF(OR($E80="",$G80="",$C80&gt;Setup!$B$16),"",IFERROR(INDEX(Results!$F$5:$F$228,INT(($A80-1)/28)*Setup!$B$16+$C80),""))</f>
        <v/>
      </c>
      <c r="I80" s="18">
        <f t="shared" si="17"/>
        <v>0</v>
      </c>
      <c r="J80" s="19" t="str">
        <f>IF(OR($B80="",$C80&gt;Setup!$B$16),"",IFERROR(INDEX('Fixture Library'!$E$4:$E$83,MATCH(Setup!$B$7&amp;"-"&amp;$C80,'Fixture Library'!$A$4:$A$83,0)),""))</f>
        <v/>
      </c>
      <c r="K80" s="19" t="str">
        <f>IF(OR($B80="",$C80&gt;Setup!$B$16),"",IFERROR(INDEX('Fixture Library'!$F$4:$F$83,MATCH(Setup!$B$7&amp;"-"&amp;$C80,'Fixture Library'!$A$4:$A$83,0)),""))</f>
        <v/>
      </c>
      <c r="L80" s="16">
        <f t="shared" si="12"/>
        <v>0</v>
      </c>
      <c r="M80" s="16">
        <f t="shared" si="13"/>
        <v>0</v>
      </c>
      <c r="N80" s="16">
        <f t="shared" si="14"/>
        <v>0</v>
      </c>
      <c r="O80" s="16">
        <f t="shared" si="15"/>
        <v>0</v>
      </c>
      <c r="P80" s="16">
        <f t="shared" si="10"/>
        <v>0</v>
      </c>
      <c r="Q80" s="16">
        <f t="shared" si="10"/>
        <v>0</v>
      </c>
      <c r="R80" s="16">
        <f t="shared" si="16"/>
        <v>0</v>
      </c>
    </row>
    <row r="81" spans="1:18">
      <c r="A81" s="16">
        <v>78</v>
      </c>
      <c r="B81" s="16" t="str">
        <f>IF(INT(($A81-1)/28)+1&lt;=Setup!$B$6,INDEX(Setup!$B$22:$B$29,INT(($A81-1)/28)+1),"")</f>
        <v/>
      </c>
      <c r="C81" s="16" t="str">
        <f t="shared" si="11"/>
        <v/>
      </c>
      <c r="D81" s="16" t="str">
        <f>IF(OR($B81="",$C81&gt;Setup!$B$16),"",IFERROR(INDEX('Fixture Library'!$D$4:$D$83,MATCH(Setup!$B$7&amp;"-"&amp;$C81,'Fixture Library'!$A$4:$A$83,0)),""))</f>
        <v/>
      </c>
      <c r="E81" s="17" t="str">
        <f>IF($J81="","",IFERROR(INDEX(Teams!$D$4:$D$67,MATCH($B81&amp;"-"&amp;$J81,Teams!$E$4:$E$67,0)),""))</f>
        <v/>
      </c>
      <c r="F81" s="16" t="str">
        <f>IF(OR($E81="",$G81="",$C81&gt;Setup!$B$16),"",IFERROR(INDEX(Results!$E$5:$E$228,INT(($A81-1)/28)*Setup!$B$16+$C81),""))</f>
        <v/>
      </c>
      <c r="G81" s="17" t="str">
        <f>IF($K81="","",IFERROR(INDEX(Teams!$D$4:$D$67,MATCH($B81&amp;"-"&amp;$K81,Teams!$E$4:$E$67,0)),""))</f>
        <v/>
      </c>
      <c r="H81" s="16" t="str">
        <f>IF(OR($E81="",$G81="",$C81&gt;Setup!$B$16),"",IFERROR(INDEX(Results!$F$5:$F$228,INT(($A81-1)/28)*Setup!$B$16+$C81),""))</f>
        <v/>
      </c>
      <c r="I81" s="18">
        <f t="shared" si="17"/>
        <v>0</v>
      </c>
      <c r="J81" s="19" t="str">
        <f>IF(OR($B81="",$C81&gt;Setup!$B$16),"",IFERROR(INDEX('Fixture Library'!$E$4:$E$83,MATCH(Setup!$B$7&amp;"-"&amp;$C81,'Fixture Library'!$A$4:$A$83,0)),""))</f>
        <v/>
      </c>
      <c r="K81" s="19" t="str">
        <f>IF(OR($B81="",$C81&gt;Setup!$B$16),"",IFERROR(INDEX('Fixture Library'!$F$4:$F$83,MATCH(Setup!$B$7&amp;"-"&amp;$C81,'Fixture Library'!$A$4:$A$83,0)),""))</f>
        <v/>
      </c>
      <c r="L81" s="16">
        <f t="shared" si="12"/>
        <v>0</v>
      </c>
      <c r="M81" s="16">
        <f t="shared" si="13"/>
        <v>0</v>
      </c>
      <c r="N81" s="16">
        <f t="shared" si="14"/>
        <v>0</v>
      </c>
      <c r="O81" s="16">
        <f t="shared" si="15"/>
        <v>0</v>
      </c>
      <c r="P81" s="16">
        <f t="shared" si="10"/>
        <v>0</v>
      </c>
      <c r="Q81" s="16">
        <f t="shared" si="10"/>
        <v>0</v>
      </c>
      <c r="R81" s="16">
        <f t="shared" si="16"/>
        <v>0</v>
      </c>
    </row>
    <row r="82" spans="1:18">
      <c r="A82" s="16">
        <v>79</v>
      </c>
      <c r="B82" s="16" t="str">
        <f>IF(INT(($A82-1)/28)+1&lt;=Setup!$B$6,INDEX(Setup!$B$22:$B$29,INT(($A82-1)/28)+1),"")</f>
        <v/>
      </c>
      <c r="C82" s="16" t="str">
        <f t="shared" si="11"/>
        <v/>
      </c>
      <c r="D82" s="16" t="str">
        <f>IF(OR($B82="",$C82&gt;Setup!$B$16),"",IFERROR(INDEX('Fixture Library'!$D$4:$D$83,MATCH(Setup!$B$7&amp;"-"&amp;$C82,'Fixture Library'!$A$4:$A$83,0)),""))</f>
        <v/>
      </c>
      <c r="E82" s="17" t="str">
        <f>IF($J82="","",IFERROR(INDEX(Teams!$D$4:$D$67,MATCH($B82&amp;"-"&amp;$J82,Teams!$E$4:$E$67,0)),""))</f>
        <v/>
      </c>
      <c r="F82" s="16" t="str">
        <f>IF(OR($E82="",$G82="",$C82&gt;Setup!$B$16),"",IFERROR(INDEX(Results!$E$5:$E$228,INT(($A82-1)/28)*Setup!$B$16+$C82),""))</f>
        <v/>
      </c>
      <c r="G82" s="17" t="str">
        <f>IF($K82="","",IFERROR(INDEX(Teams!$D$4:$D$67,MATCH($B82&amp;"-"&amp;$K82,Teams!$E$4:$E$67,0)),""))</f>
        <v/>
      </c>
      <c r="H82" s="16" t="str">
        <f>IF(OR($E82="",$G82="",$C82&gt;Setup!$B$16),"",IFERROR(INDEX(Results!$F$5:$F$228,INT(($A82-1)/28)*Setup!$B$16+$C82),""))</f>
        <v/>
      </c>
      <c r="I82" s="18">
        <f t="shared" si="17"/>
        <v>0</v>
      </c>
      <c r="J82" s="19" t="str">
        <f>IF(OR($B82="",$C82&gt;Setup!$B$16),"",IFERROR(INDEX('Fixture Library'!$E$4:$E$83,MATCH(Setup!$B$7&amp;"-"&amp;$C82,'Fixture Library'!$A$4:$A$83,0)),""))</f>
        <v/>
      </c>
      <c r="K82" s="19" t="str">
        <f>IF(OR($B82="",$C82&gt;Setup!$B$16),"",IFERROR(INDEX('Fixture Library'!$F$4:$F$83,MATCH(Setup!$B$7&amp;"-"&amp;$C82,'Fixture Library'!$A$4:$A$83,0)),""))</f>
        <v/>
      </c>
      <c r="L82" s="16">
        <f t="shared" si="12"/>
        <v>0</v>
      </c>
      <c r="M82" s="16">
        <f t="shared" si="13"/>
        <v>0</v>
      </c>
      <c r="N82" s="16">
        <f t="shared" si="14"/>
        <v>0</v>
      </c>
      <c r="O82" s="16">
        <f t="shared" si="15"/>
        <v>0</v>
      </c>
      <c r="P82" s="16">
        <f t="shared" si="10"/>
        <v>0</v>
      </c>
      <c r="Q82" s="16">
        <f t="shared" si="10"/>
        <v>0</v>
      </c>
      <c r="R82" s="16">
        <f t="shared" si="16"/>
        <v>0</v>
      </c>
    </row>
    <row r="83" spans="1:18">
      <c r="A83" s="16">
        <v>80</v>
      </c>
      <c r="B83" s="16" t="str">
        <f>IF(INT(($A83-1)/28)+1&lt;=Setup!$B$6,INDEX(Setup!$B$22:$B$29,INT(($A83-1)/28)+1),"")</f>
        <v/>
      </c>
      <c r="C83" s="16" t="str">
        <f t="shared" si="11"/>
        <v/>
      </c>
      <c r="D83" s="16" t="str">
        <f>IF(OR($B83="",$C83&gt;Setup!$B$16),"",IFERROR(INDEX('Fixture Library'!$D$4:$D$83,MATCH(Setup!$B$7&amp;"-"&amp;$C83,'Fixture Library'!$A$4:$A$83,0)),""))</f>
        <v/>
      </c>
      <c r="E83" s="17" t="str">
        <f>IF($J83="","",IFERROR(INDEX(Teams!$D$4:$D$67,MATCH($B83&amp;"-"&amp;$J83,Teams!$E$4:$E$67,0)),""))</f>
        <v/>
      </c>
      <c r="F83" s="16" t="str">
        <f>IF(OR($E83="",$G83="",$C83&gt;Setup!$B$16),"",IFERROR(INDEX(Results!$E$5:$E$228,INT(($A83-1)/28)*Setup!$B$16+$C83),""))</f>
        <v/>
      </c>
      <c r="G83" s="17" t="str">
        <f>IF($K83="","",IFERROR(INDEX(Teams!$D$4:$D$67,MATCH($B83&amp;"-"&amp;$K83,Teams!$E$4:$E$67,0)),""))</f>
        <v/>
      </c>
      <c r="H83" s="16" t="str">
        <f>IF(OR($E83="",$G83="",$C83&gt;Setup!$B$16),"",IFERROR(INDEX(Results!$F$5:$F$228,INT(($A83-1)/28)*Setup!$B$16+$C83),""))</f>
        <v/>
      </c>
      <c r="I83" s="18">
        <f t="shared" si="17"/>
        <v>0</v>
      </c>
      <c r="J83" s="19" t="str">
        <f>IF(OR($B83="",$C83&gt;Setup!$B$16),"",IFERROR(INDEX('Fixture Library'!$E$4:$E$83,MATCH(Setup!$B$7&amp;"-"&amp;$C83,'Fixture Library'!$A$4:$A$83,0)),""))</f>
        <v/>
      </c>
      <c r="K83" s="19" t="str">
        <f>IF(OR($B83="",$C83&gt;Setup!$B$16),"",IFERROR(INDEX('Fixture Library'!$F$4:$F$83,MATCH(Setup!$B$7&amp;"-"&amp;$C83,'Fixture Library'!$A$4:$A$83,0)),""))</f>
        <v/>
      </c>
      <c r="L83" s="16">
        <f t="shared" si="12"/>
        <v>0</v>
      </c>
      <c r="M83" s="16">
        <f t="shared" si="13"/>
        <v>0</v>
      </c>
      <c r="N83" s="16">
        <f t="shared" si="14"/>
        <v>0</v>
      </c>
      <c r="O83" s="16">
        <f t="shared" si="15"/>
        <v>0</v>
      </c>
      <c r="P83" s="16">
        <f t="shared" si="10"/>
        <v>0</v>
      </c>
      <c r="Q83" s="16">
        <f t="shared" si="10"/>
        <v>0</v>
      </c>
      <c r="R83" s="16">
        <f t="shared" si="16"/>
        <v>0</v>
      </c>
    </row>
    <row r="84" spans="1:18">
      <c r="A84" s="16">
        <v>81</v>
      </c>
      <c r="B84" s="16" t="str">
        <f>IF(INT(($A84-1)/28)+1&lt;=Setup!$B$6,INDEX(Setup!$B$22:$B$29,INT(($A84-1)/28)+1),"")</f>
        <v/>
      </c>
      <c r="C84" s="16" t="str">
        <f t="shared" si="11"/>
        <v/>
      </c>
      <c r="D84" s="16" t="str">
        <f>IF(OR($B84="",$C84&gt;Setup!$B$16),"",IFERROR(INDEX('Fixture Library'!$D$4:$D$83,MATCH(Setup!$B$7&amp;"-"&amp;$C84,'Fixture Library'!$A$4:$A$83,0)),""))</f>
        <v/>
      </c>
      <c r="E84" s="17" t="str">
        <f>IF($J84="","",IFERROR(INDEX(Teams!$D$4:$D$67,MATCH($B84&amp;"-"&amp;$J84,Teams!$E$4:$E$67,0)),""))</f>
        <v/>
      </c>
      <c r="F84" s="16" t="str">
        <f>IF(OR($E84="",$G84="",$C84&gt;Setup!$B$16),"",IFERROR(INDEX(Results!$E$5:$E$228,INT(($A84-1)/28)*Setup!$B$16+$C84),""))</f>
        <v/>
      </c>
      <c r="G84" s="17" t="str">
        <f>IF($K84="","",IFERROR(INDEX(Teams!$D$4:$D$67,MATCH($B84&amp;"-"&amp;$K84,Teams!$E$4:$E$67,0)),""))</f>
        <v/>
      </c>
      <c r="H84" s="16" t="str">
        <f>IF(OR($E84="",$G84="",$C84&gt;Setup!$B$16),"",IFERROR(INDEX(Results!$F$5:$F$228,INT(($A84-1)/28)*Setup!$B$16+$C84),""))</f>
        <v/>
      </c>
      <c r="I84" s="18">
        <f t="shared" si="17"/>
        <v>0</v>
      </c>
      <c r="J84" s="19" t="str">
        <f>IF(OR($B84="",$C84&gt;Setup!$B$16),"",IFERROR(INDEX('Fixture Library'!$E$4:$E$83,MATCH(Setup!$B$7&amp;"-"&amp;$C84,'Fixture Library'!$A$4:$A$83,0)),""))</f>
        <v/>
      </c>
      <c r="K84" s="19" t="str">
        <f>IF(OR($B84="",$C84&gt;Setup!$B$16),"",IFERROR(INDEX('Fixture Library'!$F$4:$F$83,MATCH(Setup!$B$7&amp;"-"&amp;$C84,'Fixture Library'!$A$4:$A$83,0)),""))</f>
        <v/>
      </c>
      <c r="L84" s="16">
        <f t="shared" si="12"/>
        <v>0</v>
      </c>
      <c r="M84" s="16">
        <f t="shared" si="13"/>
        <v>0</v>
      </c>
      <c r="N84" s="16">
        <f t="shared" si="14"/>
        <v>0</v>
      </c>
      <c r="O84" s="16">
        <f t="shared" si="15"/>
        <v>0</v>
      </c>
      <c r="P84" s="16">
        <f t="shared" ref="P84:Q103" si="18">IF($I84=1,$H84,0)</f>
        <v>0</v>
      </c>
      <c r="Q84" s="16">
        <f t="shared" si="18"/>
        <v>0</v>
      </c>
      <c r="R84" s="16">
        <f t="shared" si="16"/>
        <v>0</v>
      </c>
    </row>
    <row r="85" spans="1:18">
      <c r="A85" s="16">
        <v>82</v>
      </c>
      <c r="B85" s="16" t="str">
        <f>IF(INT(($A85-1)/28)+1&lt;=Setup!$B$6,INDEX(Setup!$B$22:$B$29,INT(($A85-1)/28)+1),"")</f>
        <v/>
      </c>
      <c r="C85" s="16" t="str">
        <f t="shared" si="11"/>
        <v/>
      </c>
      <c r="D85" s="16" t="str">
        <f>IF(OR($B85="",$C85&gt;Setup!$B$16),"",IFERROR(INDEX('Fixture Library'!$D$4:$D$83,MATCH(Setup!$B$7&amp;"-"&amp;$C85,'Fixture Library'!$A$4:$A$83,0)),""))</f>
        <v/>
      </c>
      <c r="E85" s="17" t="str">
        <f>IF($J85="","",IFERROR(INDEX(Teams!$D$4:$D$67,MATCH($B85&amp;"-"&amp;$J85,Teams!$E$4:$E$67,0)),""))</f>
        <v/>
      </c>
      <c r="F85" s="16" t="str">
        <f>IF(OR($E85="",$G85="",$C85&gt;Setup!$B$16),"",IFERROR(INDEX(Results!$E$5:$E$228,INT(($A85-1)/28)*Setup!$B$16+$C85),""))</f>
        <v/>
      </c>
      <c r="G85" s="17" t="str">
        <f>IF($K85="","",IFERROR(INDEX(Teams!$D$4:$D$67,MATCH($B85&amp;"-"&amp;$K85,Teams!$E$4:$E$67,0)),""))</f>
        <v/>
      </c>
      <c r="H85" s="16" t="str">
        <f>IF(OR($E85="",$G85="",$C85&gt;Setup!$B$16),"",IFERROR(INDEX(Results!$F$5:$F$228,INT(($A85-1)/28)*Setup!$B$16+$C85),""))</f>
        <v/>
      </c>
      <c r="I85" s="18">
        <f t="shared" si="17"/>
        <v>0</v>
      </c>
      <c r="J85" s="19" t="str">
        <f>IF(OR($B85="",$C85&gt;Setup!$B$16),"",IFERROR(INDEX('Fixture Library'!$E$4:$E$83,MATCH(Setup!$B$7&amp;"-"&amp;$C85,'Fixture Library'!$A$4:$A$83,0)),""))</f>
        <v/>
      </c>
      <c r="K85" s="19" t="str">
        <f>IF(OR($B85="",$C85&gt;Setup!$B$16),"",IFERROR(INDEX('Fixture Library'!$F$4:$F$83,MATCH(Setup!$B$7&amp;"-"&amp;$C85,'Fixture Library'!$A$4:$A$83,0)),""))</f>
        <v/>
      </c>
      <c r="L85" s="16">
        <f t="shared" si="12"/>
        <v>0</v>
      </c>
      <c r="M85" s="16">
        <f t="shared" si="13"/>
        <v>0</v>
      </c>
      <c r="N85" s="16">
        <f t="shared" si="14"/>
        <v>0</v>
      </c>
      <c r="O85" s="16">
        <f t="shared" si="15"/>
        <v>0</v>
      </c>
      <c r="P85" s="16">
        <f t="shared" si="18"/>
        <v>0</v>
      </c>
      <c r="Q85" s="16">
        <f t="shared" si="18"/>
        <v>0</v>
      </c>
      <c r="R85" s="16">
        <f t="shared" si="16"/>
        <v>0</v>
      </c>
    </row>
    <row r="86" spans="1:18">
      <c r="A86" s="16">
        <v>83</v>
      </c>
      <c r="B86" s="16" t="str">
        <f>IF(INT(($A86-1)/28)+1&lt;=Setup!$B$6,INDEX(Setup!$B$22:$B$29,INT(($A86-1)/28)+1),"")</f>
        <v/>
      </c>
      <c r="C86" s="16" t="str">
        <f t="shared" si="11"/>
        <v/>
      </c>
      <c r="D86" s="16" t="str">
        <f>IF(OR($B86="",$C86&gt;Setup!$B$16),"",IFERROR(INDEX('Fixture Library'!$D$4:$D$83,MATCH(Setup!$B$7&amp;"-"&amp;$C86,'Fixture Library'!$A$4:$A$83,0)),""))</f>
        <v/>
      </c>
      <c r="E86" s="17" t="str">
        <f>IF($J86="","",IFERROR(INDEX(Teams!$D$4:$D$67,MATCH($B86&amp;"-"&amp;$J86,Teams!$E$4:$E$67,0)),""))</f>
        <v/>
      </c>
      <c r="F86" s="16" t="str">
        <f>IF(OR($E86="",$G86="",$C86&gt;Setup!$B$16),"",IFERROR(INDEX(Results!$E$5:$E$228,INT(($A86-1)/28)*Setup!$B$16+$C86),""))</f>
        <v/>
      </c>
      <c r="G86" s="17" t="str">
        <f>IF($K86="","",IFERROR(INDEX(Teams!$D$4:$D$67,MATCH($B86&amp;"-"&amp;$K86,Teams!$E$4:$E$67,0)),""))</f>
        <v/>
      </c>
      <c r="H86" s="16" t="str">
        <f>IF(OR($E86="",$G86="",$C86&gt;Setup!$B$16),"",IFERROR(INDEX(Results!$F$5:$F$228,INT(($A86-1)/28)*Setup!$B$16+$C86),""))</f>
        <v/>
      </c>
      <c r="I86" s="18">
        <f t="shared" si="17"/>
        <v>0</v>
      </c>
      <c r="J86" s="19" t="str">
        <f>IF(OR($B86="",$C86&gt;Setup!$B$16),"",IFERROR(INDEX('Fixture Library'!$E$4:$E$83,MATCH(Setup!$B$7&amp;"-"&amp;$C86,'Fixture Library'!$A$4:$A$83,0)),""))</f>
        <v/>
      </c>
      <c r="K86" s="19" t="str">
        <f>IF(OR($B86="",$C86&gt;Setup!$B$16),"",IFERROR(INDEX('Fixture Library'!$F$4:$F$83,MATCH(Setup!$B$7&amp;"-"&amp;$C86,'Fixture Library'!$A$4:$A$83,0)),""))</f>
        <v/>
      </c>
      <c r="L86" s="16">
        <f t="shared" si="12"/>
        <v>0</v>
      </c>
      <c r="M86" s="16">
        <f t="shared" si="13"/>
        <v>0</v>
      </c>
      <c r="N86" s="16">
        <f t="shared" si="14"/>
        <v>0</v>
      </c>
      <c r="O86" s="16">
        <f t="shared" si="15"/>
        <v>0</v>
      </c>
      <c r="P86" s="16">
        <f t="shared" si="18"/>
        <v>0</v>
      </c>
      <c r="Q86" s="16">
        <f t="shared" si="18"/>
        <v>0</v>
      </c>
      <c r="R86" s="16">
        <f t="shared" si="16"/>
        <v>0</v>
      </c>
    </row>
    <row r="87" spans="1:18">
      <c r="A87" s="16">
        <v>84</v>
      </c>
      <c r="B87" s="16" t="str">
        <f>IF(INT(($A87-1)/28)+1&lt;=Setup!$B$6,INDEX(Setup!$B$22:$B$29,INT(($A87-1)/28)+1),"")</f>
        <v/>
      </c>
      <c r="C87" s="16" t="str">
        <f t="shared" si="11"/>
        <v/>
      </c>
      <c r="D87" s="16" t="str">
        <f>IF(OR($B87="",$C87&gt;Setup!$B$16),"",IFERROR(INDEX('Fixture Library'!$D$4:$D$83,MATCH(Setup!$B$7&amp;"-"&amp;$C87,'Fixture Library'!$A$4:$A$83,0)),""))</f>
        <v/>
      </c>
      <c r="E87" s="17" t="str">
        <f>IF($J87="","",IFERROR(INDEX(Teams!$D$4:$D$67,MATCH($B87&amp;"-"&amp;$J87,Teams!$E$4:$E$67,0)),""))</f>
        <v/>
      </c>
      <c r="F87" s="16" t="str">
        <f>IF(OR($E87="",$G87="",$C87&gt;Setup!$B$16),"",IFERROR(INDEX(Results!$E$5:$E$228,INT(($A87-1)/28)*Setup!$B$16+$C87),""))</f>
        <v/>
      </c>
      <c r="G87" s="17" t="str">
        <f>IF($K87="","",IFERROR(INDEX(Teams!$D$4:$D$67,MATCH($B87&amp;"-"&amp;$K87,Teams!$E$4:$E$67,0)),""))</f>
        <v/>
      </c>
      <c r="H87" s="16" t="str">
        <f>IF(OR($E87="",$G87="",$C87&gt;Setup!$B$16),"",IFERROR(INDEX(Results!$F$5:$F$228,INT(($A87-1)/28)*Setup!$B$16+$C87),""))</f>
        <v/>
      </c>
      <c r="I87" s="18">
        <f t="shared" si="17"/>
        <v>0</v>
      </c>
      <c r="J87" s="19" t="str">
        <f>IF(OR($B87="",$C87&gt;Setup!$B$16),"",IFERROR(INDEX('Fixture Library'!$E$4:$E$83,MATCH(Setup!$B$7&amp;"-"&amp;$C87,'Fixture Library'!$A$4:$A$83,0)),""))</f>
        <v/>
      </c>
      <c r="K87" s="19" t="str">
        <f>IF(OR($B87="",$C87&gt;Setup!$B$16),"",IFERROR(INDEX('Fixture Library'!$F$4:$F$83,MATCH(Setup!$B$7&amp;"-"&amp;$C87,'Fixture Library'!$A$4:$A$83,0)),""))</f>
        <v/>
      </c>
      <c r="L87" s="16">
        <f t="shared" si="12"/>
        <v>0</v>
      </c>
      <c r="M87" s="16">
        <f t="shared" si="13"/>
        <v>0</v>
      </c>
      <c r="N87" s="16">
        <f t="shared" si="14"/>
        <v>0</v>
      </c>
      <c r="O87" s="16">
        <f t="shared" si="15"/>
        <v>0</v>
      </c>
      <c r="P87" s="16">
        <f t="shared" si="18"/>
        <v>0</v>
      </c>
      <c r="Q87" s="16">
        <f t="shared" si="18"/>
        <v>0</v>
      </c>
      <c r="R87" s="16">
        <f t="shared" si="16"/>
        <v>0</v>
      </c>
    </row>
    <row r="88" spans="1:18">
      <c r="A88" s="16">
        <v>85</v>
      </c>
      <c r="B88" s="16" t="str">
        <f>IF(INT(($A88-1)/28)+1&lt;=Setup!$B$6,INDEX(Setup!$B$22:$B$29,INT(($A88-1)/28)+1),"")</f>
        <v/>
      </c>
      <c r="C88" s="16" t="str">
        <f t="shared" si="11"/>
        <v/>
      </c>
      <c r="D88" s="16" t="str">
        <f>IF(OR($B88="",$C88&gt;Setup!$B$16),"",IFERROR(INDEX('Fixture Library'!$D$4:$D$83,MATCH(Setup!$B$7&amp;"-"&amp;$C88,'Fixture Library'!$A$4:$A$83,0)),""))</f>
        <v/>
      </c>
      <c r="E88" s="17" t="str">
        <f>IF($J88="","",IFERROR(INDEX(Teams!$D$4:$D$67,MATCH($B88&amp;"-"&amp;$J88,Teams!$E$4:$E$67,0)),""))</f>
        <v/>
      </c>
      <c r="F88" s="16" t="str">
        <f>IF(OR($E88="",$G88="",$C88&gt;Setup!$B$16),"",IFERROR(INDEX(Results!$E$5:$E$228,INT(($A88-1)/28)*Setup!$B$16+$C88),""))</f>
        <v/>
      </c>
      <c r="G88" s="17" t="str">
        <f>IF($K88="","",IFERROR(INDEX(Teams!$D$4:$D$67,MATCH($B88&amp;"-"&amp;$K88,Teams!$E$4:$E$67,0)),""))</f>
        <v/>
      </c>
      <c r="H88" s="16" t="str">
        <f>IF(OR($E88="",$G88="",$C88&gt;Setup!$B$16),"",IFERROR(INDEX(Results!$F$5:$F$228,INT(($A88-1)/28)*Setup!$B$16+$C88),""))</f>
        <v/>
      </c>
      <c r="I88" s="18">
        <f t="shared" si="17"/>
        <v>0</v>
      </c>
      <c r="J88" s="19" t="str">
        <f>IF(OR($B88="",$C88&gt;Setup!$B$16),"",IFERROR(INDEX('Fixture Library'!$E$4:$E$83,MATCH(Setup!$B$7&amp;"-"&amp;$C88,'Fixture Library'!$A$4:$A$83,0)),""))</f>
        <v/>
      </c>
      <c r="K88" s="19" t="str">
        <f>IF(OR($B88="",$C88&gt;Setup!$B$16),"",IFERROR(INDEX('Fixture Library'!$F$4:$F$83,MATCH(Setup!$B$7&amp;"-"&amp;$C88,'Fixture Library'!$A$4:$A$83,0)),""))</f>
        <v/>
      </c>
      <c r="L88" s="16">
        <f t="shared" si="12"/>
        <v>0</v>
      </c>
      <c r="M88" s="16">
        <f t="shared" si="13"/>
        <v>0</v>
      </c>
      <c r="N88" s="16">
        <f t="shared" si="14"/>
        <v>0</v>
      </c>
      <c r="O88" s="16">
        <f t="shared" si="15"/>
        <v>0</v>
      </c>
      <c r="P88" s="16">
        <f t="shared" si="18"/>
        <v>0</v>
      </c>
      <c r="Q88" s="16">
        <f t="shared" si="18"/>
        <v>0</v>
      </c>
      <c r="R88" s="16">
        <f t="shared" si="16"/>
        <v>0</v>
      </c>
    </row>
    <row r="89" spans="1:18">
      <c r="A89" s="16">
        <v>86</v>
      </c>
      <c r="B89" s="16" t="str">
        <f>IF(INT(($A89-1)/28)+1&lt;=Setup!$B$6,INDEX(Setup!$B$22:$B$29,INT(($A89-1)/28)+1),"")</f>
        <v/>
      </c>
      <c r="C89" s="16" t="str">
        <f t="shared" si="11"/>
        <v/>
      </c>
      <c r="D89" s="16" t="str">
        <f>IF(OR($B89="",$C89&gt;Setup!$B$16),"",IFERROR(INDEX('Fixture Library'!$D$4:$D$83,MATCH(Setup!$B$7&amp;"-"&amp;$C89,'Fixture Library'!$A$4:$A$83,0)),""))</f>
        <v/>
      </c>
      <c r="E89" s="17" t="str">
        <f>IF($J89="","",IFERROR(INDEX(Teams!$D$4:$D$67,MATCH($B89&amp;"-"&amp;$J89,Teams!$E$4:$E$67,0)),""))</f>
        <v/>
      </c>
      <c r="F89" s="16" t="str">
        <f>IF(OR($E89="",$G89="",$C89&gt;Setup!$B$16),"",IFERROR(INDEX(Results!$E$5:$E$228,INT(($A89-1)/28)*Setup!$B$16+$C89),""))</f>
        <v/>
      </c>
      <c r="G89" s="17" t="str">
        <f>IF($K89="","",IFERROR(INDEX(Teams!$D$4:$D$67,MATCH($B89&amp;"-"&amp;$K89,Teams!$E$4:$E$67,0)),""))</f>
        <v/>
      </c>
      <c r="H89" s="16" t="str">
        <f>IF(OR($E89="",$G89="",$C89&gt;Setup!$B$16),"",IFERROR(INDEX(Results!$F$5:$F$228,INT(($A89-1)/28)*Setup!$B$16+$C89),""))</f>
        <v/>
      </c>
      <c r="I89" s="18">
        <f t="shared" si="17"/>
        <v>0</v>
      </c>
      <c r="J89" s="19" t="str">
        <f>IF(OR($B89="",$C89&gt;Setup!$B$16),"",IFERROR(INDEX('Fixture Library'!$E$4:$E$83,MATCH(Setup!$B$7&amp;"-"&amp;$C89,'Fixture Library'!$A$4:$A$83,0)),""))</f>
        <v/>
      </c>
      <c r="K89" s="19" t="str">
        <f>IF(OR($B89="",$C89&gt;Setup!$B$16),"",IFERROR(INDEX('Fixture Library'!$F$4:$F$83,MATCH(Setup!$B$7&amp;"-"&amp;$C89,'Fixture Library'!$A$4:$A$83,0)),""))</f>
        <v/>
      </c>
      <c r="L89" s="16">
        <f t="shared" si="12"/>
        <v>0</v>
      </c>
      <c r="M89" s="16">
        <f t="shared" si="13"/>
        <v>0</v>
      </c>
      <c r="N89" s="16">
        <f t="shared" si="14"/>
        <v>0</v>
      </c>
      <c r="O89" s="16">
        <f t="shared" si="15"/>
        <v>0</v>
      </c>
      <c r="P89" s="16">
        <f t="shared" si="18"/>
        <v>0</v>
      </c>
      <c r="Q89" s="16">
        <f t="shared" si="18"/>
        <v>0</v>
      </c>
      <c r="R89" s="16">
        <f t="shared" si="16"/>
        <v>0</v>
      </c>
    </row>
    <row r="90" spans="1:18">
      <c r="A90" s="16">
        <v>87</v>
      </c>
      <c r="B90" s="16" t="str">
        <f>IF(INT(($A90-1)/28)+1&lt;=Setup!$B$6,INDEX(Setup!$B$22:$B$29,INT(($A90-1)/28)+1),"")</f>
        <v/>
      </c>
      <c r="C90" s="16" t="str">
        <f t="shared" si="11"/>
        <v/>
      </c>
      <c r="D90" s="16" t="str">
        <f>IF(OR($B90="",$C90&gt;Setup!$B$16),"",IFERROR(INDEX('Fixture Library'!$D$4:$D$83,MATCH(Setup!$B$7&amp;"-"&amp;$C90,'Fixture Library'!$A$4:$A$83,0)),""))</f>
        <v/>
      </c>
      <c r="E90" s="17" t="str">
        <f>IF($J90="","",IFERROR(INDEX(Teams!$D$4:$D$67,MATCH($B90&amp;"-"&amp;$J90,Teams!$E$4:$E$67,0)),""))</f>
        <v/>
      </c>
      <c r="F90" s="16" t="str">
        <f>IF(OR($E90="",$G90="",$C90&gt;Setup!$B$16),"",IFERROR(INDEX(Results!$E$5:$E$228,INT(($A90-1)/28)*Setup!$B$16+$C90),""))</f>
        <v/>
      </c>
      <c r="G90" s="17" t="str">
        <f>IF($K90="","",IFERROR(INDEX(Teams!$D$4:$D$67,MATCH($B90&amp;"-"&amp;$K90,Teams!$E$4:$E$67,0)),""))</f>
        <v/>
      </c>
      <c r="H90" s="16" t="str">
        <f>IF(OR($E90="",$G90="",$C90&gt;Setup!$B$16),"",IFERROR(INDEX(Results!$F$5:$F$228,INT(($A90-1)/28)*Setup!$B$16+$C90),""))</f>
        <v/>
      </c>
      <c r="I90" s="18">
        <f t="shared" si="17"/>
        <v>0</v>
      </c>
      <c r="J90" s="19" t="str">
        <f>IF(OR($B90="",$C90&gt;Setup!$B$16),"",IFERROR(INDEX('Fixture Library'!$E$4:$E$83,MATCH(Setup!$B$7&amp;"-"&amp;$C90,'Fixture Library'!$A$4:$A$83,0)),""))</f>
        <v/>
      </c>
      <c r="K90" s="19" t="str">
        <f>IF(OR($B90="",$C90&gt;Setup!$B$16),"",IFERROR(INDEX('Fixture Library'!$F$4:$F$83,MATCH(Setup!$B$7&amp;"-"&amp;$C90,'Fixture Library'!$A$4:$A$83,0)),""))</f>
        <v/>
      </c>
      <c r="L90" s="16">
        <f t="shared" si="12"/>
        <v>0</v>
      </c>
      <c r="M90" s="16">
        <f t="shared" si="13"/>
        <v>0</v>
      </c>
      <c r="N90" s="16">
        <f t="shared" si="14"/>
        <v>0</v>
      </c>
      <c r="O90" s="16">
        <f t="shared" si="15"/>
        <v>0</v>
      </c>
      <c r="P90" s="16">
        <f t="shared" si="18"/>
        <v>0</v>
      </c>
      <c r="Q90" s="16">
        <f t="shared" si="18"/>
        <v>0</v>
      </c>
      <c r="R90" s="16">
        <f t="shared" si="16"/>
        <v>0</v>
      </c>
    </row>
    <row r="91" spans="1:18">
      <c r="A91" s="16">
        <v>88</v>
      </c>
      <c r="B91" s="16" t="str">
        <f>IF(INT(($A91-1)/28)+1&lt;=Setup!$B$6,INDEX(Setup!$B$22:$B$29,INT(($A91-1)/28)+1),"")</f>
        <v/>
      </c>
      <c r="C91" s="16" t="str">
        <f t="shared" si="11"/>
        <v/>
      </c>
      <c r="D91" s="16" t="str">
        <f>IF(OR($B91="",$C91&gt;Setup!$B$16),"",IFERROR(INDEX('Fixture Library'!$D$4:$D$83,MATCH(Setup!$B$7&amp;"-"&amp;$C91,'Fixture Library'!$A$4:$A$83,0)),""))</f>
        <v/>
      </c>
      <c r="E91" s="17" t="str">
        <f>IF($J91="","",IFERROR(INDEX(Teams!$D$4:$D$67,MATCH($B91&amp;"-"&amp;$J91,Teams!$E$4:$E$67,0)),""))</f>
        <v/>
      </c>
      <c r="F91" s="16" t="str">
        <f>IF(OR($E91="",$G91="",$C91&gt;Setup!$B$16),"",IFERROR(INDEX(Results!$E$5:$E$228,INT(($A91-1)/28)*Setup!$B$16+$C91),""))</f>
        <v/>
      </c>
      <c r="G91" s="17" t="str">
        <f>IF($K91="","",IFERROR(INDEX(Teams!$D$4:$D$67,MATCH($B91&amp;"-"&amp;$K91,Teams!$E$4:$E$67,0)),""))</f>
        <v/>
      </c>
      <c r="H91" s="16" t="str">
        <f>IF(OR($E91="",$G91="",$C91&gt;Setup!$B$16),"",IFERROR(INDEX(Results!$F$5:$F$228,INT(($A91-1)/28)*Setup!$B$16+$C91),""))</f>
        <v/>
      </c>
      <c r="I91" s="18">
        <f t="shared" si="17"/>
        <v>0</v>
      </c>
      <c r="J91" s="19" t="str">
        <f>IF(OR($B91="",$C91&gt;Setup!$B$16),"",IFERROR(INDEX('Fixture Library'!$E$4:$E$83,MATCH(Setup!$B$7&amp;"-"&amp;$C91,'Fixture Library'!$A$4:$A$83,0)),""))</f>
        <v/>
      </c>
      <c r="K91" s="19" t="str">
        <f>IF(OR($B91="",$C91&gt;Setup!$B$16),"",IFERROR(INDEX('Fixture Library'!$F$4:$F$83,MATCH(Setup!$B$7&amp;"-"&amp;$C91,'Fixture Library'!$A$4:$A$83,0)),""))</f>
        <v/>
      </c>
      <c r="L91" s="16">
        <f t="shared" si="12"/>
        <v>0</v>
      </c>
      <c r="M91" s="16">
        <f t="shared" si="13"/>
        <v>0</v>
      </c>
      <c r="N91" s="16">
        <f t="shared" si="14"/>
        <v>0</v>
      </c>
      <c r="O91" s="16">
        <f t="shared" si="15"/>
        <v>0</v>
      </c>
      <c r="P91" s="16">
        <f t="shared" si="18"/>
        <v>0</v>
      </c>
      <c r="Q91" s="16">
        <f t="shared" si="18"/>
        <v>0</v>
      </c>
      <c r="R91" s="16">
        <f t="shared" si="16"/>
        <v>0</v>
      </c>
    </row>
    <row r="92" spans="1:18">
      <c r="A92" s="16">
        <v>89</v>
      </c>
      <c r="B92" s="16" t="str">
        <f>IF(INT(($A92-1)/28)+1&lt;=Setup!$B$6,INDEX(Setup!$B$22:$B$29,INT(($A92-1)/28)+1),"")</f>
        <v/>
      </c>
      <c r="C92" s="16" t="str">
        <f t="shared" si="11"/>
        <v/>
      </c>
      <c r="D92" s="16" t="str">
        <f>IF(OR($B92="",$C92&gt;Setup!$B$16),"",IFERROR(INDEX('Fixture Library'!$D$4:$D$83,MATCH(Setup!$B$7&amp;"-"&amp;$C92,'Fixture Library'!$A$4:$A$83,0)),""))</f>
        <v/>
      </c>
      <c r="E92" s="17" t="str">
        <f>IF($J92="","",IFERROR(INDEX(Teams!$D$4:$D$67,MATCH($B92&amp;"-"&amp;$J92,Teams!$E$4:$E$67,0)),""))</f>
        <v/>
      </c>
      <c r="F92" s="16" t="str">
        <f>IF(OR($E92="",$G92="",$C92&gt;Setup!$B$16),"",IFERROR(INDEX(Results!$E$5:$E$228,INT(($A92-1)/28)*Setup!$B$16+$C92),""))</f>
        <v/>
      </c>
      <c r="G92" s="17" t="str">
        <f>IF($K92="","",IFERROR(INDEX(Teams!$D$4:$D$67,MATCH($B92&amp;"-"&amp;$K92,Teams!$E$4:$E$67,0)),""))</f>
        <v/>
      </c>
      <c r="H92" s="16" t="str">
        <f>IF(OR($E92="",$G92="",$C92&gt;Setup!$B$16),"",IFERROR(INDEX(Results!$F$5:$F$228,INT(($A92-1)/28)*Setup!$B$16+$C92),""))</f>
        <v/>
      </c>
      <c r="I92" s="18">
        <f t="shared" si="17"/>
        <v>0</v>
      </c>
      <c r="J92" s="19" t="str">
        <f>IF(OR($B92="",$C92&gt;Setup!$B$16),"",IFERROR(INDEX('Fixture Library'!$E$4:$E$83,MATCH(Setup!$B$7&amp;"-"&amp;$C92,'Fixture Library'!$A$4:$A$83,0)),""))</f>
        <v/>
      </c>
      <c r="K92" s="19" t="str">
        <f>IF(OR($B92="",$C92&gt;Setup!$B$16),"",IFERROR(INDEX('Fixture Library'!$F$4:$F$83,MATCH(Setup!$B$7&amp;"-"&amp;$C92,'Fixture Library'!$A$4:$A$83,0)),""))</f>
        <v/>
      </c>
      <c r="L92" s="16">
        <f t="shared" si="12"/>
        <v>0</v>
      </c>
      <c r="M92" s="16">
        <f t="shared" si="13"/>
        <v>0</v>
      </c>
      <c r="N92" s="16">
        <f t="shared" si="14"/>
        <v>0</v>
      </c>
      <c r="O92" s="16">
        <f t="shared" si="15"/>
        <v>0</v>
      </c>
      <c r="P92" s="16">
        <f t="shared" si="18"/>
        <v>0</v>
      </c>
      <c r="Q92" s="16">
        <f t="shared" si="18"/>
        <v>0</v>
      </c>
      <c r="R92" s="16">
        <f t="shared" si="16"/>
        <v>0</v>
      </c>
    </row>
    <row r="93" spans="1:18">
      <c r="A93" s="16">
        <v>90</v>
      </c>
      <c r="B93" s="16" t="str">
        <f>IF(INT(($A93-1)/28)+1&lt;=Setup!$B$6,INDEX(Setup!$B$22:$B$29,INT(($A93-1)/28)+1),"")</f>
        <v/>
      </c>
      <c r="C93" s="16" t="str">
        <f t="shared" si="11"/>
        <v/>
      </c>
      <c r="D93" s="16" t="str">
        <f>IF(OR($B93="",$C93&gt;Setup!$B$16),"",IFERROR(INDEX('Fixture Library'!$D$4:$D$83,MATCH(Setup!$B$7&amp;"-"&amp;$C93,'Fixture Library'!$A$4:$A$83,0)),""))</f>
        <v/>
      </c>
      <c r="E93" s="17" t="str">
        <f>IF($J93="","",IFERROR(INDEX(Teams!$D$4:$D$67,MATCH($B93&amp;"-"&amp;$J93,Teams!$E$4:$E$67,0)),""))</f>
        <v/>
      </c>
      <c r="F93" s="16" t="str">
        <f>IF(OR($E93="",$G93="",$C93&gt;Setup!$B$16),"",IFERROR(INDEX(Results!$E$5:$E$228,INT(($A93-1)/28)*Setup!$B$16+$C93),""))</f>
        <v/>
      </c>
      <c r="G93" s="17" t="str">
        <f>IF($K93="","",IFERROR(INDEX(Teams!$D$4:$D$67,MATCH($B93&amp;"-"&amp;$K93,Teams!$E$4:$E$67,0)),""))</f>
        <v/>
      </c>
      <c r="H93" s="16" t="str">
        <f>IF(OR($E93="",$G93="",$C93&gt;Setup!$B$16),"",IFERROR(INDEX(Results!$F$5:$F$228,INT(($A93-1)/28)*Setup!$B$16+$C93),""))</f>
        <v/>
      </c>
      <c r="I93" s="18">
        <f t="shared" si="17"/>
        <v>0</v>
      </c>
      <c r="J93" s="19" t="str">
        <f>IF(OR($B93="",$C93&gt;Setup!$B$16),"",IFERROR(INDEX('Fixture Library'!$E$4:$E$83,MATCH(Setup!$B$7&amp;"-"&amp;$C93,'Fixture Library'!$A$4:$A$83,0)),""))</f>
        <v/>
      </c>
      <c r="K93" s="19" t="str">
        <f>IF(OR($B93="",$C93&gt;Setup!$B$16),"",IFERROR(INDEX('Fixture Library'!$F$4:$F$83,MATCH(Setup!$B$7&amp;"-"&amp;$C93,'Fixture Library'!$A$4:$A$83,0)),""))</f>
        <v/>
      </c>
      <c r="L93" s="16">
        <f t="shared" si="12"/>
        <v>0</v>
      </c>
      <c r="M93" s="16">
        <f t="shared" si="13"/>
        <v>0</v>
      </c>
      <c r="N93" s="16">
        <f t="shared" si="14"/>
        <v>0</v>
      </c>
      <c r="O93" s="16">
        <f t="shared" si="15"/>
        <v>0</v>
      </c>
      <c r="P93" s="16">
        <f t="shared" si="18"/>
        <v>0</v>
      </c>
      <c r="Q93" s="16">
        <f t="shared" si="18"/>
        <v>0</v>
      </c>
      <c r="R93" s="16">
        <f t="shared" si="16"/>
        <v>0</v>
      </c>
    </row>
    <row r="94" spans="1:18">
      <c r="A94" s="16">
        <v>91</v>
      </c>
      <c r="B94" s="16" t="str">
        <f>IF(INT(($A94-1)/28)+1&lt;=Setup!$B$6,INDEX(Setup!$B$22:$B$29,INT(($A94-1)/28)+1),"")</f>
        <v/>
      </c>
      <c r="C94" s="16" t="str">
        <f t="shared" si="11"/>
        <v/>
      </c>
      <c r="D94" s="16" t="str">
        <f>IF(OR($B94="",$C94&gt;Setup!$B$16),"",IFERROR(INDEX('Fixture Library'!$D$4:$D$83,MATCH(Setup!$B$7&amp;"-"&amp;$C94,'Fixture Library'!$A$4:$A$83,0)),""))</f>
        <v/>
      </c>
      <c r="E94" s="17" t="str">
        <f>IF($J94="","",IFERROR(INDEX(Teams!$D$4:$D$67,MATCH($B94&amp;"-"&amp;$J94,Teams!$E$4:$E$67,0)),""))</f>
        <v/>
      </c>
      <c r="F94" s="16" t="str">
        <f>IF(OR($E94="",$G94="",$C94&gt;Setup!$B$16),"",IFERROR(INDEX(Results!$E$5:$E$228,INT(($A94-1)/28)*Setup!$B$16+$C94),""))</f>
        <v/>
      </c>
      <c r="G94" s="17" t="str">
        <f>IF($K94="","",IFERROR(INDEX(Teams!$D$4:$D$67,MATCH($B94&amp;"-"&amp;$K94,Teams!$E$4:$E$67,0)),""))</f>
        <v/>
      </c>
      <c r="H94" s="16" t="str">
        <f>IF(OR($E94="",$G94="",$C94&gt;Setup!$B$16),"",IFERROR(INDEX(Results!$F$5:$F$228,INT(($A94-1)/28)*Setup!$B$16+$C94),""))</f>
        <v/>
      </c>
      <c r="I94" s="18">
        <f t="shared" si="17"/>
        <v>0</v>
      </c>
      <c r="J94" s="19" t="str">
        <f>IF(OR($B94="",$C94&gt;Setup!$B$16),"",IFERROR(INDEX('Fixture Library'!$E$4:$E$83,MATCH(Setup!$B$7&amp;"-"&amp;$C94,'Fixture Library'!$A$4:$A$83,0)),""))</f>
        <v/>
      </c>
      <c r="K94" s="19" t="str">
        <f>IF(OR($B94="",$C94&gt;Setup!$B$16),"",IFERROR(INDEX('Fixture Library'!$F$4:$F$83,MATCH(Setup!$B$7&amp;"-"&amp;$C94,'Fixture Library'!$A$4:$A$83,0)),""))</f>
        <v/>
      </c>
      <c r="L94" s="16">
        <f t="shared" si="12"/>
        <v>0</v>
      </c>
      <c r="M94" s="16">
        <f t="shared" si="13"/>
        <v>0</v>
      </c>
      <c r="N94" s="16">
        <f t="shared" si="14"/>
        <v>0</v>
      </c>
      <c r="O94" s="16">
        <f t="shared" si="15"/>
        <v>0</v>
      </c>
      <c r="P94" s="16">
        <f t="shared" si="18"/>
        <v>0</v>
      </c>
      <c r="Q94" s="16">
        <f t="shared" si="18"/>
        <v>0</v>
      </c>
      <c r="R94" s="16">
        <f t="shared" si="16"/>
        <v>0</v>
      </c>
    </row>
    <row r="95" spans="1:18">
      <c r="A95" s="16">
        <v>92</v>
      </c>
      <c r="B95" s="16" t="str">
        <f>IF(INT(($A95-1)/28)+1&lt;=Setup!$B$6,INDEX(Setup!$B$22:$B$29,INT(($A95-1)/28)+1),"")</f>
        <v/>
      </c>
      <c r="C95" s="16" t="str">
        <f t="shared" si="11"/>
        <v/>
      </c>
      <c r="D95" s="16" t="str">
        <f>IF(OR($B95="",$C95&gt;Setup!$B$16),"",IFERROR(INDEX('Fixture Library'!$D$4:$D$83,MATCH(Setup!$B$7&amp;"-"&amp;$C95,'Fixture Library'!$A$4:$A$83,0)),""))</f>
        <v/>
      </c>
      <c r="E95" s="17" t="str">
        <f>IF($J95="","",IFERROR(INDEX(Teams!$D$4:$D$67,MATCH($B95&amp;"-"&amp;$J95,Teams!$E$4:$E$67,0)),""))</f>
        <v/>
      </c>
      <c r="F95" s="16" t="str">
        <f>IF(OR($E95="",$G95="",$C95&gt;Setup!$B$16),"",IFERROR(INDEX(Results!$E$5:$E$228,INT(($A95-1)/28)*Setup!$B$16+$C95),""))</f>
        <v/>
      </c>
      <c r="G95" s="17" t="str">
        <f>IF($K95="","",IFERROR(INDEX(Teams!$D$4:$D$67,MATCH($B95&amp;"-"&amp;$K95,Teams!$E$4:$E$67,0)),""))</f>
        <v/>
      </c>
      <c r="H95" s="16" t="str">
        <f>IF(OR($E95="",$G95="",$C95&gt;Setup!$B$16),"",IFERROR(INDEX(Results!$F$5:$F$228,INT(($A95-1)/28)*Setup!$B$16+$C95),""))</f>
        <v/>
      </c>
      <c r="I95" s="18">
        <f t="shared" si="17"/>
        <v>0</v>
      </c>
      <c r="J95" s="19" t="str">
        <f>IF(OR($B95="",$C95&gt;Setup!$B$16),"",IFERROR(INDEX('Fixture Library'!$E$4:$E$83,MATCH(Setup!$B$7&amp;"-"&amp;$C95,'Fixture Library'!$A$4:$A$83,0)),""))</f>
        <v/>
      </c>
      <c r="K95" s="19" t="str">
        <f>IF(OR($B95="",$C95&gt;Setup!$B$16),"",IFERROR(INDEX('Fixture Library'!$F$4:$F$83,MATCH(Setup!$B$7&amp;"-"&amp;$C95,'Fixture Library'!$A$4:$A$83,0)),""))</f>
        <v/>
      </c>
      <c r="L95" s="16">
        <f t="shared" si="12"/>
        <v>0</v>
      </c>
      <c r="M95" s="16">
        <f t="shared" si="13"/>
        <v>0</v>
      </c>
      <c r="N95" s="16">
        <f t="shared" si="14"/>
        <v>0</v>
      </c>
      <c r="O95" s="16">
        <f t="shared" si="15"/>
        <v>0</v>
      </c>
      <c r="P95" s="16">
        <f t="shared" si="18"/>
        <v>0</v>
      </c>
      <c r="Q95" s="16">
        <f t="shared" si="18"/>
        <v>0</v>
      </c>
      <c r="R95" s="16">
        <f t="shared" si="16"/>
        <v>0</v>
      </c>
    </row>
    <row r="96" spans="1:18">
      <c r="A96" s="16">
        <v>93</v>
      </c>
      <c r="B96" s="16" t="str">
        <f>IF(INT(($A96-1)/28)+1&lt;=Setup!$B$6,INDEX(Setup!$B$22:$B$29,INT(($A96-1)/28)+1),"")</f>
        <v/>
      </c>
      <c r="C96" s="16" t="str">
        <f t="shared" si="11"/>
        <v/>
      </c>
      <c r="D96" s="16" t="str">
        <f>IF(OR($B96="",$C96&gt;Setup!$B$16),"",IFERROR(INDEX('Fixture Library'!$D$4:$D$83,MATCH(Setup!$B$7&amp;"-"&amp;$C96,'Fixture Library'!$A$4:$A$83,0)),""))</f>
        <v/>
      </c>
      <c r="E96" s="17" t="str">
        <f>IF($J96="","",IFERROR(INDEX(Teams!$D$4:$D$67,MATCH($B96&amp;"-"&amp;$J96,Teams!$E$4:$E$67,0)),""))</f>
        <v/>
      </c>
      <c r="F96" s="16" t="str">
        <f>IF(OR($E96="",$G96="",$C96&gt;Setup!$B$16),"",IFERROR(INDEX(Results!$E$5:$E$228,INT(($A96-1)/28)*Setup!$B$16+$C96),""))</f>
        <v/>
      </c>
      <c r="G96" s="17" t="str">
        <f>IF($K96="","",IFERROR(INDEX(Teams!$D$4:$D$67,MATCH($B96&amp;"-"&amp;$K96,Teams!$E$4:$E$67,0)),""))</f>
        <v/>
      </c>
      <c r="H96" s="16" t="str">
        <f>IF(OR($E96="",$G96="",$C96&gt;Setup!$B$16),"",IFERROR(INDEX(Results!$F$5:$F$228,INT(($A96-1)/28)*Setup!$B$16+$C96),""))</f>
        <v/>
      </c>
      <c r="I96" s="18">
        <f t="shared" si="17"/>
        <v>0</v>
      </c>
      <c r="J96" s="19" t="str">
        <f>IF(OR($B96="",$C96&gt;Setup!$B$16),"",IFERROR(INDEX('Fixture Library'!$E$4:$E$83,MATCH(Setup!$B$7&amp;"-"&amp;$C96,'Fixture Library'!$A$4:$A$83,0)),""))</f>
        <v/>
      </c>
      <c r="K96" s="19" t="str">
        <f>IF(OR($B96="",$C96&gt;Setup!$B$16),"",IFERROR(INDEX('Fixture Library'!$F$4:$F$83,MATCH(Setup!$B$7&amp;"-"&amp;$C96,'Fixture Library'!$A$4:$A$83,0)),""))</f>
        <v/>
      </c>
      <c r="L96" s="16">
        <f t="shared" si="12"/>
        <v>0</v>
      </c>
      <c r="M96" s="16">
        <f t="shared" si="13"/>
        <v>0</v>
      </c>
      <c r="N96" s="16">
        <f t="shared" si="14"/>
        <v>0</v>
      </c>
      <c r="O96" s="16">
        <f t="shared" si="15"/>
        <v>0</v>
      </c>
      <c r="P96" s="16">
        <f t="shared" si="18"/>
        <v>0</v>
      </c>
      <c r="Q96" s="16">
        <f t="shared" si="18"/>
        <v>0</v>
      </c>
      <c r="R96" s="16">
        <f t="shared" si="16"/>
        <v>0</v>
      </c>
    </row>
    <row r="97" spans="1:18">
      <c r="A97" s="16">
        <v>94</v>
      </c>
      <c r="B97" s="16" t="str">
        <f>IF(INT(($A97-1)/28)+1&lt;=Setup!$B$6,INDEX(Setup!$B$22:$B$29,INT(($A97-1)/28)+1),"")</f>
        <v/>
      </c>
      <c r="C97" s="16" t="str">
        <f t="shared" si="11"/>
        <v/>
      </c>
      <c r="D97" s="16" t="str">
        <f>IF(OR($B97="",$C97&gt;Setup!$B$16),"",IFERROR(INDEX('Fixture Library'!$D$4:$D$83,MATCH(Setup!$B$7&amp;"-"&amp;$C97,'Fixture Library'!$A$4:$A$83,0)),""))</f>
        <v/>
      </c>
      <c r="E97" s="17" t="str">
        <f>IF($J97="","",IFERROR(INDEX(Teams!$D$4:$D$67,MATCH($B97&amp;"-"&amp;$J97,Teams!$E$4:$E$67,0)),""))</f>
        <v/>
      </c>
      <c r="F97" s="16" t="str">
        <f>IF(OR($E97="",$G97="",$C97&gt;Setup!$B$16),"",IFERROR(INDEX(Results!$E$5:$E$228,INT(($A97-1)/28)*Setup!$B$16+$C97),""))</f>
        <v/>
      </c>
      <c r="G97" s="17" t="str">
        <f>IF($K97="","",IFERROR(INDEX(Teams!$D$4:$D$67,MATCH($B97&amp;"-"&amp;$K97,Teams!$E$4:$E$67,0)),""))</f>
        <v/>
      </c>
      <c r="H97" s="16" t="str">
        <f>IF(OR($E97="",$G97="",$C97&gt;Setup!$B$16),"",IFERROR(INDEX(Results!$F$5:$F$228,INT(($A97-1)/28)*Setup!$B$16+$C97),""))</f>
        <v/>
      </c>
      <c r="I97" s="18">
        <f t="shared" si="17"/>
        <v>0</v>
      </c>
      <c r="J97" s="19" t="str">
        <f>IF(OR($B97="",$C97&gt;Setup!$B$16),"",IFERROR(INDEX('Fixture Library'!$E$4:$E$83,MATCH(Setup!$B$7&amp;"-"&amp;$C97,'Fixture Library'!$A$4:$A$83,0)),""))</f>
        <v/>
      </c>
      <c r="K97" s="19" t="str">
        <f>IF(OR($B97="",$C97&gt;Setup!$B$16),"",IFERROR(INDEX('Fixture Library'!$F$4:$F$83,MATCH(Setup!$B$7&amp;"-"&amp;$C97,'Fixture Library'!$A$4:$A$83,0)),""))</f>
        <v/>
      </c>
      <c r="L97" s="16">
        <f t="shared" si="12"/>
        <v>0</v>
      </c>
      <c r="M97" s="16">
        <f t="shared" si="13"/>
        <v>0</v>
      </c>
      <c r="N97" s="16">
        <f t="shared" si="14"/>
        <v>0</v>
      </c>
      <c r="O97" s="16">
        <f t="shared" si="15"/>
        <v>0</v>
      </c>
      <c r="P97" s="16">
        <f t="shared" si="18"/>
        <v>0</v>
      </c>
      <c r="Q97" s="16">
        <f t="shared" si="18"/>
        <v>0</v>
      </c>
      <c r="R97" s="16">
        <f t="shared" si="16"/>
        <v>0</v>
      </c>
    </row>
    <row r="98" spans="1:18">
      <c r="A98" s="16">
        <v>95</v>
      </c>
      <c r="B98" s="16" t="str">
        <f>IF(INT(($A98-1)/28)+1&lt;=Setup!$B$6,INDEX(Setup!$B$22:$B$29,INT(($A98-1)/28)+1),"")</f>
        <v/>
      </c>
      <c r="C98" s="16" t="str">
        <f t="shared" si="11"/>
        <v/>
      </c>
      <c r="D98" s="16" t="str">
        <f>IF(OR($B98="",$C98&gt;Setup!$B$16),"",IFERROR(INDEX('Fixture Library'!$D$4:$D$83,MATCH(Setup!$B$7&amp;"-"&amp;$C98,'Fixture Library'!$A$4:$A$83,0)),""))</f>
        <v/>
      </c>
      <c r="E98" s="17" t="str">
        <f>IF($J98="","",IFERROR(INDEX(Teams!$D$4:$D$67,MATCH($B98&amp;"-"&amp;$J98,Teams!$E$4:$E$67,0)),""))</f>
        <v/>
      </c>
      <c r="F98" s="16" t="str">
        <f>IF(OR($E98="",$G98="",$C98&gt;Setup!$B$16),"",IFERROR(INDEX(Results!$E$5:$E$228,INT(($A98-1)/28)*Setup!$B$16+$C98),""))</f>
        <v/>
      </c>
      <c r="G98" s="17" t="str">
        <f>IF($K98="","",IFERROR(INDEX(Teams!$D$4:$D$67,MATCH($B98&amp;"-"&amp;$K98,Teams!$E$4:$E$67,0)),""))</f>
        <v/>
      </c>
      <c r="H98" s="16" t="str">
        <f>IF(OR($E98="",$G98="",$C98&gt;Setup!$B$16),"",IFERROR(INDEX(Results!$F$5:$F$228,INT(($A98-1)/28)*Setup!$B$16+$C98),""))</f>
        <v/>
      </c>
      <c r="I98" s="18">
        <f t="shared" si="17"/>
        <v>0</v>
      </c>
      <c r="J98" s="19" t="str">
        <f>IF(OR($B98="",$C98&gt;Setup!$B$16),"",IFERROR(INDEX('Fixture Library'!$E$4:$E$83,MATCH(Setup!$B$7&amp;"-"&amp;$C98,'Fixture Library'!$A$4:$A$83,0)),""))</f>
        <v/>
      </c>
      <c r="K98" s="19" t="str">
        <f>IF(OR($B98="",$C98&gt;Setup!$B$16),"",IFERROR(INDEX('Fixture Library'!$F$4:$F$83,MATCH(Setup!$B$7&amp;"-"&amp;$C98,'Fixture Library'!$A$4:$A$83,0)),""))</f>
        <v/>
      </c>
      <c r="L98" s="16">
        <f t="shared" si="12"/>
        <v>0</v>
      </c>
      <c r="M98" s="16">
        <f t="shared" si="13"/>
        <v>0</v>
      </c>
      <c r="N98" s="16">
        <f t="shared" si="14"/>
        <v>0</v>
      </c>
      <c r="O98" s="16">
        <f t="shared" si="15"/>
        <v>0</v>
      </c>
      <c r="P98" s="16">
        <f t="shared" si="18"/>
        <v>0</v>
      </c>
      <c r="Q98" s="16">
        <f t="shared" si="18"/>
        <v>0</v>
      </c>
      <c r="R98" s="16">
        <f t="shared" si="16"/>
        <v>0</v>
      </c>
    </row>
    <row r="99" spans="1:18">
      <c r="A99" s="16">
        <v>96</v>
      </c>
      <c r="B99" s="16" t="str">
        <f>IF(INT(($A99-1)/28)+1&lt;=Setup!$B$6,INDEX(Setup!$B$22:$B$29,INT(($A99-1)/28)+1),"")</f>
        <v/>
      </c>
      <c r="C99" s="16" t="str">
        <f t="shared" si="11"/>
        <v/>
      </c>
      <c r="D99" s="16" t="str">
        <f>IF(OR($B99="",$C99&gt;Setup!$B$16),"",IFERROR(INDEX('Fixture Library'!$D$4:$D$83,MATCH(Setup!$B$7&amp;"-"&amp;$C99,'Fixture Library'!$A$4:$A$83,0)),""))</f>
        <v/>
      </c>
      <c r="E99" s="17" t="str">
        <f>IF($J99="","",IFERROR(INDEX(Teams!$D$4:$D$67,MATCH($B99&amp;"-"&amp;$J99,Teams!$E$4:$E$67,0)),""))</f>
        <v/>
      </c>
      <c r="F99" s="16" t="str">
        <f>IF(OR($E99="",$G99="",$C99&gt;Setup!$B$16),"",IFERROR(INDEX(Results!$E$5:$E$228,INT(($A99-1)/28)*Setup!$B$16+$C99),""))</f>
        <v/>
      </c>
      <c r="G99" s="17" t="str">
        <f>IF($K99="","",IFERROR(INDEX(Teams!$D$4:$D$67,MATCH($B99&amp;"-"&amp;$K99,Teams!$E$4:$E$67,0)),""))</f>
        <v/>
      </c>
      <c r="H99" s="16" t="str">
        <f>IF(OR($E99="",$G99="",$C99&gt;Setup!$B$16),"",IFERROR(INDEX(Results!$F$5:$F$228,INT(($A99-1)/28)*Setup!$B$16+$C99),""))</f>
        <v/>
      </c>
      <c r="I99" s="18">
        <f t="shared" si="17"/>
        <v>0</v>
      </c>
      <c r="J99" s="19" t="str">
        <f>IF(OR($B99="",$C99&gt;Setup!$B$16),"",IFERROR(INDEX('Fixture Library'!$E$4:$E$83,MATCH(Setup!$B$7&amp;"-"&amp;$C99,'Fixture Library'!$A$4:$A$83,0)),""))</f>
        <v/>
      </c>
      <c r="K99" s="19" t="str">
        <f>IF(OR($B99="",$C99&gt;Setup!$B$16),"",IFERROR(INDEX('Fixture Library'!$F$4:$F$83,MATCH(Setup!$B$7&amp;"-"&amp;$C99,'Fixture Library'!$A$4:$A$83,0)),""))</f>
        <v/>
      </c>
      <c r="L99" s="16">
        <f t="shared" si="12"/>
        <v>0</v>
      </c>
      <c r="M99" s="16">
        <f t="shared" si="13"/>
        <v>0</v>
      </c>
      <c r="N99" s="16">
        <f t="shared" si="14"/>
        <v>0</v>
      </c>
      <c r="O99" s="16">
        <f t="shared" si="15"/>
        <v>0</v>
      </c>
      <c r="P99" s="16">
        <f t="shared" si="18"/>
        <v>0</v>
      </c>
      <c r="Q99" s="16">
        <f t="shared" si="18"/>
        <v>0</v>
      </c>
      <c r="R99" s="16">
        <f t="shared" si="16"/>
        <v>0</v>
      </c>
    </row>
    <row r="100" spans="1:18">
      <c r="A100" s="16">
        <v>97</v>
      </c>
      <c r="B100" s="16" t="str">
        <f>IF(INT(($A100-1)/28)+1&lt;=Setup!$B$6,INDEX(Setup!$B$22:$B$29,INT(($A100-1)/28)+1),"")</f>
        <v/>
      </c>
      <c r="C100" s="16" t="str">
        <f t="shared" si="11"/>
        <v/>
      </c>
      <c r="D100" s="16" t="str">
        <f>IF(OR($B100="",$C100&gt;Setup!$B$16),"",IFERROR(INDEX('Fixture Library'!$D$4:$D$83,MATCH(Setup!$B$7&amp;"-"&amp;$C100,'Fixture Library'!$A$4:$A$83,0)),""))</f>
        <v/>
      </c>
      <c r="E100" s="17" t="str">
        <f>IF($J100="","",IFERROR(INDEX(Teams!$D$4:$D$67,MATCH($B100&amp;"-"&amp;$J100,Teams!$E$4:$E$67,0)),""))</f>
        <v/>
      </c>
      <c r="F100" s="16" t="str">
        <f>IF(OR($E100="",$G100="",$C100&gt;Setup!$B$16),"",IFERROR(INDEX(Results!$E$5:$E$228,INT(($A100-1)/28)*Setup!$B$16+$C100),""))</f>
        <v/>
      </c>
      <c r="G100" s="17" t="str">
        <f>IF($K100="","",IFERROR(INDEX(Teams!$D$4:$D$67,MATCH($B100&amp;"-"&amp;$K100,Teams!$E$4:$E$67,0)),""))</f>
        <v/>
      </c>
      <c r="H100" s="16" t="str">
        <f>IF(OR($E100="",$G100="",$C100&gt;Setup!$B$16),"",IFERROR(INDEX(Results!$F$5:$F$228,INT(($A100-1)/28)*Setup!$B$16+$C100),""))</f>
        <v/>
      </c>
      <c r="I100" s="18">
        <f t="shared" si="17"/>
        <v>0</v>
      </c>
      <c r="J100" s="19" t="str">
        <f>IF(OR($B100="",$C100&gt;Setup!$B$16),"",IFERROR(INDEX('Fixture Library'!$E$4:$E$83,MATCH(Setup!$B$7&amp;"-"&amp;$C100,'Fixture Library'!$A$4:$A$83,0)),""))</f>
        <v/>
      </c>
      <c r="K100" s="19" t="str">
        <f>IF(OR($B100="",$C100&gt;Setup!$B$16),"",IFERROR(INDEX('Fixture Library'!$F$4:$F$83,MATCH(Setup!$B$7&amp;"-"&amp;$C100,'Fixture Library'!$A$4:$A$83,0)),""))</f>
        <v/>
      </c>
      <c r="L100" s="16">
        <f t="shared" si="12"/>
        <v>0</v>
      </c>
      <c r="M100" s="16">
        <f t="shared" si="13"/>
        <v>0</v>
      </c>
      <c r="N100" s="16">
        <f t="shared" si="14"/>
        <v>0</v>
      </c>
      <c r="O100" s="16">
        <f t="shared" si="15"/>
        <v>0</v>
      </c>
      <c r="P100" s="16">
        <f t="shared" si="18"/>
        <v>0</v>
      </c>
      <c r="Q100" s="16">
        <f t="shared" si="18"/>
        <v>0</v>
      </c>
      <c r="R100" s="16">
        <f t="shared" si="16"/>
        <v>0</v>
      </c>
    </row>
    <row r="101" spans="1:18">
      <c r="A101" s="16">
        <v>98</v>
      </c>
      <c r="B101" s="16" t="str">
        <f>IF(INT(($A101-1)/28)+1&lt;=Setup!$B$6,INDEX(Setup!$B$22:$B$29,INT(($A101-1)/28)+1),"")</f>
        <v/>
      </c>
      <c r="C101" s="16" t="str">
        <f t="shared" si="11"/>
        <v/>
      </c>
      <c r="D101" s="16" t="str">
        <f>IF(OR($B101="",$C101&gt;Setup!$B$16),"",IFERROR(INDEX('Fixture Library'!$D$4:$D$83,MATCH(Setup!$B$7&amp;"-"&amp;$C101,'Fixture Library'!$A$4:$A$83,0)),""))</f>
        <v/>
      </c>
      <c r="E101" s="17" t="str">
        <f>IF($J101="","",IFERROR(INDEX(Teams!$D$4:$D$67,MATCH($B101&amp;"-"&amp;$J101,Teams!$E$4:$E$67,0)),""))</f>
        <v/>
      </c>
      <c r="F101" s="16" t="str">
        <f>IF(OR($E101="",$G101="",$C101&gt;Setup!$B$16),"",IFERROR(INDEX(Results!$E$5:$E$228,INT(($A101-1)/28)*Setup!$B$16+$C101),""))</f>
        <v/>
      </c>
      <c r="G101" s="17" t="str">
        <f>IF($K101="","",IFERROR(INDEX(Teams!$D$4:$D$67,MATCH($B101&amp;"-"&amp;$K101,Teams!$E$4:$E$67,0)),""))</f>
        <v/>
      </c>
      <c r="H101" s="16" t="str">
        <f>IF(OR($E101="",$G101="",$C101&gt;Setup!$B$16),"",IFERROR(INDEX(Results!$F$5:$F$228,INT(($A101-1)/28)*Setup!$B$16+$C101),""))</f>
        <v/>
      </c>
      <c r="I101" s="18">
        <f t="shared" si="17"/>
        <v>0</v>
      </c>
      <c r="J101" s="19" t="str">
        <f>IF(OR($B101="",$C101&gt;Setup!$B$16),"",IFERROR(INDEX('Fixture Library'!$E$4:$E$83,MATCH(Setup!$B$7&amp;"-"&amp;$C101,'Fixture Library'!$A$4:$A$83,0)),""))</f>
        <v/>
      </c>
      <c r="K101" s="19" t="str">
        <f>IF(OR($B101="",$C101&gt;Setup!$B$16),"",IFERROR(INDEX('Fixture Library'!$F$4:$F$83,MATCH(Setup!$B$7&amp;"-"&amp;$C101,'Fixture Library'!$A$4:$A$83,0)),""))</f>
        <v/>
      </c>
      <c r="L101" s="16">
        <f t="shared" si="12"/>
        <v>0</v>
      </c>
      <c r="M101" s="16">
        <f t="shared" si="13"/>
        <v>0</v>
      </c>
      <c r="N101" s="16">
        <f t="shared" si="14"/>
        <v>0</v>
      </c>
      <c r="O101" s="16">
        <f t="shared" si="15"/>
        <v>0</v>
      </c>
      <c r="P101" s="16">
        <f t="shared" si="18"/>
        <v>0</v>
      </c>
      <c r="Q101" s="16">
        <f t="shared" si="18"/>
        <v>0</v>
      </c>
      <c r="R101" s="16">
        <f t="shared" si="16"/>
        <v>0</v>
      </c>
    </row>
    <row r="102" spans="1:18">
      <c r="A102" s="16">
        <v>99</v>
      </c>
      <c r="B102" s="16" t="str">
        <f>IF(INT(($A102-1)/28)+1&lt;=Setup!$B$6,INDEX(Setup!$B$22:$B$29,INT(($A102-1)/28)+1),"")</f>
        <v/>
      </c>
      <c r="C102" s="16" t="str">
        <f t="shared" si="11"/>
        <v/>
      </c>
      <c r="D102" s="16" t="str">
        <f>IF(OR($B102="",$C102&gt;Setup!$B$16),"",IFERROR(INDEX('Fixture Library'!$D$4:$D$83,MATCH(Setup!$B$7&amp;"-"&amp;$C102,'Fixture Library'!$A$4:$A$83,0)),""))</f>
        <v/>
      </c>
      <c r="E102" s="17" t="str">
        <f>IF($J102="","",IFERROR(INDEX(Teams!$D$4:$D$67,MATCH($B102&amp;"-"&amp;$J102,Teams!$E$4:$E$67,0)),""))</f>
        <v/>
      </c>
      <c r="F102" s="16" t="str">
        <f>IF(OR($E102="",$G102="",$C102&gt;Setup!$B$16),"",IFERROR(INDEX(Results!$E$5:$E$228,INT(($A102-1)/28)*Setup!$B$16+$C102),""))</f>
        <v/>
      </c>
      <c r="G102" s="17" t="str">
        <f>IF($K102="","",IFERROR(INDEX(Teams!$D$4:$D$67,MATCH($B102&amp;"-"&amp;$K102,Teams!$E$4:$E$67,0)),""))</f>
        <v/>
      </c>
      <c r="H102" s="16" t="str">
        <f>IF(OR($E102="",$G102="",$C102&gt;Setup!$B$16),"",IFERROR(INDEX(Results!$F$5:$F$228,INT(($A102-1)/28)*Setup!$B$16+$C102),""))</f>
        <v/>
      </c>
      <c r="I102" s="18">
        <f t="shared" si="17"/>
        <v>0</v>
      </c>
      <c r="J102" s="19" t="str">
        <f>IF(OR($B102="",$C102&gt;Setup!$B$16),"",IFERROR(INDEX('Fixture Library'!$E$4:$E$83,MATCH(Setup!$B$7&amp;"-"&amp;$C102,'Fixture Library'!$A$4:$A$83,0)),""))</f>
        <v/>
      </c>
      <c r="K102" s="19" t="str">
        <f>IF(OR($B102="",$C102&gt;Setup!$B$16),"",IFERROR(INDEX('Fixture Library'!$F$4:$F$83,MATCH(Setup!$B$7&amp;"-"&amp;$C102,'Fixture Library'!$A$4:$A$83,0)),""))</f>
        <v/>
      </c>
      <c r="L102" s="16">
        <f t="shared" si="12"/>
        <v>0</v>
      </c>
      <c r="M102" s="16">
        <f t="shared" si="13"/>
        <v>0</v>
      </c>
      <c r="N102" s="16">
        <f t="shared" si="14"/>
        <v>0</v>
      </c>
      <c r="O102" s="16">
        <f t="shared" si="15"/>
        <v>0</v>
      </c>
      <c r="P102" s="16">
        <f t="shared" si="18"/>
        <v>0</v>
      </c>
      <c r="Q102" s="16">
        <f t="shared" si="18"/>
        <v>0</v>
      </c>
      <c r="R102" s="16">
        <f t="shared" si="16"/>
        <v>0</v>
      </c>
    </row>
    <row r="103" spans="1:18">
      <c r="A103" s="16">
        <v>100</v>
      </c>
      <c r="B103" s="16" t="str">
        <f>IF(INT(($A103-1)/28)+1&lt;=Setup!$B$6,INDEX(Setup!$B$22:$B$29,INT(($A103-1)/28)+1),"")</f>
        <v/>
      </c>
      <c r="C103" s="16" t="str">
        <f t="shared" si="11"/>
        <v/>
      </c>
      <c r="D103" s="16" t="str">
        <f>IF(OR($B103="",$C103&gt;Setup!$B$16),"",IFERROR(INDEX('Fixture Library'!$D$4:$D$83,MATCH(Setup!$B$7&amp;"-"&amp;$C103,'Fixture Library'!$A$4:$A$83,0)),""))</f>
        <v/>
      </c>
      <c r="E103" s="17" t="str">
        <f>IF($J103="","",IFERROR(INDEX(Teams!$D$4:$D$67,MATCH($B103&amp;"-"&amp;$J103,Teams!$E$4:$E$67,0)),""))</f>
        <v/>
      </c>
      <c r="F103" s="16" t="str">
        <f>IF(OR($E103="",$G103="",$C103&gt;Setup!$B$16),"",IFERROR(INDEX(Results!$E$5:$E$228,INT(($A103-1)/28)*Setup!$B$16+$C103),""))</f>
        <v/>
      </c>
      <c r="G103" s="17" t="str">
        <f>IF($K103="","",IFERROR(INDEX(Teams!$D$4:$D$67,MATCH($B103&amp;"-"&amp;$K103,Teams!$E$4:$E$67,0)),""))</f>
        <v/>
      </c>
      <c r="H103" s="16" t="str">
        <f>IF(OR($E103="",$G103="",$C103&gt;Setup!$B$16),"",IFERROR(INDEX(Results!$F$5:$F$228,INT(($A103-1)/28)*Setup!$B$16+$C103),""))</f>
        <v/>
      </c>
      <c r="I103" s="18">
        <f t="shared" si="17"/>
        <v>0</v>
      </c>
      <c r="J103" s="19" t="str">
        <f>IF(OR($B103="",$C103&gt;Setup!$B$16),"",IFERROR(INDEX('Fixture Library'!$E$4:$E$83,MATCH(Setup!$B$7&amp;"-"&amp;$C103,'Fixture Library'!$A$4:$A$83,0)),""))</f>
        <v/>
      </c>
      <c r="K103" s="19" t="str">
        <f>IF(OR($B103="",$C103&gt;Setup!$B$16),"",IFERROR(INDEX('Fixture Library'!$F$4:$F$83,MATCH(Setup!$B$7&amp;"-"&amp;$C103,'Fixture Library'!$A$4:$A$83,0)),""))</f>
        <v/>
      </c>
      <c r="L103" s="16">
        <f t="shared" si="12"/>
        <v>0</v>
      </c>
      <c r="M103" s="16">
        <f t="shared" si="13"/>
        <v>0</v>
      </c>
      <c r="N103" s="16">
        <f t="shared" si="14"/>
        <v>0</v>
      </c>
      <c r="O103" s="16">
        <f t="shared" si="15"/>
        <v>0</v>
      </c>
      <c r="P103" s="16">
        <f t="shared" si="18"/>
        <v>0</v>
      </c>
      <c r="Q103" s="16">
        <f t="shared" si="18"/>
        <v>0</v>
      </c>
      <c r="R103" s="16">
        <f t="shared" si="16"/>
        <v>0</v>
      </c>
    </row>
    <row r="104" spans="1:18">
      <c r="A104" s="16">
        <v>101</v>
      </c>
      <c r="B104" s="16" t="str">
        <f>IF(INT(($A104-1)/28)+1&lt;=Setup!$B$6,INDEX(Setup!$B$22:$B$29,INT(($A104-1)/28)+1),"")</f>
        <v/>
      </c>
      <c r="C104" s="16" t="str">
        <f t="shared" si="11"/>
        <v/>
      </c>
      <c r="D104" s="16" t="str">
        <f>IF(OR($B104="",$C104&gt;Setup!$B$16),"",IFERROR(INDEX('Fixture Library'!$D$4:$D$83,MATCH(Setup!$B$7&amp;"-"&amp;$C104,'Fixture Library'!$A$4:$A$83,0)),""))</f>
        <v/>
      </c>
      <c r="E104" s="17" t="str">
        <f>IF($J104="","",IFERROR(INDEX(Teams!$D$4:$D$67,MATCH($B104&amp;"-"&amp;$J104,Teams!$E$4:$E$67,0)),""))</f>
        <v/>
      </c>
      <c r="F104" s="16" t="str">
        <f>IF(OR($E104="",$G104="",$C104&gt;Setup!$B$16),"",IFERROR(INDEX(Results!$E$5:$E$228,INT(($A104-1)/28)*Setup!$B$16+$C104),""))</f>
        <v/>
      </c>
      <c r="G104" s="17" t="str">
        <f>IF($K104="","",IFERROR(INDEX(Teams!$D$4:$D$67,MATCH($B104&amp;"-"&amp;$K104,Teams!$E$4:$E$67,0)),""))</f>
        <v/>
      </c>
      <c r="H104" s="16" t="str">
        <f>IF(OR($E104="",$G104="",$C104&gt;Setup!$B$16),"",IFERROR(INDEX(Results!$F$5:$F$228,INT(($A104-1)/28)*Setup!$B$16+$C104),""))</f>
        <v/>
      </c>
      <c r="I104" s="18">
        <f t="shared" si="17"/>
        <v>0</v>
      </c>
      <c r="J104" s="19" t="str">
        <f>IF(OR($B104="",$C104&gt;Setup!$B$16),"",IFERROR(INDEX('Fixture Library'!$E$4:$E$83,MATCH(Setup!$B$7&amp;"-"&amp;$C104,'Fixture Library'!$A$4:$A$83,0)),""))</f>
        <v/>
      </c>
      <c r="K104" s="19" t="str">
        <f>IF(OR($B104="",$C104&gt;Setup!$B$16),"",IFERROR(INDEX('Fixture Library'!$F$4:$F$83,MATCH(Setup!$B$7&amp;"-"&amp;$C104,'Fixture Library'!$A$4:$A$83,0)),""))</f>
        <v/>
      </c>
      <c r="L104" s="16">
        <f t="shared" si="12"/>
        <v>0</v>
      </c>
      <c r="M104" s="16">
        <f t="shared" si="13"/>
        <v>0</v>
      </c>
      <c r="N104" s="16">
        <f t="shared" si="14"/>
        <v>0</v>
      </c>
      <c r="O104" s="16">
        <f t="shared" si="15"/>
        <v>0</v>
      </c>
      <c r="P104" s="16">
        <f t="shared" ref="P104:Q123" si="19">IF($I104=1,$H104,0)</f>
        <v>0</v>
      </c>
      <c r="Q104" s="16">
        <f t="shared" si="19"/>
        <v>0</v>
      </c>
      <c r="R104" s="16">
        <f t="shared" si="16"/>
        <v>0</v>
      </c>
    </row>
    <row r="105" spans="1:18">
      <c r="A105" s="16">
        <v>102</v>
      </c>
      <c r="B105" s="16" t="str">
        <f>IF(INT(($A105-1)/28)+1&lt;=Setup!$B$6,INDEX(Setup!$B$22:$B$29,INT(($A105-1)/28)+1),"")</f>
        <v/>
      </c>
      <c r="C105" s="16" t="str">
        <f t="shared" si="11"/>
        <v/>
      </c>
      <c r="D105" s="16" t="str">
        <f>IF(OR($B105="",$C105&gt;Setup!$B$16),"",IFERROR(INDEX('Fixture Library'!$D$4:$D$83,MATCH(Setup!$B$7&amp;"-"&amp;$C105,'Fixture Library'!$A$4:$A$83,0)),""))</f>
        <v/>
      </c>
      <c r="E105" s="17" t="str">
        <f>IF($J105="","",IFERROR(INDEX(Teams!$D$4:$D$67,MATCH($B105&amp;"-"&amp;$J105,Teams!$E$4:$E$67,0)),""))</f>
        <v/>
      </c>
      <c r="F105" s="16" t="str">
        <f>IF(OR($E105="",$G105="",$C105&gt;Setup!$B$16),"",IFERROR(INDEX(Results!$E$5:$E$228,INT(($A105-1)/28)*Setup!$B$16+$C105),""))</f>
        <v/>
      </c>
      <c r="G105" s="17" t="str">
        <f>IF($K105="","",IFERROR(INDEX(Teams!$D$4:$D$67,MATCH($B105&amp;"-"&amp;$K105,Teams!$E$4:$E$67,0)),""))</f>
        <v/>
      </c>
      <c r="H105" s="16" t="str">
        <f>IF(OR($E105="",$G105="",$C105&gt;Setup!$B$16),"",IFERROR(INDEX(Results!$F$5:$F$228,INT(($A105-1)/28)*Setup!$B$16+$C105),""))</f>
        <v/>
      </c>
      <c r="I105" s="18">
        <f t="shared" si="17"/>
        <v>0</v>
      </c>
      <c r="J105" s="19" t="str">
        <f>IF(OR($B105="",$C105&gt;Setup!$B$16),"",IFERROR(INDEX('Fixture Library'!$E$4:$E$83,MATCH(Setup!$B$7&amp;"-"&amp;$C105,'Fixture Library'!$A$4:$A$83,0)),""))</f>
        <v/>
      </c>
      <c r="K105" s="19" t="str">
        <f>IF(OR($B105="",$C105&gt;Setup!$B$16),"",IFERROR(INDEX('Fixture Library'!$F$4:$F$83,MATCH(Setup!$B$7&amp;"-"&amp;$C105,'Fixture Library'!$A$4:$A$83,0)),""))</f>
        <v/>
      </c>
      <c r="L105" s="16">
        <f t="shared" si="12"/>
        <v>0</v>
      </c>
      <c r="M105" s="16">
        <f t="shared" si="13"/>
        <v>0</v>
      </c>
      <c r="N105" s="16">
        <f t="shared" si="14"/>
        <v>0</v>
      </c>
      <c r="O105" s="16">
        <f t="shared" si="15"/>
        <v>0</v>
      </c>
      <c r="P105" s="16">
        <f t="shared" si="19"/>
        <v>0</v>
      </c>
      <c r="Q105" s="16">
        <f t="shared" si="19"/>
        <v>0</v>
      </c>
      <c r="R105" s="16">
        <f t="shared" si="16"/>
        <v>0</v>
      </c>
    </row>
    <row r="106" spans="1:18">
      <c r="A106" s="16">
        <v>103</v>
      </c>
      <c r="B106" s="16" t="str">
        <f>IF(INT(($A106-1)/28)+1&lt;=Setup!$B$6,INDEX(Setup!$B$22:$B$29,INT(($A106-1)/28)+1),"")</f>
        <v/>
      </c>
      <c r="C106" s="16" t="str">
        <f t="shared" si="11"/>
        <v/>
      </c>
      <c r="D106" s="16" t="str">
        <f>IF(OR($B106="",$C106&gt;Setup!$B$16),"",IFERROR(INDEX('Fixture Library'!$D$4:$D$83,MATCH(Setup!$B$7&amp;"-"&amp;$C106,'Fixture Library'!$A$4:$A$83,0)),""))</f>
        <v/>
      </c>
      <c r="E106" s="17" t="str">
        <f>IF($J106="","",IFERROR(INDEX(Teams!$D$4:$D$67,MATCH($B106&amp;"-"&amp;$J106,Teams!$E$4:$E$67,0)),""))</f>
        <v/>
      </c>
      <c r="F106" s="16" t="str">
        <f>IF(OR($E106="",$G106="",$C106&gt;Setup!$B$16),"",IFERROR(INDEX(Results!$E$5:$E$228,INT(($A106-1)/28)*Setup!$B$16+$C106),""))</f>
        <v/>
      </c>
      <c r="G106" s="17" t="str">
        <f>IF($K106="","",IFERROR(INDEX(Teams!$D$4:$D$67,MATCH($B106&amp;"-"&amp;$K106,Teams!$E$4:$E$67,0)),""))</f>
        <v/>
      </c>
      <c r="H106" s="16" t="str">
        <f>IF(OR($E106="",$G106="",$C106&gt;Setup!$B$16),"",IFERROR(INDEX(Results!$F$5:$F$228,INT(($A106-1)/28)*Setup!$B$16+$C106),""))</f>
        <v/>
      </c>
      <c r="I106" s="18">
        <f t="shared" si="17"/>
        <v>0</v>
      </c>
      <c r="J106" s="19" t="str">
        <f>IF(OR($B106="",$C106&gt;Setup!$B$16),"",IFERROR(INDEX('Fixture Library'!$E$4:$E$83,MATCH(Setup!$B$7&amp;"-"&amp;$C106,'Fixture Library'!$A$4:$A$83,0)),""))</f>
        <v/>
      </c>
      <c r="K106" s="19" t="str">
        <f>IF(OR($B106="",$C106&gt;Setup!$B$16),"",IFERROR(INDEX('Fixture Library'!$F$4:$F$83,MATCH(Setup!$B$7&amp;"-"&amp;$C106,'Fixture Library'!$A$4:$A$83,0)),""))</f>
        <v/>
      </c>
      <c r="L106" s="16">
        <f t="shared" si="12"/>
        <v>0</v>
      </c>
      <c r="M106" s="16">
        <f t="shared" si="13"/>
        <v>0</v>
      </c>
      <c r="N106" s="16">
        <f t="shared" si="14"/>
        <v>0</v>
      </c>
      <c r="O106" s="16">
        <f t="shared" si="15"/>
        <v>0</v>
      </c>
      <c r="P106" s="16">
        <f t="shared" si="19"/>
        <v>0</v>
      </c>
      <c r="Q106" s="16">
        <f t="shared" si="19"/>
        <v>0</v>
      </c>
      <c r="R106" s="16">
        <f t="shared" si="16"/>
        <v>0</v>
      </c>
    </row>
    <row r="107" spans="1:18">
      <c r="A107" s="16">
        <v>104</v>
      </c>
      <c r="B107" s="16" t="str">
        <f>IF(INT(($A107-1)/28)+1&lt;=Setup!$B$6,INDEX(Setup!$B$22:$B$29,INT(($A107-1)/28)+1),"")</f>
        <v/>
      </c>
      <c r="C107" s="16" t="str">
        <f t="shared" si="11"/>
        <v/>
      </c>
      <c r="D107" s="16" t="str">
        <f>IF(OR($B107="",$C107&gt;Setup!$B$16),"",IFERROR(INDEX('Fixture Library'!$D$4:$D$83,MATCH(Setup!$B$7&amp;"-"&amp;$C107,'Fixture Library'!$A$4:$A$83,0)),""))</f>
        <v/>
      </c>
      <c r="E107" s="17" t="str">
        <f>IF($J107="","",IFERROR(INDEX(Teams!$D$4:$D$67,MATCH($B107&amp;"-"&amp;$J107,Teams!$E$4:$E$67,0)),""))</f>
        <v/>
      </c>
      <c r="F107" s="16" t="str">
        <f>IF(OR($E107="",$G107="",$C107&gt;Setup!$B$16),"",IFERROR(INDEX(Results!$E$5:$E$228,INT(($A107-1)/28)*Setup!$B$16+$C107),""))</f>
        <v/>
      </c>
      <c r="G107" s="17" t="str">
        <f>IF($K107="","",IFERROR(INDEX(Teams!$D$4:$D$67,MATCH($B107&amp;"-"&amp;$K107,Teams!$E$4:$E$67,0)),""))</f>
        <v/>
      </c>
      <c r="H107" s="16" t="str">
        <f>IF(OR($E107="",$G107="",$C107&gt;Setup!$B$16),"",IFERROR(INDEX(Results!$F$5:$F$228,INT(($A107-1)/28)*Setup!$B$16+$C107),""))</f>
        <v/>
      </c>
      <c r="I107" s="18">
        <f t="shared" si="17"/>
        <v>0</v>
      </c>
      <c r="J107" s="19" t="str">
        <f>IF(OR($B107="",$C107&gt;Setup!$B$16),"",IFERROR(INDEX('Fixture Library'!$E$4:$E$83,MATCH(Setup!$B$7&amp;"-"&amp;$C107,'Fixture Library'!$A$4:$A$83,0)),""))</f>
        <v/>
      </c>
      <c r="K107" s="19" t="str">
        <f>IF(OR($B107="",$C107&gt;Setup!$B$16),"",IFERROR(INDEX('Fixture Library'!$F$4:$F$83,MATCH(Setup!$B$7&amp;"-"&amp;$C107,'Fixture Library'!$A$4:$A$83,0)),""))</f>
        <v/>
      </c>
      <c r="L107" s="16">
        <f t="shared" si="12"/>
        <v>0</v>
      </c>
      <c r="M107" s="16">
        <f t="shared" si="13"/>
        <v>0</v>
      </c>
      <c r="N107" s="16">
        <f t="shared" si="14"/>
        <v>0</v>
      </c>
      <c r="O107" s="16">
        <f t="shared" si="15"/>
        <v>0</v>
      </c>
      <c r="P107" s="16">
        <f t="shared" si="19"/>
        <v>0</v>
      </c>
      <c r="Q107" s="16">
        <f t="shared" si="19"/>
        <v>0</v>
      </c>
      <c r="R107" s="16">
        <f t="shared" si="16"/>
        <v>0</v>
      </c>
    </row>
    <row r="108" spans="1:18">
      <c r="A108" s="16">
        <v>105</v>
      </c>
      <c r="B108" s="16" t="str">
        <f>IF(INT(($A108-1)/28)+1&lt;=Setup!$B$6,INDEX(Setup!$B$22:$B$29,INT(($A108-1)/28)+1),"")</f>
        <v/>
      </c>
      <c r="C108" s="16" t="str">
        <f t="shared" si="11"/>
        <v/>
      </c>
      <c r="D108" s="16" t="str">
        <f>IF(OR($B108="",$C108&gt;Setup!$B$16),"",IFERROR(INDEX('Fixture Library'!$D$4:$D$83,MATCH(Setup!$B$7&amp;"-"&amp;$C108,'Fixture Library'!$A$4:$A$83,0)),""))</f>
        <v/>
      </c>
      <c r="E108" s="17" t="str">
        <f>IF($J108="","",IFERROR(INDEX(Teams!$D$4:$D$67,MATCH($B108&amp;"-"&amp;$J108,Teams!$E$4:$E$67,0)),""))</f>
        <v/>
      </c>
      <c r="F108" s="16" t="str">
        <f>IF(OR($E108="",$G108="",$C108&gt;Setup!$B$16),"",IFERROR(INDEX(Results!$E$5:$E$228,INT(($A108-1)/28)*Setup!$B$16+$C108),""))</f>
        <v/>
      </c>
      <c r="G108" s="17" t="str">
        <f>IF($K108="","",IFERROR(INDEX(Teams!$D$4:$D$67,MATCH($B108&amp;"-"&amp;$K108,Teams!$E$4:$E$67,0)),""))</f>
        <v/>
      </c>
      <c r="H108" s="16" t="str">
        <f>IF(OR($E108="",$G108="",$C108&gt;Setup!$B$16),"",IFERROR(INDEX(Results!$F$5:$F$228,INT(($A108-1)/28)*Setup!$B$16+$C108),""))</f>
        <v/>
      </c>
      <c r="I108" s="18">
        <f t="shared" si="17"/>
        <v>0</v>
      </c>
      <c r="J108" s="19" t="str">
        <f>IF(OR($B108="",$C108&gt;Setup!$B$16),"",IFERROR(INDEX('Fixture Library'!$E$4:$E$83,MATCH(Setup!$B$7&amp;"-"&amp;$C108,'Fixture Library'!$A$4:$A$83,0)),""))</f>
        <v/>
      </c>
      <c r="K108" s="19" t="str">
        <f>IF(OR($B108="",$C108&gt;Setup!$B$16),"",IFERROR(INDEX('Fixture Library'!$F$4:$F$83,MATCH(Setup!$B$7&amp;"-"&amp;$C108,'Fixture Library'!$A$4:$A$83,0)),""))</f>
        <v/>
      </c>
      <c r="L108" s="16">
        <f t="shared" si="12"/>
        <v>0</v>
      </c>
      <c r="M108" s="16">
        <f t="shared" si="13"/>
        <v>0</v>
      </c>
      <c r="N108" s="16">
        <f t="shared" si="14"/>
        <v>0</v>
      </c>
      <c r="O108" s="16">
        <f t="shared" si="15"/>
        <v>0</v>
      </c>
      <c r="P108" s="16">
        <f t="shared" si="19"/>
        <v>0</v>
      </c>
      <c r="Q108" s="16">
        <f t="shared" si="19"/>
        <v>0</v>
      </c>
      <c r="R108" s="16">
        <f t="shared" si="16"/>
        <v>0</v>
      </c>
    </row>
    <row r="109" spans="1:18">
      <c r="A109" s="16">
        <v>106</v>
      </c>
      <c r="B109" s="16" t="str">
        <f>IF(INT(($A109-1)/28)+1&lt;=Setup!$B$6,INDEX(Setup!$B$22:$B$29,INT(($A109-1)/28)+1),"")</f>
        <v/>
      </c>
      <c r="C109" s="16" t="str">
        <f t="shared" si="11"/>
        <v/>
      </c>
      <c r="D109" s="16" t="str">
        <f>IF(OR($B109="",$C109&gt;Setup!$B$16),"",IFERROR(INDEX('Fixture Library'!$D$4:$D$83,MATCH(Setup!$B$7&amp;"-"&amp;$C109,'Fixture Library'!$A$4:$A$83,0)),""))</f>
        <v/>
      </c>
      <c r="E109" s="17" t="str">
        <f>IF($J109="","",IFERROR(INDEX(Teams!$D$4:$D$67,MATCH($B109&amp;"-"&amp;$J109,Teams!$E$4:$E$67,0)),""))</f>
        <v/>
      </c>
      <c r="F109" s="16" t="str">
        <f>IF(OR($E109="",$G109="",$C109&gt;Setup!$B$16),"",IFERROR(INDEX(Results!$E$5:$E$228,INT(($A109-1)/28)*Setup!$B$16+$C109),""))</f>
        <v/>
      </c>
      <c r="G109" s="17" t="str">
        <f>IF($K109="","",IFERROR(INDEX(Teams!$D$4:$D$67,MATCH($B109&amp;"-"&amp;$K109,Teams!$E$4:$E$67,0)),""))</f>
        <v/>
      </c>
      <c r="H109" s="16" t="str">
        <f>IF(OR($E109="",$G109="",$C109&gt;Setup!$B$16),"",IFERROR(INDEX(Results!$F$5:$F$228,INT(($A109-1)/28)*Setup!$B$16+$C109),""))</f>
        <v/>
      </c>
      <c r="I109" s="18">
        <f t="shared" si="17"/>
        <v>0</v>
      </c>
      <c r="J109" s="19" t="str">
        <f>IF(OR($B109="",$C109&gt;Setup!$B$16),"",IFERROR(INDEX('Fixture Library'!$E$4:$E$83,MATCH(Setup!$B$7&amp;"-"&amp;$C109,'Fixture Library'!$A$4:$A$83,0)),""))</f>
        <v/>
      </c>
      <c r="K109" s="19" t="str">
        <f>IF(OR($B109="",$C109&gt;Setup!$B$16),"",IFERROR(INDEX('Fixture Library'!$F$4:$F$83,MATCH(Setup!$B$7&amp;"-"&amp;$C109,'Fixture Library'!$A$4:$A$83,0)),""))</f>
        <v/>
      </c>
      <c r="L109" s="16">
        <f t="shared" si="12"/>
        <v>0</v>
      </c>
      <c r="M109" s="16">
        <f t="shared" si="13"/>
        <v>0</v>
      </c>
      <c r="N109" s="16">
        <f t="shared" si="14"/>
        <v>0</v>
      </c>
      <c r="O109" s="16">
        <f t="shared" si="15"/>
        <v>0</v>
      </c>
      <c r="P109" s="16">
        <f t="shared" si="19"/>
        <v>0</v>
      </c>
      <c r="Q109" s="16">
        <f t="shared" si="19"/>
        <v>0</v>
      </c>
      <c r="R109" s="16">
        <f t="shared" si="16"/>
        <v>0</v>
      </c>
    </row>
    <row r="110" spans="1:18">
      <c r="A110" s="16">
        <v>107</v>
      </c>
      <c r="B110" s="16" t="str">
        <f>IF(INT(($A110-1)/28)+1&lt;=Setup!$B$6,INDEX(Setup!$B$22:$B$29,INT(($A110-1)/28)+1),"")</f>
        <v/>
      </c>
      <c r="C110" s="16" t="str">
        <f t="shared" si="11"/>
        <v/>
      </c>
      <c r="D110" s="16" t="str">
        <f>IF(OR($B110="",$C110&gt;Setup!$B$16),"",IFERROR(INDEX('Fixture Library'!$D$4:$D$83,MATCH(Setup!$B$7&amp;"-"&amp;$C110,'Fixture Library'!$A$4:$A$83,0)),""))</f>
        <v/>
      </c>
      <c r="E110" s="17" t="str">
        <f>IF($J110="","",IFERROR(INDEX(Teams!$D$4:$D$67,MATCH($B110&amp;"-"&amp;$J110,Teams!$E$4:$E$67,0)),""))</f>
        <v/>
      </c>
      <c r="F110" s="16" t="str">
        <f>IF(OR($E110="",$G110="",$C110&gt;Setup!$B$16),"",IFERROR(INDEX(Results!$E$5:$E$228,INT(($A110-1)/28)*Setup!$B$16+$C110),""))</f>
        <v/>
      </c>
      <c r="G110" s="17" t="str">
        <f>IF($K110="","",IFERROR(INDEX(Teams!$D$4:$D$67,MATCH($B110&amp;"-"&amp;$K110,Teams!$E$4:$E$67,0)),""))</f>
        <v/>
      </c>
      <c r="H110" s="16" t="str">
        <f>IF(OR($E110="",$G110="",$C110&gt;Setup!$B$16),"",IFERROR(INDEX(Results!$F$5:$F$228,INT(($A110-1)/28)*Setup!$B$16+$C110),""))</f>
        <v/>
      </c>
      <c r="I110" s="18">
        <f t="shared" si="17"/>
        <v>0</v>
      </c>
      <c r="J110" s="19" t="str">
        <f>IF(OR($B110="",$C110&gt;Setup!$B$16),"",IFERROR(INDEX('Fixture Library'!$E$4:$E$83,MATCH(Setup!$B$7&amp;"-"&amp;$C110,'Fixture Library'!$A$4:$A$83,0)),""))</f>
        <v/>
      </c>
      <c r="K110" s="19" t="str">
        <f>IF(OR($B110="",$C110&gt;Setup!$B$16),"",IFERROR(INDEX('Fixture Library'!$F$4:$F$83,MATCH(Setup!$B$7&amp;"-"&amp;$C110,'Fixture Library'!$A$4:$A$83,0)),""))</f>
        <v/>
      </c>
      <c r="L110" s="16">
        <f t="shared" si="12"/>
        <v>0</v>
      </c>
      <c r="M110" s="16">
        <f t="shared" si="13"/>
        <v>0</v>
      </c>
      <c r="N110" s="16">
        <f t="shared" si="14"/>
        <v>0</v>
      </c>
      <c r="O110" s="16">
        <f t="shared" si="15"/>
        <v>0</v>
      </c>
      <c r="P110" s="16">
        <f t="shared" si="19"/>
        <v>0</v>
      </c>
      <c r="Q110" s="16">
        <f t="shared" si="19"/>
        <v>0</v>
      </c>
      <c r="R110" s="16">
        <f t="shared" si="16"/>
        <v>0</v>
      </c>
    </row>
    <row r="111" spans="1:18">
      <c r="A111" s="16">
        <v>108</v>
      </c>
      <c r="B111" s="16" t="str">
        <f>IF(INT(($A111-1)/28)+1&lt;=Setup!$B$6,INDEX(Setup!$B$22:$B$29,INT(($A111-1)/28)+1),"")</f>
        <v/>
      </c>
      <c r="C111" s="16" t="str">
        <f t="shared" si="11"/>
        <v/>
      </c>
      <c r="D111" s="16" t="str">
        <f>IF(OR($B111="",$C111&gt;Setup!$B$16),"",IFERROR(INDEX('Fixture Library'!$D$4:$D$83,MATCH(Setup!$B$7&amp;"-"&amp;$C111,'Fixture Library'!$A$4:$A$83,0)),""))</f>
        <v/>
      </c>
      <c r="E111" s="17" t="str">
        <f>IF($J111="","",IFERROR(INDEX(Teams!$D$4:$D$67,MATCH($B111&amp;"-"&amp;$J111,Teams!$E$4:$E$67,0)),""))</f>
        <v/>
      </c>
      <c r="F111" s="16" t="str">
        <f>IF(OR($E111="",$G111="",$C111&gt;Setup!$B$16),"",IFERROR(INDEX(Results!$E$5:$E$228,INT(($A111-1)/28)*Setup!$B$16+$C111),""))</f>
        <v/>
      </c>
      <c r="G111" s="17" t="str">
        <f>IF($K111="","",IFERROR(INDEX(Teams!$D$4:$D$67,MATCH($B111&amp;"-"&amp;$K111,Teams!$E$4:$E$67,0)),""))</f>
        <v/>
      </c>
      <c r="H111" s="16" t="str">
        <f>IF(OR($E111="",$G111="",$C111&gt;Setup!$B$16),"",IFERROR(INDEX(Results!$F$5:$F$228,INT(($A111-1)/28)*Setup!$B$16+$C111),""))</f>
        <v/>
      </c>
      <c r="I111" s="18">
        <f t="shared" si="17"/>
        <v>0</v>
      </c>
      <c r="J111" s="19" t="str">
        <f>IF(OR($B111="",$C111&gt;Setup!$B$16),"",IFERROR(INDEX('Fixture Library'!$E$4:$E$83,MATCH(Setup!$B$7&amp;"-"&amp;$C111,'Fixture Library'!$A$4:$A$83,0)),""))</f>
        <v/>
      </c>
      <c r="K111" s="19" t="str">
        <f>IF(OR($B111="",$C111&gt;Setup!$B$16),"",IFERROR(INDEX('Fixture Library'!$F$4:$F$83,MATCH(Setup!$B$7&amp;"-"&amp;$C111,'Fixture Library'!$A$4:$A$83,0)),""))</f>
        <v/>
      </c>
      <c r="L111" s="16">
        <f t="shared" si="12"/>
        <v>0</v>
      </c>
      <c r="M111" s="16">
        <f t="shared" si="13"/>
        <v>0</v>
      </c>
      <c r="N111" s="16">
        <f t="shared" si="14"/>
        <v>0</v>
      </c>
      <c r="O111" s="16">
        <f t="shared" si="15"/>
        <v>0</v>
      </c>
      <c r="P111" s="16">
        <f t="shared" si="19"/>
        <v>0</v>
      </c>
      <c r="Q111" s="16">
        <f t="shared" si="19"/>
        <v>0</v>
      </c>
      <c r="R111" s="16">
        <f t="shared" si="16"/>
        <v>0</v>
      </c>
    </row>
    <row r="112" spans="1:18">
      <c r="A112" s="16">
        <v>109</v>
      </c>
      <c r="B112" s="16" t="str">
        <f>IF(INT(($A112-1)/28)+1&lt;=Setup!$B$6,INDEX(Setup!$B$22:$B$29,INT(($A112-1)/28)+1),"")</f>
        <v/>
      </c>
      <c r="C112" s="16" t="str">
        <f t="shared" si="11"/>
        <v/>
      </c>
      <c r="D112" s="16" t="str">
        <f>IF(OR($B112="",$C112&gt;Setup!$B$16),"",IFERROR(INDEX('Fixture Library'!$D$4:$D$83,MATCH(Setup!$B$7&amp;"-"&amp;$C112,'Fixture Library'!$A$4:$A$83,0)),""))</f>
        <v/>
      </c>
      <c r="E112" s="17" t="str">
        <f>IF($J112="","",IFERROR(INDEX(Teams!$D$4:$D$67,MATCH($B112&amp;"-"&amp;$J112,Teams!$E$4:$E$67,0)),""))</f>
        <v/>
      </c>
      <c r="F112" s="16" t="str">
        <f>IF(OR($E112="",$G112="",$C112&gt;Setup!$B$16),"",IFERROR(INDEX(Results!$E$5:$E$228,INT(($A112-1)/28)*Setup!$B$16+$C112),""))</f>
        <v/>
      </c>
      <c r="G112" s="17" t="str">
        <f>IF($K112="","",IFERROR(INDEX(Teams!$D$4:$D$67,MATCH($B112&amp;"-"&amp;$K112,Teams!$E$4:$E$67,0)),""))</f>
        <v/>
      </c>
      <c r="H112" s="16" t="str">
        <f>IF(OR($E112="",$G112="",$C112&gt;Setup!$B$16),"",IFERROR(INDEX(Results!$F$5:$F$228,INT(($A112-1)/28)*Setup!$B$16+$C112),""))</f>
        <v/>
      </c>
      <c r="I112" s="18">
        <f t="shared" si="17"/>
        <v>0</v>
      </c>
      <c r="J112" s="19" t="str">
        <f>IF(OR($B112="",$C112&gt;Setup!$B$16),"",IFERROR(INDEX('Fixture Library'!$E$4:$E$83,MATCH(Setup!$B$7&amp;"-"&amp;$C112,'Fixture Library'!$A$4:$A$83,0)),""))</f>
        <v/>
      </c>
      <c r="K112" s="19" t="str">
        <f>IF(OR($B112="",$C112&gt;Setup!$B$16),"",IFERROR(INDEX('Fixture Library'!$F$4:$F$83,MATCH(Setup!$B$7&amp;"-"&amp;$C112,'Fixture Library'!$A$4:$A$83,0)),""))</f>
        <v/>
      </c>
      <c r="L112" s="16">
        <f t="shared" si="12"/>
        <v>0</v>
      </c>
      <c r="M112" s="16">
        <f t="shared" si="13"/>
        <v>0</v>
      </c>
      <c r="N112" s="16">
        <f t="shared" si="14"/>
        <v>0</v>
      </c>
      <c r="O112" s="16">
        <f t="shared" si="15"/>
        <v>0</v>
      </c>
      <c r="P112" s="16">
        <f t="shared" si="19"/>
        <v>0</v>
      </c>
      <c r="Q112" s="16">
        <f t="shared" si="19"/>
        <v>0</v>
      </c>
      <c r="R112" s="16">
        <f t="shared" si="16"/>
        <v>0</v>
      </c>
    </row>
    <row r="113" spans="1:18">
      <c r="A113" s="16">
        <v>110</v>
      </c>
      <c r="B113" s="16" t="str">
        <f>IF(INT(($A113-1)/28)+1&lt;=Setup!$B$6,INDEX(Setup!$B$22:$B$29,INT(($A113-1)/28)+1),"")</f>
        <v/>
      </c>
      <c r="C113" s="16" t="str">
        <f t="shared" si="11"/>
        <v/>
      </c>
      <c r="D113" s="16" t="str">
        <f>IF(OR($B113="",$C113&gt;Setup!$B$16),"",IFERROR(INDEX('Fixture Library'!$D$4:$D$83,MATCH(Setup!$B$7&amp;"-"&amp;$C113,'Fixture Library'!$A$4:$A$83,0)),""))</f>
        <v/>
      </c>
      <c r="E113" s="17" t="str">
        <f>IF($J113="","",IFERROR(INDEX(Teams!$D$4:$D$67,MATCH($B113&amp;"-"&amp;$J113,Teams!$E$4:$E$67,0)),""))</f>
        <v/>
      </c>
      <c r="F113" s="16" t="str">
        <f>IF(OR($E113="",$G113="",$C113&gt;Setup!$B$16),"",IFERROR(INDEX(Results!$E$5:$E$228,INT(($A113-1)/28)*Setup!$B$16+$C113),""))</f>
        <v/>
      </c>
      <c r="G113" s="17" t="str">
        <f>IF($K113="","",IFERROR(INDEX(Teams!$D$4:$D$67,MATCH($B113&amp;"-"&amp;$K113,Teams!$E$4:$E$67,0)),""))</f>
        <v/>
      </c>
      <c r="H113" s="16" t="str">
        <f>IF(OR($E113="",$G113="",$C113&gt;Setup!$B$16),"",IFERROR(INDEX(Results!$F$5:$F$228,INT(($A113-1)/28)*Setup!$B$16+$C113),""))</f>
        <v/>
      </c>
      <c r="I113" s="18">
        <f t="shared" si="17"/>
        <v>0</v>
      </c>
      <c r="J113" s="19" t="str">
        <f>IF(OR($B113="",$C113&gt;Setup!$B$16),"",IFERROR(INDEX('Fixture Library'!$E$4:$E$83,MATCH(Setup!$B$7&amp;"-"&amp;$C113,'Fixture Library'!$A$4:$A$83,0)),""))</f>
        <v/>
      </c>
      <c r="K113" s="19" t="str">
        <f>IF(OR($B113="",$C113&gt;Setup!$B$16),"",IFERROR(INDEX('Fixture Library'!$F$4:$F$83,MATCH(Setup!$B$7&amp;"-"&amp;$C113,'Fixture Library'!$A$4:$A$83,0)),""))</f>
        <v/>
      </c>
      <c r="L113" s="16">
        <f t="shared" si="12"/>
        <v>0</v>
      </c>
      <c r="M113" s="16">
        <f t="shared" si="13"/>
        <v>0</v>
      </c>
      <c r="N113" s="16">
        <f t="shared" si="14"/>
        <v>0</v>
      </c>
      <c r="O113" s="16">
        <f t="shared" si="15"/>
        <v>0</v>
      </c>
      <c r="P113" s="16">
        <f t="shared" si="19"/>
        <v>0</v>
      </c>
      <c r="Q113" s="16">
        <f t="shared" si="19"/>
        <v>0</v>
      </c>
      <c r="R113" s="16">
        <f t="shared" si="16"/>
        <v>0</v>
      </c>
    </row>
    <row r="114" spans="1:18">
      <c r="A114" s="16">
        <v>111</v>
      </c>
      <c r="B114" s="16" t="str">
        <f>IF(INT(($A114-1)/28)+1&lt;=Setup!$B$6,INDEX(Setup!$B$22:$B$29,INT(($A114-1)/28)+1),"")</f>
        <v/>
      </c>
      <c r="C114" s="16" t="str">
        <f t="shared" si="11"/>
        <v/>
      </c>
      <c r="D114" s="16" t="str">
        <f>IF(OR($B114="",$C114&gt;Setup!$B$16),"",IFERROR(INDEX('Fixture Library'!$D$4:$D$83,MATCH(Setup!$B$7&amp;"-"&amp;$C114,'Fixture Library'!$A$4:$A$83,0)),""))</f>
        <v/>
      </c>
      <c r="E114" s="17" t="str">
        <f>IF($J114="","",IFERROR(INDEX(Teams!$D$4:$D$67,MATCH($B114&amp;"-"&amp;$J114,Teams!$E$4:$E$67,0)),""))</f>
        <v/>
      </c>
      <c r="F114" s="16" t="str">
        <f>IF(OR($E114="",$G114="",$C114&gt;Setup!$B$16),"",IFERROR(INDEX(Results!$E$5:$E$228,INT(($A114-1)/28)*Setup!$B$16+$C114),""))</f>
        <v/>
      </c>
      <c r="G114" s="17" t="str">
        <f>IF($K114="","",IFERROR(INDEX(Teams!$D$4:$D$67,MATCH($B114&amp;"-"&amp;$K114,Teams!$E$4:$E$67,0)),""))</f>
        <v/>
      </c>
      <c r="H114" s="16" t="str">
        <f>IF(OR($E114="",$G114="",$C114&gt;Setup!$B$16),"",IFERROR(INDEX(Results!$F$5:$F$228,INT(($A114-1)/28)*Setup!$B$16+$C114),""))</f>
        <v/>
      </c>
      <c r="I114" s="18">
        <f t="shared" si="17"/>
        <v>0</v>
      </c>
      <c r="J114" s="19" t="str">
        <f>IF(OR($B114="",$C114&gt;Setup!$B$16),"",IFERROR(INDEX('Fixture Library'!$E$4:$E$83,MATCH(Setup!$B$7&amp;"-"&amp;$C114,'Fixture Library'!$A$4:$A$83,0)),""))</f>
        <v/>
      </c>
      <c r="K114" s="19" t="str">
        <f>IF(OR($B114="",$C114&gt;Setup!$B$16),"",IFERROR(INDEX('Fixture Library'!$F$4:$F$83,MATCH(Setup!$B$7&amp;"-"&amp;$C114,'Fixture Library'!$A$4:$A$83,0)),""))</f>
        <v/>
      </c>
      <c r="L114" s="16">
        <f t="shared" si="12"/>
        <v>0</v>
      </c>
      <c r="M114" s="16">
        <f t="shared" si="13"/>
        <v>0</v>
      </c>
      <c r="N114" s="16">
        <f t="shared" si="14"/>
        <v>0</v>
      </c>
      <c r="O114" s="16">
        <f t="shared" si="15"/>
        <v>0</v>
      </c>
      <c r="P114" s="16">
        <f t="shared" si="19"/>
        <v>0</v>
      </c>
      <c r="Q114" s="16">
        <f t="shared" si="19"/>
        <v>0</v>
      </c>
      <c r="R114" s="16">
        <f t="shared" si="16"/>
        <v>0</v>
      </c>
    </row>
    <row r="115" spans="1:18">
      <c r="A115" s="16">
        <v>112</v>
      </c>
      <c r="B115" s="16" t="str">
        <f>IF(INT(($A115-1)/28)+1&lt;=Setup!$B$6,INDEX(Setup!$B$22:$B$29,INT(($A115-1)/28)+1),"")</f>
        <v/>
      </c>
      <c r="C115" s="16" t="str">
        <f t="shared" si="11"/>
        <v/>
      </c>
      <c r="D115" s="16" t="str">
        <f>IF(OR($B115="",$C115&gt;Setup!$B$16),"",IFERROR(INDEX('Fixture Library'!$D$4:$D$83,MATCH(Setup!$B$7&amp;"-"&amp;$C115,'Fixture Library'!$A$4:$A$83,0)),""))</f>
        <v/>
      </c>
      <c r="E115" s="17" t="str">
        <f>IF($J115="","",IFERROR(INDEX(Teams!$D$4:$D$67,MATCH($B115&amp;"-"&amp;$J115,Teams!$E$4:$E$67,0)),""))</f>
        <v/>
      </c>
      <c r="F115" s="16" t="str">
        <f>IF(OR($E115="",$G115="",$C115&gt;Setup!$B$16),"",IFERROR(INDEX(Results!$E$5:$E$228,INT(($A115-1)/28)*Setup!$B$16+$C115),""))</f>
        <v/>
      </c>
      <c r="G115" s="17" t="str">
        <f>IF($K115="","",IFERROR(INDEX(Teams!$D$4:$D$67,MATCH($B115&amp;"-"&amp;$K115,Teams!$E$4:$E$67,0)),""))</f>
        <v/>
      </c>
      <c r="H115" s="16" t="str">
        <f>IF(OR($E115="",$G115="",$C115&gt;Setup!$B$16),"",IFERROR(INDEX(Results!$F$5:$F$228,INT(($A115-1)/28)*Setup!$B$16+$C115),""))</f>
        <v/>
      </c>
      <c r="I115" s="18">
        <f t="shared" si="17"/>
        <v>0</v>
      </c>
      <c r="J115" s="19" t="str">
        <f>IF(OR($B115="",$C115&gt;Setup!$B$16),"",IFERROR(INDEX('Fixture Library'!$E$4:$E$83,MATCH(Setup!$B$7&amp;"-"&amp;$C115,'Fixture Library'!$A$4:$A$83,0)),""))</f>
        <v/>
      </c>
      <c r="K115" s="19" t="str">
        <f>IF(OR($B115="",$C115&gt;Setup!$B$16),"",IFERROR(INDEX('Fixture Library'!$F$4:$F$83,MATCH(Setup!$B$7&amp;"-"&amp;$C115,'Fixture Library'!$A$4:$A$83,0)),""))</f>
        <v/>
      </c>
      <c r="L115" s="16">
        <f t="shared" si="12"/>
        <v>0</v>
      </c>
      <c r="M115" s="16">
        <f t="shared" si="13"/>
        <v>0</v>
      </c>
      <c r="N115" s="16">
        <f t="shared" si="14"/>
        <v>0</v>
      </c>
      <c r="O115" s="16">
        <f t="shared" si="15"/>
        <v>0</v>
      </c>
      <c r="P115" s="16">
        <f t="shared" si="19"/>
        <v>0</v>
      </c>
      <c r="Q115" s="16">
        <f t="shared" si="19"/>
        <v>0</v>
      </c>
      <c r="R115" s="16">
        <f t="shared" si="16"/>
        <v>0</v>
      </c>
    </row>
    <row r="116" spans="1:18">
      <c r="A116" s="16">
        <v>113</v>
      </c>
      <c r="B116" s="16" t="str">
        <f>IF(INT(($A116-1)/28)+1&lt;=Setup!$B$6,INDEX(Setup!$B$22:$B$29,INT(($A116-1)/28)+1),"")</f>
        <v/>
      </c>
      <c r="C116" s="16" t="str">
        <f t="shared" si="11"/>
        <v/>
      </c>
      <c r="D116" s="16" t="str">
        <f>IF(OR($B116="",$C116&gt;Setup!$B$16),"",IFERROR(INDEX('Fixture Library'!$D$4:$D$83,MATCH(Setup!$B$7&amp;"-"&amp;$C116,'Fixture Library'!$A$4:$A$83,0)),""))</f>
        <v/>
      </c>
      <c r="E116" s="17" t="str">
        <f>IF($J116="","",IFERROR(INDEX(Teams!$D$4:$D$67,MATCH($B116&amp;"-"&amp;$J116,Teams!$E$4:$E$67,0)),""))</f>
        <v/>
      </c>
      <c r="F116" s="16" t="str">
        <f>IF(OR($E116="",$G116="",$C116&gt;Setup!$B$16),"",IFERROR(INDEX(Results!$E$5:$E$228,INT(($A116-1)/28)*Setup!$B$16+$C116),""))</f>
        <v/>
      </c>
      <c r="G116" s="17" t="str">
        <f>IF($K116="","",IFERROR(INDEX(Teams!$D$4:$D$67,MATCH($B116&amp;"-"&amp;$K116,Teams!$E$4:$E$67,0)),""))</f>
        <v/>
      </c>
      <c r="H116" s="16" t="str">
        <f>IF(OR($E116="",$G116="",$C116&gt;Setup!$B$16),"",IFERROR(INDEX(Results!$F$5:$F$228,INT(($A116-1)/28)*Setup!$B$16+$C116),""))</f>
        <v/>
      </c>
      <c r="I116" s="18">
        <f t="shared" si="17"/>
        <v>0</v>
      </c>
      <c r="J116" s="19" t="str">
        <f>IF(OR($B116="",$C116&gt;Setup!$B$16),"",IFERROR(INDEX('Fixture Library'!$E$4:$E$83,MATCH(Setup!$B$7&amp;"-"&amp;$C116,'Fixture Library'!$A$4:$A$83,0)),""))</f>
        <v/>
      </c>
      <c r="K116" s="19" t="str">
        <f>IF(OR($B116="",$C116&gt;Setup!$B$16),"",IFERROR(INDEX('Fixture Library'!$F$4:$F$83,MATCH(Setup!$B$7&amp;"-"&amp;$C116,'Fixture Library'!$A$4:$A$83,0)),""))</f>
        <v/>
      </c>
      <c r="L116" s="16">
        <f t="shared" si="12"/>
        <v>0</v>
      </c>
      <c r="M116" s="16">
        <f t="shared" si="13"/>
        <v>0</v>
      </c>
      <c r="N116" s="16">
        <f t="shared" si="14"/>
        <v>0</v>
      </c>
      <c r="O116" s="16">
        <f t="shared" si="15"/>
        <v>0</v>
      </c>
      <c r="P116" s="16">
        <f t="shared" si="19"/>
        <v>0</v>
      </c>
      <c r="Q116" s="16">
        <f t="shared" si="19"/>
        <v>0</v>
      </c>
      <c r="R116" s="16">
        <f t="shared" si="16"/>
        <v>0</v>
      </c>
    </row>
    <row r="117" spans="1:18">
      <c r="A117" s="16">
        <v>114</v>
      </c>
      <c r="B117" s="16" t="str">
        <f>IF(INT(($A117-1)/28)+1&lt;=Setup!$B$6,INDEX(Setup!$B$22:$B$29,INT(($A117-1)/28)+1),"")</f>
        <v/>
      </c>
      <c r="C117" s="16" t="str">
        <f t="shared" si="11"/>
        <v/>
      </c>
      <c r="D117" s="16" t="str">
        <f>IF(OR($B117="",$C117&gt;Setup!$B$16),"",IFERROR(INDEX('Fixture Library'!$D$4:$D$83,MATCH(Setup!$B$7&amp;"-"&amp;$C117,'Fixture Library'!$A$4:$A$83,0)),""))</f>
        <v/>
      </c>
      <c r="E117" s="17" t="str">
        <f>IF($J117="","",IFERROR(INDEX(Teams!$D$4:$D$67,MATCH($B117&amp;"-"&amp;$J117,Teams!$E$4:$E$67,0)),""))</f>
        <v/>
      </c>
      <c r="F117" s="16" t="str">
        <f>IF(OR($E117="",$G117="",$C117&gt;Setup!$B$16),"",IFERROR(INDEX(Results!$E$5:$E$228,INT(($A117-1)/28)*Setup!$B$16+$C117),""))</f>
        <v/>
      </c>
      <c r="G117" s="17" t="str">
        <f>IF($K117="","",IFERROR(INDEX(Teams!$D$4:$D$67,MATCH($B117&amp;"-"&amp;$K117,Teams!$E$4:$E$67,0)),""))</f>
        <v/>
      </c>
      <c r="H117" s="16" t="str">
        <f>IF(OR($E117="",$G117="",$C117&gt;Setup!$B$16),"",IFERROR(INDEX(Results!$F$5:$F$228,INT(($A117-1)/28)*Setup!$B$16+$C117),""))</f>
        <v/>
      </c>
      <c r="I117" s="18">
        <f t="shared" si="17"/>
        <v>0</v>
      </c>
      <c r="J117" s="19" t="str">
        <f>IF(OR($B117="",$C117&gt;Setup!$B$16),"",IFERROR(INDEX('Fixture Library'!$E$4:$E$83,MATCH(Setup!$B$7&amp;"-"&amp;$C117,'Fixture Library'!$A$4:$A$83,0)),""))</f>
        <v/>
      </c>
      <c r="K117" s="19" t="str">
        <f>IF(OR($B117="",$C117&gt;Setup!$B$16),"",IFERROR(INDEX('Fixture Library'!$F$4:$F$83,MATCH(Setup!$B$7&amp;"-"&amp;$C117,'Fixture Library'!$A$4:$A$83,0)),""))</f>
        <v/>
      </c>
      <c r="L117" s="16">
        <f t="shared" si="12"/>
        <v>0</v>
      </c>
      <c r="M117" s="16">
        <f t="shared" si="13"/>
        <v>0</v>
      </c>
      <c r="N117" s="16">
        <f t="shared" si="14"/>
        <v>0</v>
      </c>
      <c r="O117" s="16">
        <f t="shared" si="15"/>
        <v>0</v>
      </c>
      <c r="P117" s="16">
        <f t="shared" si="19"/>
        <v>0</v>
      </c>
      <c r="Q117" s="16">
        <f t="shared" si="19"/>
        <v>0</v>
      </c>
      <c r="R117" s="16">
        <f t="shared" si="16"/>
        <v>0</v>
      </c>
    </row>
    <row r="118" spans="1:18">
      <c r="A118" s="16">
        <v>115</v>
      </c>
      <c r="B118" s="16" t="str">
        <f>IF(INT(($A118-1)/28)+1&lt;=Setup!$B$6,INDEX(Setup!$B$22:$B$29,INT(($A118-1)/28)+1),"")</f>
        <v/>
      </c>
      <c r="C118" s="16" t="str">
        <f t="shared" si="11"/>
        <v/>
      </c>
      <c r="D118" s="16" t="str">
        <f>IF(OR($B118="",$C118&gt;Setup!$B$16),"",IFERROR(INDEX('Fixture Library'!$D$4:$D$83,MATCH(Setup!$B$7&amp;"-"&amp;$C118,'Fixture Library'!$A$4:$A$83,0)),""))</f>
        <v/>
      </c>
      <c r="E118" s="17" t="str">
        <f>IF($J118="","",IFERROR(INDEX(Teams!$D$4:$D$67,MATCH($B118&amp;"-"&amp;$J118,Teams!$E$4:$E$67,0)),""))</f>
        <v/>
      </c>
      <c r="F118" s="16" t="str">
        <f>IF(OR($E118="",$G118="",$C118&gt;Setup!$B$16),"",IFERROR(INDEX(Results!$E$5:$E$228,INT(($A118-1)/28)*Setup!$B$16+$C118),""))</f>
        <v/>
      </c>
      <c r="G118" s="17" t="str">
        <f>IF($K118="","",IFERROR(INDEX(Teams!$D$4:$D$67,MATCH($B118&amp;"-"&amp;$K118,Teams!$E$4:$E$67,0)),""))</f>
        <v/>
      </c>
      <c r="H118" s="16" t="str">
        <f>IF(OR($E118="",$G118="",$C118&gt;Setup!$B$16),"",IFERROR(INDEX(Results!$F$5:$F$228,INT(($A118-1)/28)*Setup!$B$16+$C118),""))</f>
        <v/>
      </c>
      <c r="I118" s="18">
        <f t="shared" si="17"/>
        <v>0</v>
      </c>
      <c r="J118" s="19" t="str">
        <f>IF(OR($B118="",$C118&gt;Setup!$B$16),"",IFERROR(INDEX('Fixture Library'!$E$4:$E$83,MATCH(Setup!$B$7&amp;"-"&amp;$C118,'Fixture Library'!$A$4:$A$83,0)),""))</f>
        <v/>
      </c>
      <c r="K118" s="19" t="str">
        <f>IF(OR($B118="",$C118&gt;Setup!$B$16),"",IFERROR(INDEX('Fixture Library'!$F$4:$F$83,MATCH(Setup!$B$7&amp;"-"&amp;$C118,'Fixture Library'!$A$4:$A$83,0)),""))</f>
        <v/>
      </c>
      <c r="L118" s="16">
        <f t="shared" si="12"/>
        <v>0</v>
      </c>
      <c r="M118" s="16">
        <f t="shared" si="13"/>
        <v>0</v>
      </c>
      <c r="N118" s="16">
        <f t="shared" si="14"/>
        <v>0</v>
      </c>
      <c r="O118" s="16">
        <f t="shared" si="15"/>
        <v>0</v>
      </c>
      <c r="P118" s="16">
        <f t="shared" si="19"/>
        <v>0</v>
      </c>
      <c r="Q118" s="16">
        <f t="shared" si="19"/>
        <v>0</v>
      </c>
      <c r="R118" s="16">
        <f t="shared" si="16"/>
        <v>0</v>
      </c>
    </row>
    <row r="119" spans="1:18">
      <c r="A119" s="16">
        <v>116</v>
      </c>
      <c r="B119" s="16" t="str">
        <f>IF(INT(($A119-1)/28)+1&lt;=Setup!$B$6,INDEX(Setup!$B$22:$B$29,INT(($A119-1)/28)+1),"")</f>
        <v/>
      </c>
      <c r="C119" s="16" t="str">
        <f t="shared" si="11"/>
        <v/>
      </c>
      <c r="D119" s="16" t="str">
        <f>IF(OR($B119="",$C119&gt;Setup!$B$16),"",IFERROR(INDEX('Fixture Library'!$D$4:$D$83,MATCH(Setup!$B$7&amp;"-"&amp;$C119,'Fixture Library'!$A$4:$A$83,0)),""))</f>
        <v/>
      </c>
      <c r="E119" s="17" t="str">
        <f>IF($J119="","",IFERROR(INDEX(Teams!$D$4:$D$67,MATCH($B119&amp;"-"&amp;$J119,Teams!$E$4:$E$67,0)),""))</f>
        <v/>
      </c>
      <c r="F119" s="16" t="str">
        <f>IF(OR($E119="",$G119="",$C119&gt;Setup!$B$16),"",IFERROR(INDEX(Results!$E$5:$E$228,INT(($A119-1)/28)*Setup!$B$16+$C119),""))</f>
        <v/>
      </c>
      <c r="G119" s="17" t="str">
        <f>IF($K119="","",IFERROR(INDEX(Teams!$D$4:$D$67,MATCH($B119&amp;"-"&amp;$K119,Teams!$E$4:$E$67,0)),""))</f>
        <v/>
      </c>
      <c r="H119" s="16" t="str">
        <f>IF(OR($E119="",$G119="",$C119&gt;Setup!$B$16),"",IFERROR(INDEX(Results!$F$5:$F$228,INT(($A119-1)/28)*Setup!$B$16+$C119),""))</f>
        <v/>
      </c>
      <c r="I119" s="18">
        <f t="shared" si="17"/>
        <v>0</v>
      </c>
      <c r="J119" s="19" t="str">
        <f>IF(OR($B119="",$C119&gt;Setup!$B$16),"",IFERROR(INDEX('Fixture Library'!$E$4:$E$83,MATCH(Setup!$B$7&amp;"-"&amp;$C119,'Fixture Library'!$A$4:$A$83,0)),""))</f>
        <v/>
      </c>
      <c r="K119" s="19" t="str">
        <f>IF(OR($B119="",$C119&gt;Setup!$B$16),"",IFERROR(INDEX('Fixture Library'!$F$4:$F$83,MATCH(Setup!$B$7&amp;"-"&amp;$C119,'Fixture Library'!$A$4:$A$83,0)),""))</f>
        <v/>
      </c>
      <c r="L119" s="16">
        <f t="shared" si="12"/>
        <v>0</v>
      </c>
      <c r="M119" s="16">
        <f t="shared" si="13"/>
        <v>0</v>
      </c>
      <c r="N119" s="16">
        <f t="shared" si="14"/>
        <v>0</v>
      </c>
      <c r="O119" s="16">
        <f t="shared" si="15"/>
        <v>0</v>
      </c>
      <c r="P119" s="16">
        <f t="shared" si="19"/>
        <v>0</v>
      </c>
      <c r="Q119" s="16">
        <f t="shared" si="19"/>
        <v>0</v>
      </c>
      <c r="R119" s="16">
        <f t="shared" si="16"/>
        <v>0</v>
      </c>
    </row>
    <row r="120" spans="1:18">
      <c r="A120" s="16">
        <v>117</v>
      </c>
      <c r="B120" s="16" t="str">
        <f>IF(INT(($A120-1)/28)+1&lt;=Setup!$B$6,INDEX(Setup!$B$22:$B$29,INT(($A120-1)/28)+1),"")</f>
        <v/>
      </c>
      <c r="C120" s="16" t="str">
        <f t="shared" si="11"/>
        <v/>
      </c>
      <c r="D120" s="16" t="str">
        <f>IF(OR($B120="",$C120&gt;Setup!$B$16),"",IFERROR(INDEX('Fixture Library'!$D$4:$D$83,MATCH(Setup!$B$7&amp;"-"&amp;$C120,'Fixture Library'!$A$4:$A$83,0)),""))</f>
        <v/>
      </c>
      <c r="E120" s="17" t="str">
        <f>IF($J120="","",IFERROR(INDEX(Teams!$D$4:$D$67,MATCH($B120&amp;"-"&amp;$J120,Teams!$E$4:$E$67,0)),""))</f>
        <v/>
      </c>
      <c r="F120" s="16" t="str">
        <f>IF(OR($E120="",$G120="",$C120&gt;Setup!$B$16),"",IFERROR(INDEX(Results!$E$5:$E$228,INT(($A120-1)/28)*Setup!$B$16+$C120),""))</f>
        <v/>
      </c>
      <c r="G120" s="17" t="str">
        <f>IF($K120="","",IFERROR(INDEX(Teams!$D$4:$D$67,MATCH($B120&amp;"-"&amp;$K120,Teams!$E$4:$E$67,0)),""))</f>
        <v/>
      </c>
      <c r="H120" s="16" t="str">
        <f>IF(OR($E120="",$G120="",$C120&gt;Setup!$B$16),"",IFERROR(INDEX(Results!$F$5:$F$228,INT(($A120-1)/28)*Setup!$B$16+$C120),""))</f>
        <v/>
      </c>
      <c r="I120" s="18">
        <f t="shared" si="17"/>
        <v>0</v>
      </c>
      <c r="J120" s="19" t="str">
        <f>IF(OR($B120="",$C120&gt;Setup!$B$16),"",IFERROR(INDEX('Fixture Library'!$E$4:$E$83,MATCH(Setup!$B$7&amp;"-"&amp;$C120,'Fixture Library'!$A$4:$A$83,0)),""))</f>
        <v/>
      </c>
      <c r="K120" s="19" t="str">
        <f>IF(OR($B120="",$C120&gt;Setup!$B$16),"",IFERROR(INDEX('Fixture Library'!$F$4:$F$83,MATCH(Setup!$B$7&amp;"-"&amp;$C120,'Fixture Library'!$A$4:$A$83,0)),""))</f>
        <v/>
      </c>
      <c r="L120" s="16">
        <f t="shared" si="12"/>
        <v>0</v>
      </c>
      <c r="M120" s="16">
        <f t="shared" si="13"/>
        <v>0</v>
      </c>
      <c r="N120" s="16">
        <f t="shared" si="14"/>
        <v>0</v>
      </c>
      <c r="O120" s="16">
        <f t="shared" si="15"/>
        <v>0</v>
      </c>
      <c r="P120" s="16">
        <f t="shared" si="19"/>
        <v>0</v>
      </c>
      <c r="Q120" s="16">
        <f t="shared" si="19"/>
        <v>0</v>
      </c>
      <c r="R120" s="16">
        <f t="shared" si="16"/>
        <v>0</v>
      </c>
    </row>
    <row r="121" spans="1:18">
      <c r="A121" s="16">
        <v>118</v>
      </c>
      <c r="B121" s="16" t="str">
        <f>IF(INT(($A121-1)/28)+1&lt;=Setup!$B$6,INDEX(Setup!$B$22:$B$29,INT(($A121-1)/28)+1),"")</f>
        <v/>
      </c>
      <c r="C121" s="16" t="str">
        <f t="shared" si="11"/>
        <v/>
      </c>
      <c r="D121" s="16" t="str">
        <f>IF(OR($B121="",$C121&gt;Setup!$B$16),"",IFERROR(INDEX('Fixture Library'!$D$4:$D$83,MATCH(Setup!$B$7&amp;"-"&amp;$C121,'Fixture Library'!$A$4:$A$83,0)),""))</f>
        <v/>
      </c>
      <c r="E121" s="17" t="str">
        <f>IF($J121="","",IFERROR(INDEX(Teams!$D$4:$D$67,MATCH($B121&amp;"-"&amp;$J121,Teams!$E$4:$E$67,0)),""))</f>
        <v/>
      </c>
      <c r="F121" s="16" t="str">
        <f>IF(OR($E121="",$G121="",$C121&gt;Setup!$B$16),"",IFERROR(INDEX(Results!$E$5:$E$228,INT(($A121-1)/28)*Setup!$B$16+$C121),""))</f>
        <v/>
      </c>
      <c r="G121" s="17" t="str">
        <f>IF($K121="","",IFERROR(INDEX(Teams!$D$4:$D$67,MATCH($B121&amp;"-"&amp;$K121,Teams!$E$4:$E$67,0)),""))</f>
        <v/>
      </c>
      <c r="H121" s="16" t="str">
        <f>IF(OR($E121="",$G121="",$C121&gt;Setup!$B$16),"",IFERROR(INDEX(Results!$F$5:$F$228,INT(($A121-1)/28)*Setup!$B$16+$C121),""))</f>
        <v/>
      </c>
      <c r="I121" s="18">
        <f t="shared" si="17"/>
        <v>0</v>
      </c>
      <c r="J121" s="19" t="str">
        <f>IF(OR($B121="",$C121&gt;Setup!$B$16),"",IFERROR(INDEX('Fixture Library'!$E$4:$E$83,MATCH(Setup!$B$7&amp;"-"&amp;$C121,'Fixture Library'!$A$4:$A$83,0)),""))</f>
        <v/>
      </c>
      <c r="K121" s="19" t="str">
        <f>IF(OR($B121="",$C121&gt;Setup!$B$16),"",IFERROR(INDEX('Fixture Library'!$F$4:$F$83,MATCH(Setup!$B$7&amp;"-"&amp;$C121,'Fixture Library'!$A$4:$A$83,0)),""))</f>
        <v/>
      </c>
      <c r="L121" s="16">
        <f t="shared" si="12"/>
        <v>0</v>
      </c>
      <c r="M121" s="16">
        <f t="shared" si="13"/>
        <v>0</v>
      </c>
      <c r="N121" s="16">
        <f t="shared" si="14"/>
        <v>0</v>
      </c>
      <c r="O121" s="16">
        <f t="shared" si="15"/>
        <v>0</v>
      </c>
      <c r="P121" s="16">
        <f t="shared" si="19"/>
        <v>0</v>
      </c>
      <c r="Q121" s="16">
        <f t="shared" si="19"/>
        <v>0</v>
      </c>
      <c r="R121" s="16">
        <f t="shared" si="16"/>
        <v>0</v>
      </c>
    </row>
    <row r="122" spans="1:18">
      <c r="A122" s="16">
        <v>119</v>
      </c>
      <c r="B122" s="16" t="str">
        <f>IF(INT(($A122-1)/28)+1&lt;=Setup!$B$6,INDEX(Setup!$B$22:$B$29,INT(($A122-1)/28)+1),"")</f>
        <v/>
      </c>
      <c r="C122" s="16" t="str">
        <f t="shared" si="11"/>
        <v/>
      </c>
      <c r="D122" s="16" t="str">
        <f>IF(OR($B122="",$C122&gt;Setup!$B$16),"",IFERROR(INDEX('Fixture Library'!$D$4:$D$83,MATCH(Setup!$B$7&amp;"-"&amp;$C122,'Fixture Library'!$A$4:$A$83,0)),""))</f>
        <v/>
      </c>
      <c r="E122" s="17" t="str">
        <f>IF($J122="","",IFERROR(INDEX(Teams!$D$4:$D$67,MATCH($B122&amp;"-"&amp;$J122,Teams!$E$4:$E$67,0)),""))</f>
        <v/>
      </c>
      <c r="F122" s="16" t="str">
        <f>IF(OR($E122="",$G122="",$C122&gt;Setup!$B$16),"",IFERROR(INDEX(Results!$E$5:$E$228,INT(($A122-1)/28)*Setup!$B$16+$C122),""))</f>
        <v/>
      </c>
      <c r="G122" s="17" t="str">
        <f>IF($K122="","",IFERROR(INDEX(Teams!$D$4:$D$67,MATCH($B122&amp;"-"&amp;$K122,Teams!$E$4:$E$67,0)),""))</f>
        <v/>
      </c>
      <c r="H122" s="16" t="str">
        <f>IF(OR($E122="",$G122="",$C122&gt;Setup!$B$16),"",IFERROR(INDEX(Results!$F$5:$F$228,INT(($A122-1)/28)*Setup!$B$16+$C122),""))</f>
        <v/>
      </c>
      <c r="I122" s="18">
        <f t="shared" si="17"/>
        <v>0</v>
      </c>
      <c r="J122" s="19" t="str">
        <f>IF(OR($B122="",$C122&gt;Setup!$B$16),"",IFERROR(INDEX('Fixture Library'!$E$4:$E$83,MATCH(Setup!$B$7&amp;"-"&amp;$C122,'Fixture Library'!$A$4:$A$83,0)),""))</f>
        <v/>
      </c>
      <c r="K122" s="19" t="str">
        <f>IF(OR($B122="",$C122&gt;Setup!$B$16),"",IFERROR(INDEX('Fixture Library'!$F$4:$F$83,MATCH(Setup!$B$7&amp;"-"&amp;$C122,'Fixture Library'!$A$4:$A$83,0)),""))</f>
        <v/>
      </c>
      <c r="L122" s="16">
        <f t="shared" si="12"/>
        <v>0</v>
      </c>
      <c r="M122" s="16">
        <f t="shared" si="13"/>
        <v>0</v>
      </c>
      <c r="N122" s="16">
        <f t="shared" si="14"/>
        <v>0</v>
      </c>
      <c r="O122" s="16">
        <f t="shared" si="15"/>
        <v>0</v>
      </c>
      <c r="P122" s="16">
        <f t="shared" si="19"/>
        <v>0</v>
      </c>
      <c r="Q122" s="16">
        <f t="shared" si="19"/>
        <v>0</v>
      </c>
      <c r="R122" s="16">
        <f t="shared" si="16"/>
        <v>0</v>
      </c>
    </row>
    <row r="123" spans="1:18">
      <c r="A123" s="16">
        <v>120</v>
      </c>
      <c r="B123" s="16" t="str">
        <f>IF(INT(($A123-1)/28)+1&lt;=Setup!$B$6,INDEX(Setup!$B$22:$B$29,INT(($A123-1)/28)+1),"")</f>
        <v/>
      </c>
      <c r="C123" s="16" t="str">
        <f t="shared" si="11"/>
        <v/>
      </c>
      <c r="D123" s="16" t="str">
        <f>IF(OR($B123="",$C123&gt;Setup!$B$16),"",IFERROR(INDEX('Fixture Library'!$D$4:$D$83,MATCH(Setup!$B$7&amp;"-"&amp;$C123,'Fixture Library'!$A$4:$A$83,0)),""))</f>
        <v/>
      </c>
      <c r="E123" s="17" t="str">
        <f>IF($J123="","",IFERROR(INDEX(Teams!$D$4:$D$67,MATCH($B123&amp;"-"&amp;$J123,Teams!$E$4:$E$67,0)),""))</f>
        <v/>
      </c>
      <c r="F123" s="16" t="str">
        <f>IF(OR($E123="",$G123="",$C123&gt;Setup!$B$16),"",IFERROR(INDEX(Results!$E$5:$E$228,INT(($A123-1)/28)*Setup!$B$16+$C123),""))</f>
        <v/>
      </c>
      <c r="G123" s="17" t="str">
        <f>IF($K123="","",IFERROR(INDEX(Teams!$D$4:$D$67,MATCH($B123&amp;"-"&amp;$K123,Teams!$E$4:$E$67,0)),""))</f>
        <v/>
      </c>
      <c r="H123" s="16" t="str">
        <f>IF(OR($E123="",$G123="",$C123&gt;Setup!$B$16),"",IFERROR(INDEX(Results!$F$5:$F$228,INT(($A123-1)/28)*Setup!$B$16+$C123),""))</f>
        <v/>
      </c>
      <c r="I123" s="18">
        <f t="shared" si="17"/>
        <v>0</v>
      </c>
      <c r="J123" s="19" t="str">
        <f>IF(OR($B123="",$C123&gt;Setup!$B$16),"",IFERROR(INDEX('Fixture Library'!$E$4:$E$83,MATCH(Setup!$B$7&amp;"-"&amp;$C123,'Fixture Library'!$A$4:$A$83,0)),""))</f>
        <v/>
      </c>
      <c r="K123" s="19" t="str">
        <f>IF(OR($B123="",$C123&gt;Setup!$B$16),"",IFERROR(INDEX('Fixture Library'!$F$4:$F$83,MATCH(Setup!$B$7&amp;"-"&amp;$C123,'Fixture Library'!$A$4:$A$83,0)),""))</f>
        <v/>
      </c>
      <c r="L123" s="16">
        <f t="shared" si="12"/>
        <v>0</v>
      </c>
      <c r="M123" s="16">
        <f t="shared" si="13"/>
        <v>0</v>
      </c>
      <c r="N123" s="16">
        <f t="shared" si="14"/>
        <v>0</v>
      </c>
      <c r="O123" s="16">
        <f t="shared" si="15"/>
        <v>0</v>
      </c>
      <c r="P123" s="16">
        <f t="shared" si="19"/>
        <v>0</v>
      </c>
      <c r="Q123" s="16">
        <f t="shared" si="19"/>
        <v>0</v>
      </c>
      <c r="R123" s="16">
        <f t="shared" si="16"/>
        <v>0</v>
      </c>
    </row>
    <row r="124" spans="1:18">
      <c r="A124" s="16">
        <v>121</v>
      </c>
      <c r="B124" s="16" t="str">
        <f>IF(INT(($A124-1)/28)+1&lt;=Setup!$B$6,INDEX(Setup!$B$22:$B$29,INT(($A124-1)/28)+1),"")</f>
        <v/>
      </c>
      <c r="C124" s="16" t="str">
        <f t="shared" si="11"/>
        <v/>
      </c>
      <c r="D124" s="16" t="str">
        <f>IF(OR($B124="",$C124&gt;Setup!$B$16),"",IFERROR(INDEX('Fixture Library'!$D$4:$D$83,MATCH(Setup!$B$7&amp;"-"&amp;$C124,'Fixture Library'!$A$4:$A$83,0)),""))</f>
        <v/>
      </c>
      <c r="E124" s="17" t="str">
        <f>IF($J124="","",IFERROR(INDEX(Teams!$D$4:$D$67,MATCH($B124&amp;"-"&amp;$J124,Teams!$E$4:$E$67,0)),""))</f>
        <v/>
      </c>
      <c r="F124" s="16" t="str">
        <f>IF(OR($E124="",$G124="",$C124&gt;Setup!$B$16),"",IFERROR(INDEX(Results!$E$5:$E$228,INT(($A124-1)/28)*Setup!$B$16+$C124),""))</f>
        <v/>
      </c>
      <c r="G124" s="17" t="str">
        <f>IF($K124="","",IFERROR(INDEX(Teams!$D$4:$D$67,MATCH($B124&amp;"-"&amp;$K124,Teams!$E$4:$E$67,0)),""))</f>
        <v/>
      </c>
      <c r="H124" s="16" t="str">
        <f>IF(OR($E124="",$G124="",$C124&gt;Setup!$B$16),"",IFERROR(INDEX(Results!$F$5:$F$228,INT(($A124-1)/28)*Setup!$B$16+$C124),""))</f>
        <v/>
      </c>
      <c r="I124" s="18">
        <f t="shared" si="17"/>
        <v>0</v>
      </c>
      <c r="J124" s="19" t="str">
        <f>IF(OR($B124="",$C124&gt;Setup!$B$16),"",IFERROR(INDEX('Fixture Library'!$E$4:$E$83,MATCH(Setup!$B$7&amp;"-"&amp;$C124,'Fixture Library'!$A$4:$A$83,0)),""))</f>
        <v/>
      </c>
      <c r="K124" s="19" t="str">
        <f>IF(OR($B124="",$C124&gt;Setup!$B$16),"",IFERROR(INDEX('Fixture Library'!$F$4:$F$83,MATCH(Setup!$B$7&amp;"-"&amp;$C124,'Fixture Library'!$A$4:$A$83,0)),""))</f>
        <v/>
      </c>
      <c r="L124" s="16">
        <f t="shared" si="12"/>
        <v>0</v>
      </c>
      <c r="M124" s="16">
        <f t="shared" si="13"/>
        <v>0</v>
      </c>
      <c r="N124" s="16">
        <f t="shared" si="14"/>
        <v>0</v>
      </c>
      <c r="O124" s="16">
        <f t="shared" si="15"/>
        <v>0</v>
      </c>
      <c r="P124" s="16">
        <f t="shared" ref="P124:Q143" si="20">IF($I124=1,$H124,0)</f>
        <v>0</v>
      </c>
      <c r="Q124" s="16">
        <f t="shared" si="20"/>
        <v>0</v>
      </c>
      <c r="R124" s="16">
        <f t="shared" si="16"/>
        <v>0</v>
      </c>
    </row>
    <row r="125" spans="1:18">
      <c r="A125" s="16">
        <v>122</v>
      </c>
      <c r="B125" s="16" t="str">
        <f>IF(INT(($A125-1)/28)+1&lt;=Setup!$B$6,INDEX(Setup!$B$22:$B$29,INT(($A125-1)/28)+1),"")</f>
        <v/>
      </c>
      <c r="C125" s="16" t="str">
        <f t="shared" si="11"/>
        <v/>
      </c>
      <c r="D125" s="16" t="str">
        <f>IF(OR($B125="",$C125&gt;Setup!$B$16),"",IFERROR(INDEX('Fixture Library'!$D$4:$D$83,MATCH(Setup!$B$7&amp;"-"&amp;$C125,'Fixture Library'!$A$4:$A$83,0)),""))</f>
        <v/>
      </c>
      <c r="E125" s="17" t="str">
        <f>IF($J125="","",IFERROR(INDEX(Teams!$D$4:$D$67,MATCH($B125&amp;"-"&amp;$J125,Teams!$E$4:$E$67,0)),""))</f>
        <v/>
      </c>
      <c r="F125" s="16" t="str">
        <f>IF(OR($E125="",$G125="",$C125&gt;Setup!$B$16),"",IFERROR(INDEX(Results!$E$5:$E$228,INT(($A125-1)/28)*Setup!$B$16+$C125),""))</f>
        <v/>
      </c>
      <c r="G125" s="17" t="str">
        <f>IF($K125="","",IFERROR(INDEX(Teams!$D$4:$D$67,MATCH($B125&amp;"-"&amp;$K125,Teams!$E$4:$E$67,0)),""))</f>
        <v/>
      </c>
      <c r="H125" s="16" t="str">
        <f>IF(OR($E125="",$G125="",$C125&gt;Setup!$B$16),"",IFERROR(INDEX(Results!$F$5:$F$228,INT(($A125-1)/28)*Setup!$B$16+$C125),""))</f>
        <v/>
      </c>
      <c r="I125" s="18">
        <f t="shared" si="17"/>
        <v>0</v>
      </c>
      <c r="J125" s="19" t="str">
        <f>IF(OR($B125="",$C125&gt;Setup!$B$16),"",IFERROR(INDEX('Fixture Library'!$E$4:$E$83,MATCH(Setup!$B$7&amp;"-"&amp;$C125,'Fixture Library'!$A$4:$A$83,0)),""))</f>
        <v/>
      </c>
      <c r="K125" s="19" t="str">
        <f>IF(OR($B125="",$C125&gt;Setup!$B$16),"",IFERROR(INDEX('Fixture Library'!$F$4:$F$83,MATCH(Setup!$B$7&amp;"-"&amp;$C125,'Fixture Library'!$A$4:$A$83,0)),""))</f>
        <v/>
      </c>
      <c r="L125" s="16">
        <f t="shared" si="12"/>
        <v>0</v>
      </c>
      <c r="M125" s="16">
        <f t="shared" si="13"/>
        <v>0</v>
      </c>
      <c r="N125" s="16">
        <f t="shared" si="14"/>
        <v>0</v>
      </c>
      <c r="O125" s="16">
        <f t="shared" si="15"/>
        <v>0</v>
      </c>
      <c r="P125" s="16">
        <f t="shared" si="20"/>
        <v>0</v>
      </c>
      <c r="Q125" s="16">
        <f t="shared" si="20"/>
        <v>0</v>
      </c>
      <c r="R125" s="16">
        <f t="shared" si="16"/>
        <v>0</v>
      </c>
    </row>
    <row r="126" spans="1:18">
      <c r="A126" s="16">
        <v>123</v>
      </c>
      <c r="B126" s="16" t="str">
        <f>IF(INT(($A126-1)/28)+1&lt;=Setup!$B$6,INDEX(Setup!$B$22:$B$29,INT(($A126-1)/28)+1),"")</f>
        <v/>
      </c>
      <c r="C126" s="16" t="str">
        <f t="shared" si="11"/>
        <v/>
      </c>
      <c r="D126" s="16" t="str">
        <f>IF(OR($B126="",$C126&gt;Setup!$B$16),"",IFERROR(INDEX('Fixture Library'!$D$4:$D$83,MATCH(Setup!$B$7&amp;"-"&amp;$C126,'Fixture Library'!$A$4:$A$83,0)),""))</f>
        <v/>
      </c>
      <c r="E126" s="17" t="str">
        <f>IF($J126="","",IFERROR(INDEX(Teams!$D$4:$D$67,MATCH($B126&amp;"-"&amp;$J126,Teams!$E$4:$E$67,0)),""))</f>
        <v/>
      </c>
      <c r="F126" s="16" t="str">
        <f>IF(OR($E126="",$G126="",$C126&gt;Setup!$B$16),"",IFERROR(INDEX(Results!$E$5:$E$228,INT(($A126-1)/28)*Setup!$B$16+$C126),""))</f>
        <v/>
      </c>
      <c r="G126" s="17" t="str">
        <f>IF($K126="","",IFERROR(INDEX(Teams!$D$4:$D$67,MATCH($B126&amp;"-"&amp;$K126,Teams!$E$4:$E$67,0)),""))</f>
        <v/>
      </c>
      <c r="H126" s="16" t="str">
        <f>IF(OR($E126="",$G126="",$C126&gt;Setup!$B$16),"",IFERROR(INDEX(Results!$F$5:$F$228,INT(($A126-1)/28)*Setup!$B$16+$C126),""))</f>
        <v/>
      </c>
      <c r="I126" s="18">
        <f t="shared" si="17"/>
        <v>0</v>
      </c>
      <c r="J126" s="19" t="str">
        <f>IF(OR($B126="",$C126&gt;Setup!$B$16),"",IFERROR(INDEX('Fixture Library'!$E$4:$E$83,MATCH(Setup!$B$7&amp;"-"&amp;$C126,'Fixture Library'!$A$4:$A$83,0)),""))</f>
        <v/>
      </c>
      <c r="K126" s="19" t="str">
        <f>IF(OR($B126="",$C126&gt;Setup!$B$16),"",IFERROR(INDEX('Fixture Library'!$F$4:$F$83,MATCH(Setup!$B$7&amp;"-"&amp;$C126,'Fixture Library'!$A$4:$A$83,0)),""))</f>
        <v/>
      </c>
      <c r="L126" s="16">
        <f t="shared" si="12"/>
        <v>0</v>
      </c>
      <c r="M126" s="16">
        <f t="shared" si="13"/>
        <v>0</v>
      </c>
      <c r="N126" s="16">
        <f t="shared" si="14"/>
        <v>0</v>
      </c>
      <c r="O126" s="16">
        <f t="shared" si="15"/>
        <v>0</v>
      </c>
      <c r="P126" s="16">
        <f t="shared" si="20"/>
        <v>0</v>
      </c>
      <c r="Q126" s="16">
        <f t="shared" si="20"/>
        <v>0</v>
      </c>
      <c r="R126" s="16">
        <f t="shared" si="16"/>
        <v>0</v>
      </c>
    </row>
    <row r="127" spans="1:18">
      <c r="A127" s="16">
        <v>124</v>
      </c>
      <c r="B127" s="16" t="str">
        <f>IF(INT(($A127-1)/28)+1&lt;=Setup!$B$6,INDEX(Setup!$B$22:$B$29,INT(($A127-1)/28)+1),"")</f>
        <v/>
      </c>
      <c r="C127" s="16" t="str">
        <f t="shared" si="11"/>
        <v/>
      </c>
      <c r="D127" s="16" t="str">
        <f>IF(OR($B127="",$C127&gt;Setup!$B$16),"",IFERROR(INDEX('Fixture Library'!$D$4:$D$83,MATCH(Setup!$B$7&amp;"-"&amp;$C127,'Fixture Library'!$A$4:$A$83,0)),""))</f>
        <v/>
      </c>
      <c r="E127" s="17" t="str">
        <f>IF($J127="","",IFERROR(INDEX(Teams!$D$4:$D$67,MATCH($B127&amp;"-"&amp;$J127,Teams!$E$4:$E$67,0)),""))</f>
        <v/>
      </c>
      <c r="F127" s="16" t="str">
        <f>IF(OR($E127="",$G127="",$C127&gt;Setup!$B$16),"",IFERROR(INDEX(Results!$E$5:$E$228,INT(($A127-1)/28)*Setup!$B$16+$C127),""))</f>
        <v/>
      </c>
      <c r="G127" s="17" t="str">
        <f>IF($K127="","",IFERROR(INDEX(Teams!$D$4:$D$67,MATCH($B127&amp;"-"&amp;$K127,Teams!$E$4:$E$67,0)),""))</f>
        <v/>
      </c>
      <c r="H127" s="16" t="str">
        <f>IF(OR($E127="",$G127="",$C127&gt;Setup!$B$16),"",IFERROR(INDEX(Results!$F$5:$F$228,INT(($A127-1)/28)*Setup!$B$16+$C127),""))</f>
        <v/>
      </c>
      <c r="I127" s="18">
        <f t="shared" si="17"/>
        <v>0</v>
      </c>
      <c r="J127" s="19" t="str">
        <f>IF(OR($B127="",$C127&gt;Setup!$B$16),"",IFERROR(INDEX('Fixture Library'!$E$4:$E$83,MATCH(Setup!$B$7&amp;"-"&amp;$C127,'Fixture Library'!$A$4:$A$83,0)),""))</f>
        <v/>
      </c>
      <c r="K127" s="19" t="str">
        <f>IF(OR($B127="",$C127&gt;Setup!$B$16),"",IFERROR(INDEX('Fixture Library'!$F$4:$F$83,MATCH(Setup!$B$7&amp;"-"&amp;$C127,'Fixture Library'!$A$4:$A$83,0)),""))</f>
        <v/>
      </c>
      <c r="L127" s="16">
        <f t="shared" si="12"/>
        <v>0</v>
      </c>
      <c r="M127" s="16">
        <f t="shared" si="13"/>
        <v>0</v>
      </c>
      <c r="N127" s="16">
        <f t="shared" si="14"/>
        <v>0</v>
      </c>
      <c r="O127" s="16">
        <f t="shared" si="15"/>
        <v>0</v>
      </c>
      <c r="P127" s="16">
        <f t="shared" si="20"/>
        <v>0</v>
      </c>
      <c r="Q127" s="16">
        <f t="shared" si="20"/>
        <v>0</v>
      </c>
      <c r="R127" s="16">
        <f t="shared" si="16"/>
        <v>0</v>
      </c>
    </row>
    <row r="128" spans="1:18">
      <c r="A128" s="16">
        <v>125</v>
      </c>
      <c r="B128" s="16" t="str">
        <f>IF(INT(($A128-1)/28)+1&lt;=Setup!$B$6,INDEX(Setup!$B$22:$B$29,INT(($A128-1)/28)+1),"")</f>
        <v/>
      </c>
      <c r="C128" s="16" t="str">
        <f t="shared" si="11"/>
        <v/>
      </c>
      <c r="D128" s="16" t="str">
        <f>IF(OR($B128="",$C128&gt;Setup!$B$16),"",IFERROR(INDEX('Fixture Library'!$D$4:$D$83,MATCH(Setup!$B$7&amp;"-"&amp;$C128,'Fixture Library'!$A$4:$A$83,0)),""))</f>
        <v/>
      </c>
      <c r="E128" s="17" t="str">
        <f>IF($J128="","",IFERROR(INDEX(Teams!$D$4:$D$67,MATCH($B128&amp;"-"&amp;$J128,Teams!$E$4:$E$67,0)),""))</f>
        <v/>
      </c>
      <c r="F128" s="16" t="str">
        <f>IF(OR($E128="",$G128="",$C128&gt;Setup!$B$16),"",IFERROR(INDEX(Results!$E$5:$E$228,INT(($A128-1)/28)*Setup!$B$16+$C128),""))</f>
        <v/>
      </c>
      <c r="G128" s="17" t="str">
        <f>IF($K128="","",IFERROR(INDEX(Teams!$D$4:$D$67,MATCH($B128&amp;"-"&amp;$K128,Teams!$E$4:$E$67,0)),""))</f>
        <v/>
      </c>
      <c r="H128" s="16" t="str">
        <f>IF(OR($E128="",$G128="",$C128&gt;Setup!$B$16),"",IFERROR(INDEX(Results!$F$5:$F$228,INT(($A128-1)/28)*Setup!$B$16+$C128),""))</f>
        <v/>
      </c>
      <c r="I128" s="18">
        <f t="shared" si="17"/>
        <v>0</v>
      </c>
      <c r="J128" s="19" t="str">
        <f>IF(OR($B128="",$C128&gt;Setup!$B$16),"",IFERROR(INDEX('Fixture Library'!$E$4:$E$83,MATCH(Setup!$B$7&amp;"-"&amp;$C128,'Fixture Library'!$A$4:$A$83,0)),""))</f>
        <v/>
      </c>
      <c r="K128" s="19" t="str">
        <f>IF(OR($B128="",$C128&gt;Setup!$B$16),"",IFERROR(INDEX('Fixture Library'!$F$4:$F$83,MATCH(Setup!$B$7&amp;"-"&amp;$C128,'Fixture Library'!$A$4:$A$83,0)),""))</f>
        <v/>
      </c>
      <c r="L128" s="16">
        <f t="shared" si="12"/>
        <v>0</v>
      </c>
      <c r="M128" s="16">
        <f t="shared" si="13"/>
        <v>0</v>
      </c>
      <c r="N128" s="16">
        <f t="shared" si="14"/>
        <v>0</v>
      </c>
      <c r="O128" s="16">
        <f t="shared" si="15"/>
        <v>0</v>
      </c>
      <c r="P128" s="16">
        <f t="shared" si="20"/>
        <v>0</v>
      </c>
      <c r="Q128" s="16">
        <f t="shared" si="20"/>
        <v>0</v>
      </c>
      <c r="R128" s="16">
        <f t="shared" si="16"/>
        <v>0</v>
      </c>
    </row>
    <row r="129" spans="1:18">
      <c r="A129" s="16">
        <v>126</v>
      </c>
      <c r="B129" s="16" t="str">
        <f>IF(INT(($A129-1)/28)+1&lt;=Setup!$B$6,INDEX(Setup!$B$22:$B$29,INT(($A129-1)/28)+1),"")</f>
        <v/>
      </c>
      <c r="C129" s="16" t="str">
        <f t="shared" si="11"/>
        <v/>
      </c>
      <c r="D129" s="16" t="str">
        <f>IF(OR($B129="",$C129&gt;Setup!$B$16),"",IFERROR(INDEX('Fixture Library'!$D$4:$D$83,MATCH(Setup!$B$7&amp;"-"&amp;$C129,'Fixture Library'!$A$4:$A$83,0)),""))</f>
        <v/>
      </c>
      <c r="E129" s="17" t="str">
        <f>IF($J129="","",IFERROR(INDEX(Teams!$D$4:$D$67,MATCH($B129&amp;"-"&amp;$J129,Teams!$E$4:$E$67,0)),""))</f>
        <v/>
      </c>
      <c r="F129" s="16" t="str">
        <f>IF(OR($E129="",$G129="",$C129&gt;Setup!$B$16),"",IFERROR(INDEX(Results!$E$5:$E$228,INT(($A129-1)/28)*Setup!$B$16+$C129),""))</f>
        <v/>
      </c>
      <c r="G129" s="17" t="str">
        <f>IF($K129="","",IFERROR(INDEX(Teams!$D$4:$D$67,MATCH($B129&amp;"-"&amp;$K129,Teams!$E$4:$E$67,0)),""))</f>
        <v/>
      </c>
      <c r="H129" s="16" t="str">
        <f>IF(OR($E129="",$G129="",$C129&gt;Setup!$B$16),"",IFERROR(INDEX(Results!$F$5:$F$228,INT(($A129-1)/28)*Setup!$B$16+$C129),""))</f>
        <v/>
      </c>
      <c r="I129" s="18">
        <f t="shared" si="17"/>
        <v>0</v>
      </c>
      <c r="J129" s="19" t="str">
        <f>IF(OR($B129="",$C129&gt;Setup!$B$16),"",IFERROR(INDEX('Fixture Library'!$E$4:$E$83,MATCH(Setup!$B$7&amp;"-"&amp;$C129,'Fixture Library'!$A$4:$A$83,0)),""))</f>
        <v/>
      </c>
      <c r="K129" s="19" t="str">
        <f>IF(OR($B129="",$C129&gt;Setup!$B$16),"",IFERROR(INDEX('Fixture Library'!$F$4:$F$83,MATCH(Setup!$B$7&amp;"-"&amp;$C129,'Fixture Library'!$A$4:$A$83,0)),""))</f>
        <v/>
      </c>
      <c r="L129" s="16">
        <f t="shared" si="12"/>
        <v>0</v>
      </c>
      <c r="M129" s="16">
        <f t="shared" si="13"/>
        <v>0</v>
      </c>
      <c r="N129" s="16">
        <f t="shared" si="14"/>
        <v>0</v>
      </c>
      <c r="O129" s="16">
        <f t="shared" si="15"/>
        <v>0</v>
      </c>
      <c r="P129" s="16">
        <f t="shared" si="20"/>
        <v>0</v>
      </c>
      <c r="Q129" s="16">
        <f t="shared" si="20"/>
        <v>0</v>
      </c>
      <c r="R129" s="16">
        <f t="shared" si="16"/>
        <v>0</v>
      </c>
    </row>
    <row r="130" spans="1:18">
      <c r="A130" s="16">
        <v>127</v>
      </c>
      <c r="B130" s="16" t="str">
        <f>IF(INT(($A130-1)/28)+1&lt;=Setup!$B$6,INDEX(Setup!$B$22:$B$29,INT(($A130-1)/28)+1),"")</f>
        <v/>
      </c>
      <c r="C130" s="16" t="str">
        <f t="shared" si="11"/>
        <v/>
      </c>
      <c r="D130" s="16" t="str">
        <f>IF(OR($B130="",$C130&gt;Setup!$B$16),"",IFERROR(INDEX('Fixture Library'!$D$4:$D$83,MATCH(Setup!$B$7&amp;"-"&amp;$C130,'Fixture Library'!$A$4:$A$83,0)),""))</f>
        <v/>
      </c>
      <c r="E130" s="17" t="str">
        <f>IF($J130="","",IFERROR(INDEX(Teams!$D$4:$D$67,MATCH($B130&amp;"-"&amp;$J130,Teams!$E$4:$E$67,0)),""))</f>
        <v/>
      </c>
      <c r="F130" s="16" t="str">
        <f>IF(OR($E130="",$G130="",$C130&gt;Setup!$B$16),"",IFERROR(INDEX(Results!$E$5:$E$228,INT(($A130-1)/28)*Setup!$B$16+$C130),""))</f>
        <v/>
      </c>
      <c r="G130" s="17" t="str">
        <f>IF($K130="","",IFERROR(INDEX(Teams!$D$4:$D$67,MATCH($B130&amp;"-"&amp;$K130,Teams!$E$4:$E$67,0)),""))</f>
        <v/>
      </c>
      <c r="H130" s="16" t="str">
        <f>IF(OR($E130="",$G130="",$C130&gt;Setup!$B$16),"",IFERROR(INDEX(Results!$F$5:$F$228,INT(($A130-1)/28)*Setup!$B$16+$C130),""))</f>
        <v/>
      </c>
      <c r="I130" s="18">
        <f t="shared" si="17"/>
        <v>0</v>
      </c>
      <c r="J130" s="19" t="str">
        <f>IF(OR($B130="",$C130&gt;Setup!$B$16),"",IFERROR(INDEX('Fixture Library'!$E$4:$E$83,MATCH(Setup!$B$7&amp;"-"&amp;$C130,'Fixture Library'!$A$4:$A$83,0)),""))</f>
        <v/>
      </c>
      <c r="K130" s="19" t="str">
        <f>IF(OR($B130="",$C130&gt;Setup!$B$16),"",IFERROR(INDEX('Fixture Library'!$F$4:$F$83,MATCH(Setup!$B$7&amp;"-"&amp;$C130,'Fixture Library'!$A$4:$A$83,0)),""))</f>
        <v/>
      </c>
      <c r="L130" s="16">
        <f t="shared" si="12"/>
        <v>0</v>
      </c>
      <c r="M130" s="16">
        <f t="shared" si="13"/>
        <v>0</v>
      </c>
      <c r="N130" s="16">
        <f t="shared" si="14"/>
        <v>0</v>
      </c>
      <c r="O130" s="16">
        <f t="shared" si="15"/>
        <v>0</v>
      </c>
      <c r="P130" s="16">
        <f t="shared" si="20"/>
        <v>0</v>
      </c>
      <c r="Q130" s="16">
        <f t="shared" si="20"/>
        <v>0</v>
      </c>
      <c r="R130" s="16">
        <f t="shared" si="16"/>
        <v>0</v>
      </c>
    </row>
    <row r="131" spans="1:18">
      <c r="A131" s="16">
        <v>128</v>
      </c>
      <c r="B131" s="16" t="str">
        <f>IF(INT(($A131-1)/28)+1&lt;=Setup!$B$6,INDEX(Setup!$B$22:$B$29,INT(($A131-1)/28)+1),"")</f>
        <v/>
      </c>
      <c r="C131" s="16" t="str">
        <f t="shared" si="11"/>
        <v/>
      </c>
      <c r="D131" s="16" t="str">
        <f>IF(OR($B131="",$C131&gt;Setup!$B$16),"",IFERROR(INDEX('Fixture Library'!$D$4:$D$83,MATCH(Setup!$B$7&amp;"-"&amp;$C131,'Fixture Library'!$A$4:$A$83,0)),""))</f>
        <v/>
      </c>
      <c r="E131" s="17" t="str">
        <f>IF($J131="","",IFERROR(INDEX(Teams!$D$4:$D$67,MATCH($B131&amp;"-"&amp;$J131,Teams!$E$4:$E$67,0)),""))</f>
        <v/>
      </c>
      <c r="F131" s="16" t="str">
        <f>IF(OR($E131="",$G131="",$C131&gt;Setup!$B$16),"",IFERROR(INDEX(Results!$E$5:$E$228,INT(($A131-1)/28)*Setup!$B$16+$C131),""))</f>
        <v/>
      </c>
      <c r="G131" s="17" t="str">
        <f>IF($K131="","",IFERROR(INDEX(Teams!$D$4:$D$67,MATCH($B131&amp;"-"&amp;$K131,Teams!$E$4:$E$67,0)),""))</f>
        <v/>
      </c>
      <c r="H131" s="16" t="str">
        <f>IF(OR($E131="",$G131="",$C131&gt;Setup!$B$16),"",IFERROR(INDEX(Results!$F$5:$F$228,INT(($A131-1)/28)*Setup!$B$16+$C131),""))</f>
        <v/>
      </c>
      <c r="I131" s="18">
        <f t="shared" si="17"/>
        <v>0</v>
      </c>
      <c r="J131" s="19" t="str">
        <f>IF(OR($B131="",$C131&gt;Setup!$B$16),"",IFERROR(INDEX('Fixture Library'!$E$4:$E$83,MATCH(Setup!$B$7&amp;"-"&amp;$C131,'Fixture Library'!$A$4:$A$83,0)),""))</f>
        <v/>
      </c>
      <c r="K131" s="19" t="str">
        <f>IF(OR($B131="",$C131&gt;Setup!$B$16),"",IFERROR(INDEX('Fixture Library'!$F$4:$F$83,MATCH(Setup!$B$7&amp;"-"&amp;$C131,'Fixture Library'!$A$4:$A$83,0)),""))</f>
        <v/>
      </c>
      <c r="L131" s="16">
        <f t="shared" si="12"/>
        <v>0</v>
      </c>
      <c r="M131" s="16">
        <f t="shared" si="13"/>
        <v>0</v>
      </c>
      <c r="N131" s="16">
        <f t="shared" si="14"/>
        <v>0</v>
      </c>
      <c r="O131" s="16">
        <f t="shared" si="15"/>
        <v>0</v>
      </c>
      <c r="P131" s="16">
        <f t="shared" si="20"/>
        <v>0</v>
      </c>
      <c r="Q131" s="16">
        <f t="shared" si="20"/>
        <v>0</v>
      </c>
      <c r="R131" s="16">
        <f t="shared" si="16"/>
        <v>0</v>
      </c>
    </row>
    <row r="132" spans="1:18">
      <c r="A132" s="16">
        <v>129</v>
      </c>
      <c r="B132" s="16" t="str">
        <f>IF(INT(($A132-1)/28)+1&lt;=Setup!$B$6,INDEX(Setup!$B$22:$B$29,INT(($A132-1)/28)+1),"")</f>
        <v/>
      </c>
      <c r="C132" s="16" t="str">
        <f t="shared" ref="C132:C195" si="21">IF($B132="","",MOD($A132-1,28)+1)</f>
        <v/>
      </c>
      <c r="D132" s="16" t="str">
        <f>IF(OR($B132="",$C132&gt;Setup!$B$16),"",IFERROR(INDEX('Fixture Library'!$D$4:$D$83,MATCH(Setup!$B$7&amp;"-"&amp;$C132,'Fixture Library'!$A$4:$A$83,0)),""))</f>
        <v/>
      </c>
      <c r="E132" s="17" t="str">
        <f>IF($J132="","",IFERROR(INDEX(Teams!$D$4:$D$67,MATCH($B132&amp;"-"&amp;$J132,Teams!$E$4:$E$67,0)),""))</f>
        <v/>
      </c>
      <c r="F132" s="16" t="str">
        <f>IF(OR($E132="",$G132="",$C132&gt;Setup!$B$16),"",IFERROR(INDEX(Results!$E$5:$E$228,INT(($A132-1)/28)*Setup!$B$16+$C132),""))</f>
        <v/>
      </c>
      <c r="G132" s="17" t="str">
        <f>IF($K132="","",IFERROR(INDEX(Teams!$D$4:$D$67,MATCH($B132&amp;"-"&amp;$K132,Teams!$E$4:$E$67,0)),""))</f>
        <v/>
      </c>
      <c r="H132" s="16" t="str">
        <f>IF(OR($E132="",$G132="",$C132&gt;Setup!$B$16),"",IFERROR(INDEX(Results!$F$5:$F$228,INT(($A132-1)/28)*Setup!$B$16+$C132),""))</f>
        <v/>
      </c>
      <c r="I132" s="18">
        <f t="shared" si="17"/>
        <v>0</v>
      </c>
      <c r="J132" s="19" t="str">
        <f>IF(OR($B132="",$C132&gt;Setup!$B$16),"",IFERROR(INDEX('Fixture Library'!$E$4:$E$83,MATCH(Setup!$B$7&amp;"-"&amp;$C132,'Fixture Library'!$A$4:$A$83,0)),""))</f>
        <v/>
      </c>
      <c r="K132" s="19" t="str">
        <f>IF(OR($B132="",$C132&gt;Setup!$B$16),"",IFERROR(INDEX('Fixture Library'!$F$4:$F$83,MATCH(Setup!$B$7&amp;"-"&amp;$C132,'Fixture Library'!$A$4:$A$83,0)),""))</f>
        <v/>
      </c>
      <c r="L132" s="16">
        <f t="shared" ref="L132:L195" si="22">IF($I132=1,IF($F132&gt;$H132,1,0),0)</f>
        <v>0</v>
      </c>
      <c r="M132" s="16">
        <f t="shared" ref="M132:M195" si="23">IF($I132=1,IF($H132&gt;$F132,1,0),0)</f>
        <v>0</v>
      </c>
      <c r="N132" s="16">
        <f t="shared" ref="N132:N195" si="24">IF($I132=1,IF($F132=$H132,1,0),0)</f>
        <v>0</v>
      </c>
      <c r="O132" s="16">
        <f t="shared" ref="O132:O195" si="25">IF($I132=1,$F132,0)</f>
        <v>0</v>
      </c>
      <c r="P132" s="16">
        <f t="shared" si="20"/>
        <v>0</v>
      </c>
      <c r="Q132" s="16">
        <f t="shared" si="20"/>
        <v>0</v>
      </c>
      <c r="R132" s="16">
        <f t="shared" ref="R132:R195" si="26">IF($I132=1,$F132,0)</f>
        <v>0</v>
      </c>
    </row>
    <row r="133" spans="1:18">
      <c r="A133" s="16">
        <v>130</v>
      </c>
      <c r="B133" s="16" t="str">
        <f>IF(INT(($A133-1)/28)+1&lt;=Setup!$B$6,INDEX(Setup!$B$22:$B$29,INT(($A133-1)/28)+1),"")</f>
        <v/>
      </c>
      <c r="C133" s="16" t="str">
        <f t="shared" si="21"/>
        <v/>
      </c>
      <c r="D133" s="16" t="str">
        <f>IF(OR($B133="",$C133&gt;Setup!$B$16),"",IFERROR(INDEX('Fixture Library'!$D$4:$D$83,MATCH(Setup!$B$7&amp;"-"&amp;$C133,'Fixture Library'!$A$4:$A$83,0)),""))</f>
        <v/>
      </c>
      <c r="E133" s="17" t="str">
        <f>IF($J133="","",IFERROR(INDEX(Teams!$D$4:$D$67,MATCH($B133&amp;"-"&amp;$J133,Teams!$E$4:$E$67,0)),""))</f>
        <v/>
      </c>
      <c r="F133" s="16" t="str">
        <f>IF(OR($E133="",$G133="",$C133&gt;Setup!$B$16),"",IFERROR(INDEX(Results!$E$5:$E$228,INT(($A133-1)/28)*Setup!$B$16+$C133),""))</f>
        <v/>
      </c>
      <c r="G133" s="17" t="str">
        <f>IF($K133="","",IFERROR(INDEX(Teams!$D$4:$D$67,MATCH($B133&amp;"-"&amp;$K133,Teams!$E$4:$E$67,0)),""))</f>
        <v/>
      </c>
      <c r="H133" s="16" t="str">
        <f>IF(OR($E133="",$G133="",$C133&gt;Setup!$B$16),"",IFERROR(INDEX(Results!$F$5:$F$228,INT(($A133-1)/28)*Setup!$B$16+$C133),""))</f>
        <v/>
      </c>
      <c r="I133" s="18">
        <f t="shared" ref="I133:I196" si="27">IF(AND($E133&lt;&gt;"",$G133&lt;&gt;"",ISNUMBER($F133),ISNUMBER($H133)),1,0)</f>
        <v>0</v>
      </c>
      <c r="J133" s="19" t="str">
        <f>IF(OR($B133="",$C133&gt;Setup!$B$16),"",IFERROR(INDEX('Fixture Library'!$E$4:$E$83,MATCH(Setup!$B$7&amp;"-"&amp;$C133,'Fixture Library'!$A$4:$A$83,0)),""))</f>
        <v/>
      </c>
      <c r="K133" s="19" t="str">
        <f>IF(OR($B133="",$C133&gt;Setup!$B$16),"",IFERROR(INDEX('Fixture Library'!$F$4:$F$83,MATCH(Setup!$B$7&amp;"-"&amp;$C133,'Fixture Library'!$A$4:$A$83,0)),""))</f>
        <v/>
      </c>
      <c r="L133" s="16">
        <f t="shared" si="22"/>
        <v>0</v>
      </c>
      <c r="M133" s="16">
        <f t="shared" si="23"/>
        <v>0</v>
      </c>
      <c r="N133" s="16">
        <f t="shared" si="24"/>
        <v>0</v>
      </c>
      <c r="O133" s="16">
        <f t="shared" si="25"/>
        <v>0</v>
      </c>
      <c r="P133" s="16">
        <f t="shared" si="20"/>
        <v>0</v>
      </c>
      <c r="Q133" s="16">
        <f t="shared" si="20"/>
        <v>0</v>
      </c>
      <c r="R133" s="16">
        <f t="shared" si="26"/>
        <v>0</v>
      </c>
    </row>
    <row r="134" spans="1:18">
      <c r="A134" s="16">
        <v>131</v>
      </c>
      <c r="B134" s="16" t="str">
        <f>IF(INT(($A134-1)/28)+1&lt;=Setup!$B$6,INDEX(Setup!$B$22:$B$29,INT(($A134-1)/28)+1),"")</f>
        <v/>
      </c>
      <c r="C134" s="16" t="str">
        <f t="shared" si="21"/>
        <v/>
      </c>
      <c r="D134" s="16" t="str">
        <f>IF(OR($B134="",$C134&gt;Setup!$B$16),"",IFERROR(INDEX('Fixture Library'!$D$4:$D$83,MATCH(Setup!$B$7&amp;"-"&amp;$C134,'Fixture Library'!$A$4:$A$83,0)),""))</f>
        <v/>
      </c>
      <c r="E134" s="17" t="str">
        <f>IF($J134="","",IFERROR(INDEX(Teams!$D$4:$D$67,MATCH($B134&amp;"-"&amp;$J134,Teams!$E$4:$E$67,0)),""))</f>
        <v/>
      </c>
      <c r="F134" s="16" t="str">
        <f>IF(OR($E134="",$G134="",$C134&gt;Setup!$B$16),"",IFERROR(INDEX(Results!$E$5:$E$228,INT(($A134-1)/28)*Setup!$B$16+$C134),""))</f>
        <v/>
      </c>
      <c r="G134" s="17" t="str">
        <f>IF($K134="","",IFERROR(INDEX(Teams!$D$4:$D$67,MATCH($B134&amp;"-"&amp;$K134,Teams!$E$4:$E$67,0)),""))</f>
        <v/>
      </c>
      <c r="H134" s="16" t="str">
        <f>IF(OR($E134="",$G134="",$C134&gt;Setup!$B$16),"",IFERROR(INDEX(Results!$F$5:$F$228,INT(($A134-1)/28)*Setup!$B$16+$C134),""))</f>
        <v/>
      </c>
      <c r="I134" s="18">
        <f t="shared" si="27"/>
        <v>0</v>
      </c>
      <c r="J134" s="19" t="str">
        <f>IF(OR($B134="",$C134&gt;Setup!$B$16),"",IFERROR(INDEX('Fixture Library'!$E$4:$E$83,MATCH(Setup!$B$7&amp;"-"&amp;$C134,'Fixture Library'!$A$4:$A$83,0)),""))</f>
        <v/>
      </c>
      <c r="K134" s="19" t="str">
        <f>IF(OR($B134="",$C134&gt;Setup!$B$16),"",IFERROR(INDEX('Fixture Library'!$F$4:$F$83,MATCH(Setup!$B$7&amp;"-"&amp;$C134,'Fixture Library'!$A$4:$A$83,0)),""))</f>
        <v/>
      </c>
      <c r="L134" s="16">
        <f t="shared" si="22"/>
        <v>0</v>
      </c>
      <c r="M134" s="16">
        <f t="shared" si="23"/>
        <v>0</v>
      </c>
      <c r="N134" s="16">
        <f t="shared" si="24"/>
        <v>0</v>
      </c>
      <c r="O134" s="16">
        <f t="shared" si="25"/>
        <v>0</v>
      </c>
      <c r="P134" s="16">
        <f t="shared" si="20"/>
        <v>0</v>
      </c>
      <c r="Q134" s="16">
        <f t="shared" si="20"/>
        <v>0</v>
      </c>
      <c r="R134" s="16">
        <f t="shared" si="26"/>
        <v>0</v>
      </c>
    </row>
    <row r="135" spans="1:18">
      <c r="A135" s="16">
        <v>132</v>
      </c>
      <c r="B135" s="16" t="str">
        <f>IF(INT(($A135-1)/28)+1&lt;=Setup!$B$6,INDEX(Setup!$B$22:$B$29,INT(($A135-1)/28)+1),"")</f>
        <v/>
      </c>
      <c r="C135" s="16" t="str">
        <f t="shared" si="21"/>
        <v/>
      </c>
      <c r="D135" s="16" t="str">
        <f>IF(OR($B135="",$C135&gt;Setup!$B$16),"",IFERROR(INDEX('Fixture Library'!$D$4:$D$83,MATCH(Setup!$B$7&amp;"-"&amp;$C135,'Fixture Library'!$A$4:$A$83,0)),""))</f>
        <v/>
      </c>
      <c r="E135" s="17" t="str">
        <f>IF($J135="","",IFERROR(INDEX(Teams!$D$4:$D$67,MATCH($B135&amp;"-"&amp;$J135,Teams!$E$4:$E$67,0)),""))</f>
        <v/>
      </c>
      <c r="F135" s="16" t="str">
        <f>IF(OR($E135="",$G135="",$C135&gt;Setup!$B$16),"",IFERROR(INDEX(Results!$E$5:$E$228,INT(($A135-1)/28)*Setup!$B$16+$C135),""))</f>
        <v/>
      </c>
      <c r="G135" s="17" t="str">
        <f>IF($K135="","",IFERROR(INDEX(Teams!$D$4:$D$67,MATCH($B135&amp;"-"&amp;$K135,Teams!$E$4:$E$67,0)),""))</f>
        <v/>
      </c>
      <c r="H135" s="16" t="str">
        <f>IF(OR($E135="",$G135="",$C135&gt;Setup!$B$16),"",IFERROR(INDEX(Results!$F$5:$F$228,INT(($A135-1)/28)*Setup!$B$16+$C135),""))</f>
        <v/>
      </c>
      <c r="I135" s="18">
        <f t="shared" si="27"/>
        <v>0</v>
      </c>
      <c r="J135" s="19" t="str">
        <f>IF(OR($B135="",$C135&gt;Setup!$B$16),"",IFERROR(INDEX('Fixture Library'!$E$4:$E$83,MATCH(Setup!$B$7&amp;"-"&amp;$C135,'Fixture Library'!$A$4:$A$83,0)),""))</f>
        <v/>
      </c>
      <c r="K135" s="19" t="str">
        <f>IF(OR($B135="",$C135&gt;Setup!$B$16),"",IFERROR(INDEX('Fixture Library'!$F$4:$F$83,MATCH(Setup!$B$7&amp;"-"&amp;$C135,'Fixture Library'!$A$4:$A$83,0)),""))</f>
        <v/>
      </c>
      <c r="L135" s="16">
        <f t="shared" si="22"/>
        <v>0</v>
      </c>
      <c r="M135" s="16">
        <f t="shared" si="23"/>
        <v>0</v>
      </c>
      <c r="N135" s="16">
        <f t="shared" si="24"/>
        <v>0</v>
      </c>
      <c r="O135" s="16">
        <f t="shared" si="25"/>
        <v>0</v>
      </c>
      <c r="P135" s="16">
        <f t="shared" si="20"/>
        <v>0</v>
      </c>
      <c r="Q135" s="16">
        <f t="shared" si="20"/>
        <v>0</v>
      </c>
      <c r="R135" s="16">
        <f t="shared" si="26"/>
        <v>0</v>
      </c>
    </row>
    <row r="136" spans="1:18">
      <c r="A136" s="16">
        <v>133</v>
      </c>
      <c r="B136" s="16" t="str">
        <f>IF(INT(($A136-1)/28)+1&lt;=Setup!$B$6,INDEX(Setup!$B$22:$B$29,INT(($A136-1)/28)+1),"")</f>
        <v/>
      </c>
      <c r="C136" s="16" t="str">
        <f t="shared" si="21"/>
        <v/>
      </c>
      <c r="D136" s="16" t="str">
        <f>IF(OR($B136="",$C136&gt;Setup!$B$16),"",IFERROR(INDEX('Fixture Library'!$D$4:$D$83,MATCH(Setup!$B$7&amp;"-"&amp;$C136,'Fixture Library'!$A$4:$A$83,0)),""))</f>
        <v/>
      </c>
      <c r="E136" s="17" t="str">
        <f>IF($J136="","",IFERROR(INDEX(Teams!$D$4:$D$67,MATCH($B136&amp;"-"&amp;$J136,Teams!$E$4:$E$67,0)),""))</f>
        <v/>
      </c>
      <c r="F136" s="16" t="str">
        <f>IF(OR($E136="",$G136="",$C136&gt;Setup!$B$16),"",IFERROR(INDEX(Results!$E$5:$E$228,INT(($A136-1)/28)*Setup!$B$16+$C136),""))</f>
        <v/>
      </c>
      <c r="G136" s="17" t="str">
        <f>IF($K136="","",IFERROR(INDEX(Teams!$D$4:$D$67,MATCH($B136&amp;"-"&amp;$K136,Teams!$E$4:$E$67,0)),""))</f>
        <v/>
      </c>
      <c r="H136" s="16" t="str">
        <f>IF(OR($E136="",$G136="",$C136&gt;Setup!$B$16),"",IFERROR(INDEX(Results!$F$5:$F$228,INT(($A136-1)/28)*Setup!$B$16+$C136),""))</f>
        <v/>
      </c>
      <c r="I136" s="18">
        <f t="shared" si="27"/>
        <v>0</v>
      </c>
      <c r="J136" s="19" t="str">
        <f>IF(OR($B136="",$C136&gt;Setup!$B$16),"",IFERROR(INDEX('Fixture Library'!$E$4:$E$83,MATCH(Setup!$B$7&amp;"-"&amp;$C136,'Fixture Library'!$A$4:$A$83,0)),""))</f>
        <v/>
      </c>
      <c r="K136" s="19" t="str">
        <f>IF(OR($B136="",$C136&gt;Setup!$B$16),"",IFERROR(INDEX('Fixture Library'!$F$4:$F$83,MATCH(Setup!$B$7&amp;"-"&amp;$C136,'Fixture Library'!$A$4:$A$83,0)),""))</f>
        <v/>
      </c>
      <c r="L136" s="16">
        <f t="shared" si="22"/>
        <v>0</v>
      </c>
      <c r="M136" s="16">
        <f t="shared" si="23"/>
        <v>0</v>
      </c>
      <c r="N136" s="16">
        <f t="shared" si="24"/>
        <v>0</v>
      </c>
      <c r="O136" s="16">
        <f t="shared" si="25"/>
        <v>0</v>
      </c>
      <c r="P136" s="16">
        <f t="shared" si="20"/>
        <v>0</v>
      </c>
      <c r="Q136" s="16">
        <f t="shared" si="20"/>
        <v>0</v>
      </c>
      <c r="R136" s="16">
        <f t="shared" si="26"/>
        <v>0</v>
      </c>
    </row>
    <row r="137" spans="1:18">
      <c r="A137" s="16">
        <v>134</v>
      </c>
      <c r="B137" s="16" t="str">
        <f>IF(INT(($A137-1)/28)+1&lt;=Setup!$B$6,INDEX(Setup!$B$22:$B$29,INT(($A137-1)/28)+1),"")</f>
        <v/>
      </c>
      <c r="C137" s="16" t="str">
        <f t="shared" si="21"/>
        <v/>
      </c>
      <c r="D137" s="16" t="str">
        <f>IF(OR($B137="",$C137&gt;Setup!$B$16),"",IFERROR(INDEX('Fixture Library'!$D$4:$D$83,MATCH(Setup!$B$7&amp;"-"&amp;$C137,'Fixture Library'!$A$4:$A$83,0)),""))</f>
        <v/>
      </c>
      <c r="E137" s="17" t="str">
        <f>IF($J137="","",IFERROR(INDEX(Teams!$D$4:$D$67,MATCH($B137&amp;"-"&amp;$J137,Teams!$E$4:$E$67,0)),""))</f>
        <v/>
      </c>
      <c r="F137" s="16" t="str">
        <f>IF(OR($E137="",$G137="",$C137&gt;Setup!$B$16),"",IFERROR(INDEX(Results!$E$5:$E$228,INT(($A137-1)/28)*Setup!$B$16+$C137),""))</f>
        <v/>
      </c>
      <c r="G137" s="17" t="str">
        <f>IF($K137="","",IFERROR(INDEX(Teams!$D$4:$D$67,MATCH($B137&amp;"-"&amp;$K137,Teams!$E$4:$E$67,0)),""))</f>
        <v/>
      </c>
      <c r="H137" s="16" t="str">
        <f>IF(OR($E137="",$G137="",$C137&gt;Setup!$B$16),"",IFERROR(INDEX(Results!$F$5:$F$228,INT(($A137-1)/28)*Setup!$B$16+$C137),""))</f>
        <v/>
      </c>
      <c r="I137" s="18">
        <f t="shared" si="27"/>
        <v>0</v>
      </c>
      <c r="J137" s="19" t="str">
        <f>IF(OR($B137="",$C137&gt;Setup!$B$16),"",IFERROR(INDEX('Fixture Library'!$E$4:$E$83,MATCH(Setup!$B$7&amp;"-"&amp;$C137,'Fixture Library'!$A$4:$A$83,0)),""))</f>
        <v/>
      </c>
      <c r="K137" s="19" t="str">
        <f>IF(OR($B137="",$C137&gt;Setup!$B$16),"",IFERROR(INDEX('Fixture Library'!$F$4:$F$83,MATCH(Setup!$B$7&amp;"-"&amp;$C137,'Fixture Library'!$A$4:$A$83,0)),""))</f>
        <v/>
      </c>
      <c r="L137" s="16">
        <f t="shared" si="22"/>
        <v>0</v>
      </c>
      <c r="M137" s="16">
        <f t="shared" si="23"/>
        <v>0</v>
      </c>
      <c r="N137" s="16">
        <f t="shared" si="24"/>
        <v>0</v>
      </c>
      <c r="O137" s="16">
        <f t="shared" si="25"/>
        <v>0</v>
      </c>
      <c r="P137" s="16">
        <f t="shared" si="20"/>
        <v>0</v>
      </c>
      <c r="Q137" s="16">
        <f t="shared" si="20"/>
        <v>0</v>
      </c>
      <c r="R137" s="16">
        <f t="shared" si="26"/>
        <v>0</v>
      </c>
    </row>
    <row r="138" spans="1:18">
      <c r="A138" s="16">
        <v>135</v>
      </c>
      <c r="B138" s="16" t="str">
        <f>IF(INT(($A138-1)/28)+1&lt;=Setup!$B$6,INDEX(Setup!$B$22:$B$29,INT(($A138-1)/28)+1),"")</f>
        <v/>
      </c>
      <c r="C138" s="16" t="str">
        <f t="shared" si="21"/>
        <v/>
      </c>
      <c r="D138" s="16" t="str">
        <f>IF(OR($B138="",$C138&gt;Setup!$B$16),"",IFERROR(INDEX('Fixture Library'!$D$4:$D$83,MATCH(Setup!$B$7&amp;"-"&amp;$C138,'Fixture Library'!$A$4:$A$83,0)),""))</f>
        <v/>
      </c>
      <c r="E138" s="17" t="str">
        <f>IF($J138="","",IFERROR(INDEX(Teams!$D$4:$D$67,MATCH($B138&amp;"-"&amp;$J138,Teams!$E$4:$E$67,0)),""))</f>
        <v/>
      </c>
      <c r="F138" s="16" t="str">
        <f>IF(OR($E138="",$G138="",$C138&gt;Setup!$B$16),"",IFERROR(INDEX(Results!$E$5:$E$228,INT(($A138-1)/28)*Setup!$B$16+$C138),""))</f>
        <v/>
      </c>
      <c r="G138" s="17" t="str">
        <f>IF($K138="","",IFERROR(INDEX(Teams!$D$4:$D$67,MATCH($B138&amp;"-"&amp;$K138,Teams!$E$4:$E$67,0)),""))</f>
        <v/>
      </c>
      <c r="H138" s="16" t="str">
        <f>IF(OR($E138="",$G138="",$C138&gt;Setup!$B$16),"",IFERROR(INDEX(Results!$F$5:$F$228,INT(($A138-1)/28)*Setup!$B$16+$C138),""))</f>
        <v/>
      </c>
      <c r="I138" s="18">
        <f t="shared" si="27"/>
        <v>0</v>
      </c>
      <c r="J138" s="19" t="str">
        <f>IF(OR($B138="",$C138&gt;Setup!$B$16),"",IFERROR(INDEX('Fixture Library'!$E$4:$E$83,MATCH(Setup!$B$7&amp;"-"&amp;$C138,'Fixture Library'!$A$4:$A$83,0)),""))</f>
        <v/>
      </c>
      <c r="K138" s="19" t="str">
        <f>IF(OR($B138="",$C138&gt;Setup!$B$16),"",IFERROR(INDEX('Fixture Library'!$F$4:$F$83,MATCH(Setup!$B$7&amp;"-"&amp;$C138,'Fixture Library'!$A$4:$A$83,0)),""))</f>
        <v/>
      </c>
      <c r="L138" s="16">
        <f t="shared" si="22"/>
        <v>0</v>
      </c>
      <c r="M138" s="16">
        <f t="shared" si="23"/>
        <v>0</v>
      </c>
      <c r="N138" s="16">
        <f t="shared" si="24"/>
        <v>0</v>
      </c>
      <c r="O138" s="16">
        <f t="shared" si="25"/>
        <v>0</v>
      </c>
      <c r="P138" s="16">
        <f t="shared" si="20"/>
        <v>0</v>
      </c>
      <c r="Q138" s="16">
        <f t="shared" si="20"/>
        <v>0</v>
      </c>
      <c r="R138" s="16">
        <f t="shared" si="26"/>
        <v>0</v>
      </c>
    </row>
    <row r="139" spans="1:18">
      <c r="A139" s="16">
        <v>136</v>
      </c>
      <c r="B139" s="16" t="str">
        <f>IF(INT(($A139-1)/28)+1&lt;=Setup!$B$6,INDEX(Setup!$B$22:$B$29,INT(($A139-1)/28)+1),"")</f>
        <v/>
      </c>
      <c r="C139" s="16" t="str">
        <f t="shared" si="21"/>
        <v/>
      </c>
      <c r="D139" s="16" t="str">
        <f>IF(OR($B139="",$C139&gt;Setup!$B$16),"",IFERROR(INDEX('Fixture Library'!$D$4:$D$83,MATCH(Setup!$B$7&amp;"-"&amp;$C139,'Fixture Library'!$A$4:$A$83,0)),""))</f>
        <v/>
      </c>
      <c r="E139" s="17" t="str">
        <f>IF($J139="","",IFERROR(INDEX(Teams!$D$4:$D$67,MATCH($B139&amp;"-"&amp;$J139,Teams!$E$4:$E$67,0)),""))</f>
        <v/>
      </c>
      <c r="F139" s="16" t="str">
        <f>IF(OR($E139="",$G139="",$C139&gt;Setup!$B$16),"",IFERROR(INDEX(Results!$E$5:$E$228,INT(($A139-1)/28)*Setup!$B$16+$C139),""))</f>
        <v/>
      </c>
      <c r="G139" s="17" t="str">
        <f>IF($K139="","",IFERROR(INDEX(Teams!$D$4:$D$67,MATCH($B139&amp;"-"&amp;$K139,Teams!$E$4:$E$67,0)),""))</f>
        <v/>
      </c>
      <c r="H139" s="16" t="str">
        <f>IF(OR($E139="",$G139="",$C139&gt;Setup!$B$16),"",IFERROR(INDEX(Results!$F$5:$F$228,INT(($A139-1)/28)*Setup!$B$16+$C139),""))</f>
        <v/>
      </c>
      <c r="I139" s="18">
        <f t="shared" si="27"/>
        <v>0</v>
      </c>
      <c r="J139" s="19" t="str">
        <f>IF(OR($B139="",$C139&gt;Setup!$B$16),"",IFERROR(INDEX('Fixture Library'!$E$4:$E$83,MATCH(Setup!$B$7&amp;"-"&amp;$C139,'Fixture Library'!$A$4:$A$83,0)),""))</f>
        <v/>
      </c>
      <c r="K139" s="19" t="str">
        <f>IF(OR($B139="",$C139&gt;Setup!$B$16),"",IFERROR(INDEX('Fixture Library'!$F$4:$F$83,MATCH(Setup!$B$7&amp;"-"&amp;$C139,'Fixture Library'!$A$4:$A$83,0)),""))</f>
        <v/>
      </c>
      <c r="L139" s="16">
        <f t="shared" si="22"/>
        <v>0</v>
      </c>
      <c r="M139" s="16">
        <f t="shared" si="23"/>
        <v>0</v>
      </c>
      <c r="N139" s="16">
        <f t="shared" si="24"/>
        <v>0</v>
      </c>
      <c r="O139" s="16">
        <f t="shared" si="25"/>
        <v>0</v>
      </c>
      <c r="P139" s="16">
        <f t="shared" si="20"/>
        <v>0</v>
      </c>
      <c r="Q139" s="16">
        <f t="shared" si="20"/>
        <v>0</v>
      </c>
      <c r="R139" s="16">
        <f t="shared" si="26"/>
        <v>0</v>
      </c>
    </row>
    <row r="140" spans="1:18">
      <c r="A140" s="16">
        <v>137</v>
      </c>
      <c r="B140" s="16" t="str">
        <f>IF(INT(($A140-1)/28)+1&lt;=Setup!$B$6,INDEX(Setup!$B$22:$B$29,INT(($A140-1)/28)+1),"")</f>
        <v/>
      </c>
      <c r="C140" s="16" t="str">
        <f t="shared" si="21"/>
        <v/>
      </c>
      <c r="D140" s="16" t="str">
        <f>IF(OR($B140="",$C140&gt;Setup!$B$16),"",IFERROR(INDEX('Fixture Library'!$D$4:$D$83,MATCH(Setup!$B$7&amp;"-"&amp;$C140,'Fixture Library'!$A$4:$A$83,0)),""))</f>
        <v/>
      </c>
      <c r="E140" s="17" t="str">
        <f>IF($J140="","",IFERROR(INDEX(Teams!$D$4:$D$67,MATCH($B140&amp;"-"&amp;$J140,Teams!$E$4:$E$67,0)),""))</f>
        <v/>
      </c>
      <c r="F140" s="16" t="str">
        <f>IF(OR($E140="",$G140="",$C140&gt;Setup!$B$16),"",IFERROR(INDEX(Results!$E$5:$E$228,INT(($A140-1)/28)*Setup!$B$16+$C140),""))</f>
        <v/>
      </c>
      <c r="G140" s="17" t="str">
        <f>IF($K140="","",IFERROR(INDEX(Teams!$D$4:$D$67,MATCH($B140&amp;"-"&amp;$K140,Teams!$E$4:$E$67,0)),""))</f>
        <v/>
      </c>
      <c r="H140" s="16" t="str">
        <f>IF(OR($E140="",$G140="",$C140&gt;Setup!$B$16),"",IFERROR(INDEX(Results!$F$5:$F$228,INT(($A140-1)/28)*Setup!$B$16+$C140),""))</f>
        <v/>
      </c>
      <c r="I140" s="18">
        <f t="shared" si="27"/>
        <v>0</v>
      </c>
      <c r="J140" s="19" t="str">
        <f>IF(OR($B140="",$C140&gt;Setup!$B$16),"",IFERROR(INDEX('Fixture Library'!$E$4:$E$83,MATCH(Setup!$B$7&amp;"-"&amp;$C140,'Fixture Library'!$A$4:$A$83,0)),""))</f>
        <v/>
      </c>
      <c r="K140" s="19" t="str">
        <f>IF(OR($B140="",$C140&gt;Setup!$B$16),"",IFERROR(INDEX('Fixture Library'!$F$4:$F$83,MATCH(Setup!$B$7&amp;"-"&amp;$C140,'Fixture Library'!$A$4:$A$83,0)),""))</f>
        <v/>
      </c>
      <c r="L140" s="16">
        <f t="shared" si="22"/>
        <v>0</v>
      </c>
      <c r="M140" s="16">
        <f t="shared" si="23"/>
        <v>0</v>
      </c>
      <c r="N140" s="16">
        <f t="shared" si="24"/>
        <v>0</v>
      </c>
      <c r="O140" s="16">
        <f t="shared" si="25"/>
        <v>0</v>
      </c>
      <c r="P140" s="16">
        <f t="shared" si="20"/>
        <v>0</v>
      </c>
      <c r="Q140" s="16">
        <f t="shared" si="20"/>
        <v>0</v>
      </c>
      <c r="R140" s="16">
        <f t="shared" si="26"/>
        <v>0</v>
      </c>
    </row>
    <row r="141" spans="1:18">
      <c r="A141" s="16">
        <v>138</v>
      </c>
      <c r="B141" s="16" t="str">
        <f>IF(INT(($A141-1)/28)+1&lt;=Setup!$B$6,INDEX(Setup!$B$22:$B$29,INT(($A141-1)/28)+1),"")</f>
        <v/>
      </c>
      <c r="C141" s="16" t="str">
        <f t="shared" si="21"/>
        <v/>
      </c>
      <c r="D141" s="16" t="str">
        <f>IF(OR($B141="",$C141&gt;Setup!$B$16),"",IFERROR(INDEX('Fixture Library'!$D$4:$D$83,MATCH(Setup!$B$7&amp;"-"&amp;$C141,'Fixture Library'!$A$4:$A$83,0)),""))</f>
        <v/>
      </c>
      <c r="E141" s="17" t="str">
        <f>IF($J141="","",IFERROR(INDEX(Teams!$D$4:$D$67,MATCH($B141&amp;"-"&amp;$J141,Teams!$E$4:$E$67,0)),""))</f>
        <v/>
      </c>
      <c r="F141" s="16" t="str">
        <f>IF(OR($E141="",$G141="",$C141&gt;Setup!$B$16),"",IFERROR(INDEX(Results!$E$5:$E$228,INT(($A141-1)/28)*Setup!$B$16+$C141),""))</f>
        <v/>
      </c>
      <c r="G141" s="17" t="str">
        <f>IF($K141="","",IFERROR(INDEX(Teams!$D$4:$D$67,MATCH($B141&amp;"-"&amp;$K141,Teams!$E$4:$E$67,0)),""))</f>
        <v/>
      </c>
      <c r="H141" s="16" t="str">
        <f>IF(OR($E141="",$G141="",$C141&gt;Setup!$B$16),"",IFERROR(INDEX(Results!$F$5:$F$228,INT(($A141-1)/28)*Setup!$B$16+$C141),""))</f>
        <v/>
      </c>
      <c r="I141" s="18">
        <f t="shared" si="27"/>
        <v>0</v>
      </c>
      <c r="J141" s="19" t="str">
        <f>IF(OR($B141="",$C141&gt;Setup!$B$16),"",IFERROR(INDEX('Fixture Library'!$E$4:$E$83,MATCH(Setup!$B$7&amp;"-"&amp;$C141,'Fixture Library'!$A$4:$A$83,0)),""))</f>
        <v/>
      </c>
      <c r="K141" s="19" t="str">
        <f>IF(OR($B141="",$C141&gt;Setup!$B$16),"",IFERROR(INDEX('Fixture Library'!$F$4:$F$83,MATCH(Setup!$B$7&amp;"-"&amp;$C141,'Fixture Library'!$A$4:$A$83,0)),""))</f>
        <v/>
      </c>
      <c r="L141" s="16">
        <f t="shared" si="22"/>
        <v>0</v>
      </c>
      <c r="M141" s="16">
        <f t="shared" si="23"/>
        <v>0</v>
      </c>
      <c r="N141" s="16">
        <f t="shared" si="24"/>
        <v>0</v>
      </c>
      <c r="O141" s="16">
        <f t="shared" si="25"/>
        <v>0</v>
      </c>
      <c r="P141" s="16">
        <f t="shared" si="20"/>
        <v>0</v>
      </c>
      <c r="Q141" s="16">
        <f t="shared" si="20"/>
        <v>0</v>
      </c>
      <c r="R141" s="16">
        <f t="shared" si="26"/>
        <v>0</v>
      </c>
    </row>
    <row r="142" spans="1:18">
      <c r="A142" s="16">
        <v>139</v>
      </c>
      <c r="B142" s="16" t="str">
        <f>IF(INT(($A142-1)/28)+1&lt;=Setup!$B$6,INDEX(Setup!$B$22:$B$29,INT(($A142-1)/28)+1),"")</f>
        <v/>
      </c>
      <c r="C142" s="16" t="str">
        <f t="shared" si="21"/>
        <v/>
      </c>
      <c r="D142" s="16" t="str">
        <f>IF(OR($B142="",$C142&gt;Setup!$B$16),"",IFERROR(INDEX('Fixture Library'!$D$4:$D$83,MATCH(Setup!$B$7&amp;"-"&amp;$C142,'Fixture Library'!$A$4:$A$83,0)),""))</f>
        <v/>
      </c>
      <c r="E142" s="17" t="str">
        <f>IF($J142="","",IFERROR(INDEX(Teams!$D$4:$D$67,MATCH($B142&amp;"-"&amp;$J142,Teams!$E$4:$E$67,0)),""))</f>
        <v/>
      </c>
      <c r="F142" s="16" t="str">
        <f>IF(OR($E142="",$G142="",$C142&gt;Setup!$B$16),"",IFERROR(INDEX(Results!$E$5:$E$228,INT(($A142-1)/28)*Setup!$B$16+$C142),""))</f>
        <v/>
      </c>
      <c r="G142" s="17" t="str">
        <f>IF($K142="","",IFERROR(INDEX(Teams!$D$4:$D$67,MATCH($B142&amp;"-"&amp;$K142,Teams!$E$4:$E$67,0)),""))</f>
        <v/>
      </c>
      <c r="H142" s="16" t="str">
        <f>IF(OR($E142="",$G142="",$C142&gt;Setup!$B$16),"",IFERROR(INDEX(Results!$F$5:$F$228,INT(($A142-1)/28)*Setup!$B$16+$C142),""))</f>
        <v/>
      </c>
      <c r="I142" s="18">
        <f t="shared" si="27"/>
        <v>0</v>
      </c>
      <c r="J142" s="19" t="str">
        <f>IF(OR($B142="",$C142&gt;Setup!$B$16),"",IFERROR(INDEX('Fixture Library'!$E$4:$E$83,MATCH(Setup!$B$7&amp;"-"&amp;$C142,'Fixture Library'!$A$4:$A$83,0)),""))</f>
        <v/>
      </c>
      <c r="K142" s="19" t="str">
        <f>IF(OR($B142="",$C142&gt;Setup!$B$16),"",IFERROR(INDEX('Fixture Library'!$F$4:$F$83,MATCH(Setup!$B$7&amp;"-"&amp;$C142,'Fixture Library'!$A$4:$A$83,0)),""))</f>
        <v/>
      </c>
      <c r="L142" s="16">
        <f t="shared" si="22"/>
        <v>0</v>
      </c>
      <c r="M142" s="16">
        <f t="shared" si="23"/>
        <v>0</v>
      </c>
      <c r="N142" s="16">
        <f t="shared" si="24"/>
        <v>0</v>
      </c>
      <c r="O142" s="16">
        <f t="shared" si="25"/>
        <v>0</v>
      </c>
      <c r="P142" s="16">
        <f t="shared" si="20"/>
        <v>0</v>
      </c>
      <c r="Q142" s="16">
        <f t="shared" si="20"/>
        <v>0</v>
      </c>
      <c r="R142" s="16">
        <f t="shared" si="26"/>
        <v>0</v>
      </c>
    </row>
    <row r="143" spans="1:18">
      <c r="A143" s="16">
        <v>140</v>
      </c>
      <c r="B143" s="16" t="str">
        <f>IF(INT(($A143-1)/28)+1&lt;=Setup!$B$6,INDEX(Setup!$B$22:$B$29,INT(($A143-1)/28)+1),"")</f>
        <v/>
      </c>
      <c r="C143" s="16" t="str">
        <f t="shared" si="21"/>
        <v/>
      </c>
      <c r="D143" s="16" t="str">
        <f>IF(OR($B143="",$C143&gt;Setup!$B$16),"",IFERROR(INDEX('Fixture Library'!$D$4:$D$83,MATCH(Setup!$B$7&amp;"-"&amp;$C143,'Fixture Library'!$A$4:$A$83,0)),""))</f>
        <v/>
      </c>
      <c r="E143" s="17" t="str">
        <f>IF($J143="","",IFERROR(INDEX(Teams!$D$4:$D$67,MATCH($B143&amp;"-"&amp;$J143,Teams!$E$4:$E$67,0)),""))</f>
        <v/>
      </c>
      <c r="F143" s="16" t="str">
        <f>IF(OR($E143="",$G143="",$C143&gt;Setup!$B$16),"",IFERROR(INDEX(Results!$E$5:$E$228,INT(($A143-1)/28)*Setup!$B$16+$C143),""))</f>
        <v/>
      </c>
      <c r="G143" s="17" t="str">
        <f>IF($K143="","",IFERROR(INDEX(Teams!$D$4:$D$67,MATCH($B143&amp;"-"&amp;$K143,Teams!$E$4:$E$67,0)),""))</f>
        <v/>
      </c>
      <c r="H143" s="16" t="str">
        <f>IF(OR($E143="",$G143="",$C143&gt;Setup!$B$16),"",IFERROR(INDEX(Results!$F$5:$F$228,INT(($A143-1)/28)*Setup!$B$16+$C143),""))</f>
        <v/>
      </c>
      <c r="I143" s="18">
        <f t="shared" si="27"/>
        <v>0</v>
      </c>
      <c r="J143" s="19" t="str">
        <f>IF(OR($B143="",$C143&gt;Setup!$B$16),"",IFERROR(INDEX('Fixture Library'!$E$4:$E$83,MATCH(Setup!$B$7&amp;"-"&amp;$C143,'Fixture Library'!$A$4:$A$83,0)),""))</f>
        <v/>
      </c>
      <c r="K143" s="19" t="str">
        <f>IF(OR($B143="",$C143&gt;Setup!$B$16),"",IFERROR(INDEX('Fixture Library'!$F$4:$F$83,MATCH(Setup!$B$7&amp;"-"&amp;$C143,'Fixture Library'!$A$4:$A$83,0)),""))</f>
        <v/>
      </c>
      <c r="L143" s="16">
        <f t="shared" si="22"/>
        <v>0</v>
      </c>
      <c r="M143" s="16">
        <f t="shared" si="23"/>
        <v>0</v>
      </c>
      <c r="N143" s="16">
        <f t="shared" si="24"/>
        <v>0</v>
      </c>
      <c r="O143" s="16">
        <f t="shared" si="25"/>
        <v>0</v>
      </c>
      <c r="P143" s="16">
        <f t="shared" si="20"/>
        <v>0</v>
      </c>
      <c r="Q143" s="16">
        <f t="shared" si="20"/>
        <v>0</v>
      </c>
      <c r="R143" s="16">
        <f t="shared" si="26"/>
        <v>0</v>
      </c>
    </row>
    <row r="144" spans="1:18">
      <c r="A144" s="16">
        <v>141</v>
      </c>
      <c r="B144" s="16" t="str">
        <f>IF(INT(($A144-1)/28)+1&lt;=Setup!$B$6,INDEX(Setup!$B$22:$B$29,INT(($A144-1)/28)+1),"")</f>
        <v/>
      </c>
      <c r="C144" s="16" t="str">
        <f t="shared" si="21"/>
        <v/>
      </c>
      <c r="D144" s="16" t="str">
        <f>IF(OR($B144="",$C144&gt;Setup!$B$16),"",IFERROR(INDEX('Fixture Library'!$D$4:$D$83,MATCH(Setup!$B$7&amp;"-"&amp;$C144,'Fixture Library'!$A$4:$A$83,0)),""))</f>
        <v/>
      </c>
      <c r="E144" s="17" t="str">
        <f>IF($J144="","",IFERROR(INDEX(Teams!$D$4:$D$67,MATCH($B144&amp;"-"&amp;$J144,Teams!$E$4:$E$67,0)),""))</f>
        <v/>
      </c>
      <c r="F144" s="16" t="str">
        <f>IF(OR($E144="",$G144="",$C144&gt;Setup!$B$16),"",IFERROR(INDEX(Results!$E$5:$E$228,INT(($A144-1)/28)*Setup!$B$16+$C144),""))</f>
        <v/>
      </c>
      <c r="G144" s="17" t="str">
        <f>IF($K144="","",IFERROR(INDEX(Teams!$D$4:$D$67,MATCH($B144&amp;"-"&amp;$K144,Teams!$E$4:$E$67,0)),""))</f>
        <v/>
      </c>
      <c r="H144" s="16" t="str">
        <f>IF(OR($E144="",$G144="",$C144&gt;Setup!$B$16),"",IFERROR(INDEX(Results!$F$5:$F$228,INT(($A144-1)/28)*Setup!$B$16+$C144),""))</f>
        <v/>
      </c>
      <c r="I144" s="18">
        <f t="shared" si="27"/>
        <v>0</v>
      </c>
      <c r="J144" s="19" t="str">
        <f>IF(OR($B144="",$C144&gt;Setup!$B$16),"",IFERROR(INDEX('Fixture Library'!$E$4:$E$83,MATCH(Setup!$B$7&amp;"-"&amp;$C144,'Fixture Library'!$A$4:$A$83,0)),""))</f>
        <v/>
      </c>
      <c r="K144" s="19" t="str">
        <f>IF(OR($B144="",$C144&gt;Setup!$B$16),"",IFERROR(INDEX('Fixture Library'!$F$4:$F$83,MATCH(Setup!$B$7&amp;"-"&amp;$C144,'Fixture Library'!$A$4:$A$83,0)),""))</f>
        <v/>
      </c>
      <c r="L144" s="16">
        <f t="shared" si="22"/>
        <v>0</v>
      </c>
      <c r="M144" s="16">
        <f t="shared" si="23"/>
        <v>0</v>
      </c>
      <c r="N144" s="16">
        <f t="shared" si="24"/>
        <v>0</v>
      </c>
      <c r="O144" s="16">
        <f t="shared" si="25"/>
        <v>0</v>
      </c>
      <c r="P144" s="16">
        <f t="shared" ref="P144:Q163" si="28">IF($I144=1,$H144,0)</f>
        <v>0</v>
      </c>
      <c r="Q144" s="16">
        <f t="shared" si="28"/>
        <v>0</v>
      </c>
      <c r="R144" s="16">
        <f t="shared" si="26"/>
        <v>0</v>
      </c>
    </row>
    <row r="145" spans="1:18">
      <c r="A145" s="16">
        <v>142</v>
      </c>
      <c r="B145" s="16" t="str">
        <f>IF(INT(($A145-1)/28)+1&lt;=Setup!$B$6,INDEX(Setup!$B$22:$B$29,INT(($A145-1)/28)+1),"")</f>
        <v/>
      </c>
      <c r="C145" s="16" t="str">
        <f t="shared" si="21"/>
        <v/>
      </c>
      <c r="D145" s="16" t="str">
        <f>IF(OR($B145="",$C145&gt;Setup!$B$16),"",IFERROR(INDEX('Fixture Library'!$D$4:$D$83,MATCH(Setup!$B$7&amp;"-"&amp;$C145,'Fixture Library'!$A$4:$A$83,0)),""))</f>
        <v/>
      </c>
      <c r="E145" s="17" t="str">
        <f>IF($J145="","",IFERROR(INDEX(Teams!$D$4:$D$67,MATCH($B145&amp;"-"&amp;$J145,Teams!$E$4:$E$67,0)),""))</f>
        <v/>
      </c>
      <c r="F145" s="16" t="str">
        <f>IF(OR($E145="",$G145="",$C145&gt;Setup!$B$16),"",IFERROR(INDEX(Results!$E$5:$E$228,INT(($A145-1)/28)*Setup!$B$16+$C145),""))</f>
        <v/>
      </c>
      <c r="G145" s="17" t="str">
        <f>IF($K145="","",IFERROR(INDEX(Teams!$D$4:$D$67,MATCH($B145&amp;"-"&amp;$K145,Teams!$E$4:$E$67,0)),""))</f>
        <v/>
      </c>
      <c r="H145" s="16" t="str">
        <f>IF(OR($E145="",$G145="",$C145&gt;Setup!$B$16),"",IFERROR(INDEX(Results!$F$5:$F$228,INT(($A145-1)/28)*Setup!$B$16+$C145),""))</f>
        <v/>
      </c>
      <c r="I145" s="18">
        <f t="shared" si="27"/>
        <v>0</v>
      </c>
      <c r="J145" s="19" t="str">
        <f>IF(OR($B145="",$C145&gt;Setup!$B$16),"",IFERROR(INDEX('Fixture Library'!$E$4:$E$83,MATCH(Setup!$B$7&amp;"-"&amp;$C145,'Fixture Library'!$A$4:$A$83,0)),""))</f>
        <v/>
      </c>
      <c r="K145" s="19" t="str">
        <f>IF(OR($B145="",$C145&gt;Setup!$B$16),"",IFERROR(INDEX('Fixture Library'!$F$4:$F$83,MATCH(Setup!$B$7&amp;"-"&amp;$C145,'Fixture Library'!$A$4:$A$83,0)),""))</f>
        <v/>
      </c>
      <c r="L145" s="16">
        <f t="shared" si="22"/>
        <v>0</v>
      </c>
      <c r="M145" s="16">
        <f t="shared" si="23"/>
        <v>0</v>
      </c>
      <c r="N145" s="16">
        <f t="shared" si="24"/>
        <v>0</v>
      </c>
      <c r="O145" s="16">
        <f t="shared" si="25"/>
        <v>0</v>
      </c>
      <c r="P145" s="16">
        <f t="shared" si="28"/>
        <v>0</v>
      </c>
      <c r="Q145" s="16">
        <f t="shared" si="28"/>
        <v>0</v>
      </c>
      <c r="R145" s="16">
        <f t="shared" si="26"/>
        <v>0</v>
      </c>
    </row>
    <row r="146" spans="1:18">
      <c r="A146" s="16">
        <v>143</v>
      </c>
      <c r="B146" s="16" t="str">
        <f>IF(INT(($A146-1)/28)+1&lt;=Setup!$B$6,INDEX(Setup!$B$22:$B$29,INT(($A146-1)/28)+1),"")</f>
        <v/>
      </c>
      <c r="C146" s="16" t="str">
        <f t="shared" si="21"/>
        <v/>
      </c>
      <c r="D146" s="16" t="str">
        <f>IF(OR($B146="",$C146&gt;Setup!$B$16),"",IFERROR(INDEX('Fixture Library'!$D$4:$D$83,MATCH(Setup!$B$7&amp;"-"&amp;$C146,'Fixture Library'!$A$4:$A$83,0)),""))</f>
        <v/>
      </c>
      <c r="E146" s="17" t="str">
        <f>IF($J146="","",IFERROR(INDEX(Teams!$D$4:$D$67,MATCH($B146&amp;"-"&amp;$J146,Teams!$E$4:$E$67,0)),""))</f>
        <v/>
      </c>
      <c r="F146" s="16" t="str">
        <f>IF(OR($E146="",$G146="",$C146&gt;Setup!$B$16),"",IFERROR(INDEX(Results!$E$5:$E$228,INT(($A146-1)/28)*Setup!$B$16+$C146),""))</f>
        <v/>
      </c>
      <c r="G146" s="17" t="str">
        <f>IF($K146="","",IFERROR(INDEX(Teams!$D$4:$D$67,MATCH($B146&amp;"-"&amp;$K146,Teams!$E$4:$E$67,0)),""))</f>
        <v/>
      </c>
      <c r="H146" s="16" t="str">
        <f>IF(OR($E146="",$G146="",$C146&gt;Setup!$B$16),"",IFERROR(INDEX(Results!$F$5:$F$228,INT(($A146-1)/28)*Setup!$B$16+$C146),""))</f>
        <v/>
      </c>
      <c r="I146" s="18">
        <f t="shared" si="27"/>
        <v>0</v>
      </c>
      <c r="J146" s="19" t="str">
        <f>IF(OR($B146="",$C146&gt;Setup!$B$16),"",IFERROR(INDEX('Fixture Library'!$E$4:$E$83,MATCH(Setup!$B$7&amp;"-"&amp;$C146,'Fixture Library'!$A$4:$A$83,0)),""))</f>
        <v/>
      </c>
      <c r="K146" s="19" t="str">
        <f>IF(OR($B146="",$C146&gt;Setup!$B$16),"",IFERROR(INDEX('Fixture Library'!$F$4:$F$83,MATCH(Setup!$B$7&amp;"-"&amp;$C146,'Fixture Library'!$A$4:$A$83,0)),""))</f>
        <v/>
      </c>
      <c r="L146" s="16">
        <f t="shared" si="22"/>
        <v>0</v>
      </c>
      <c r="M146" s="16">
        <f t="shared" si="23"/>
        <v>0</v>
      </c>
      <c r="N146" s="16">
        <f t="shared" si="24"/>
        <v>0</v>
      </c>
      <c r="O146" s="16">
        <f t="shared" si="25"/>
        <v>0</v>
      </c>
      <c r="P146" s="16">
        <f t="shared" si="28"/>
        <v>0</v>
      </c>
      <c r="Q146" s="16">
        <f t="shared" si="28"/>
        <v>0</v>
      </c>
      <c r="R146" s="16">
        <f t="shared" si="26"/>
        <v>0</v>
      </c>
    </row>
    <row r="147" spans="1:18">
      <c r="A147" s="16">
        <v>144</v>
      </c>
      <c r="B147" s="16" t="str">
        <f>IF(INT(($A147-1)/28)+1&lt;=Setup!$B$6,INDEX(Setup!$B$22:$B$29,INT(($A147-1)/28)+1),"")</f>
        <v/>
      </c>
      <c r="C147" s="16" t="str">
        <f t="shared" si="21"/>
        <v/>
      </c>
      <c r="D147" s="16" t="str">
        <f>IF(OR($B147="",$C147&gt;Setup!$B$16),"",IFERROR(INDEX('Fixture Library'!$D$4:$D$83,MATCH(Setup!$B$7&amp;"-"&amp;$C147,'Fixture Library'!$A$4:$A$83,0)),""))</f>
        <v/>
      </c>
      <c r="E147" s="17" t="str">
        <f>IF($J147="","",IFERROR(INDEX(Teams!$D$4:$D$67,MATCH($B147&amp;"-"&amp;$J147,Teams!$E$4:$E$67,0)),""))</f>
        <v/>
      </c>
      <c r="F147" s="16" t="str">
        <f>IF(OR($E147="",$G147="",$C147&gt;Setup!$B$16),"",IFERROR(INDEX(Results!$E$5:$E$228,INT(($A147-1)/28)*Setup!$B$16+$C147),""))</f>
        <v/>
      </c>
      <c r="G147" s="17" t="str">
        <f>IF($K147="","",IFERROR(INDEX(Teams!$D$4:$D$67,MATCH($B147&amp;"-"&amp;$K147,Teams!$E$4:$E$67,0)),""))</f>
        <v/>
      </c>
      <c r="H147" s="16" t="str">
        <f>IF(OR($E147="",$G147="",$C147&gt;Setup!$B$16),"",IFERROR(INDEX(Results!$F$5:$F$228,INT(($A147-1)/28)*Setup!$B$16+$C147),""))</f>
        <v/>
      </c>
      <c r="I147" s="18">
        <f t="shared" si="27"/>
        <v>0</v>
      </c>
      <c r="J147" s="19" t="str">
        <f>IF(OR($B147="",$C147&gt;Setup!$B$16),"",IFERROR(INDEX('Fixture Library'!$E$4:$E$83,MATCH(Setup!$B$7&amp;"-"&amp;$C147,'Fixture Library'!$A$4:$A$83,0)),""))</f>
        <v/>
      </c>
      <c r="K147" s="19" t="str">
        <f>IF(OR($B147="",$C147&gt;Setup!$B$16),"",IFERROR(INDEX('Fixture Library'!$F$4:$F$83,MATCH(Setup!$B$7&amp;"-"&amp;$C147,'Fixture Library'!$A$4:$A$83,0)),""))</f>
        <v/>
      </c>
      <c r="L147" s="16">
        <f t="shared" si="22"/>
        <v>0</v>
      </c>
      <c r="M147" s="16">
        <f t="shared" si="23"/>
        <v>0</v>
      </c>
      <c r="N147" s="16">
        <f t="shared" si="24"/>
        <v>0</v>
      </c>
      <c r="O147" s="16">
        <f t="shared" si="25"/>
        <v>0</v>
      </c>
      <c r="P147" s="16">
        <f t="shared" si="28"/>
        <v>0</v>
      </c>
      <c r="Q147" s="16">
        <f t="shared" si="28"/>
        <v>0</v>
      </c>
      <c r="R147" s="16">
        <f t="shared" si="26"/>
        <v>0</v>
      </c>
    </row>
    <row r="148" spans="1:18">
      <c r="A148" s="16">
        <v>145</v>
      </c>
      <c r="B148" s="16" t="str">
        <f>IF(INT(($A148-1)/28)+1&lt;=Setup!$B$6,INDEX(Setup!$B$22:$B$29,INT(($A148-1)/28)+1),"")</f>
        <v/>
      </c>
      <c r="C148" s="16" t="str">
        <f t="shared" si="21"/>
        <v/>
      </c>
      <c r="D148" s="16" t="str">
        <f>IF(OR($B148="",$C148&gt;Setup!$B$16),"",IFERROR(INDEX('Fixture Library'!$D$4:$D$83,MATCH(Setup!$B$7&amp;"-"&amp;$C148,'Fixture Library'!$A$4:$A$83,0)),""))</f>
        <v/>
      </c>
      <c r="E148" s="17" t="str">
        <f>IF($J148="","",IFERROR(INDEX(Teams!$D$4:$D$67,MATCH($B148&amp;"-"&amp;$J148,Teams!$E$4:$E$67,0)),""))</f>
        <v/>
      </c>
      <c r="F148" s="16" t="str">
        <f>IF(OR($E148="",$G148="",$C148&gt;Setup!$B$16),"",IFERROR(INDEX(Results!$E$5:$E$228,INT(($A148-1)/28)*Setup!$B$16+$C148),""))</f>
        <v/>
      </c>
      <c r="G148" s="17" t="str">
        <f>IF($K148="","",IFERROR(INDEX(Teams!$D$4:$D$67,MATCH($B148&amp;"-"&amp;$K148,Teams!$E$4:$E$67,0)),""))</f>
        <v/>
      </c>
      <c r="H148" s="16" t="str">
        <f>IF(OR($E148="",$G148="",$C148&gt;Setup!$B$16),"",IFERROR(INDEX(Results!$F$5:$F$228,INT(($A148-1)/28)*Setup!$B$16+$C148),""))</f>
        <v/>
      </c>
      <c r="I148" s="18">
        <f t="shared" si="27"/>
        <v>0</v>
      </c>
      <c r="J148" s="19" t="str">
        <f>IF(OR($B148="",$C148&gt;Setup!$B$16),"",IFERROR(INDEX('Fixture Library'!$E$4:$E$83,MATCH(Setup!$B$7&amp;"-"&amp;$C148,'Fixture Library'!$A$4:$A$83,0)),""))</f>
        <v/>
      </c>
      <c r="K148" s="19" t="str">
        <f>IF(OR($B148="",$C148&gt;Setup!$B$16),"",IFERROR(INDEX('Fixture Library'!$F$4:$F$83,MATCH(Setup!$B$7&amp;"-"&amp;$C148,'Fixture Library'!$A$4:$A$83,0)),""))</f>
        <v/>
      </c>
      <c r="L148" s="16">
        <f t="shared" si="22"/>
        <v>0</v>
      </c>
      <c r="M148" s="16">
        <f t="shared" si="23"/>
        <v>0</v>
      </c>
      <c r="N148" s="16">
        <f t="shared" si="24"/>
        <v>0</v>
      </c>
      <c r="O148" s="16">
        <f t="shared" si="25"/>
        <v>0</v>
      </c>
      <c r="P148" s="16">
        <f t="shared" si="28"/>
        <v>0</v>
      </c>
      <c r="Q148" s="16">
        <f t="shared" si="28"/>
        <v>0</v>
      </c>
      <c r="R148" s="16">
        <f t="shared" si="26"/>
        <v>0</v>
      </c>
    </row>
    <row r="149" spans="1:18">
      <c r="A149" s="16">
        <v>146</v>
      </c>
      <c r="B149" s="16" t="str">
        <f>IF(INT(($A149-1)/28)+1&lt;=Setup!$B$6,INDEX(Setup!$B$22:$B$29,INT(($A149-1)/28)+1),"")</f>
        <v/>
      </c>
      <c r="C149" s="16" t="str">
        <f t="shared" si="21"/>
        <v/>
      </c>
      <c r="D149" s="16" t="str">
        <f>IF(OR($B149="",$C149&gt;Setup!$B$16),"",IFERROR(INDEX('Fixture Library'!$D$4:$D$83,MATCH(Setup!$B$7&amp;"-"&amp;$C149,'Fixture Library'!$A$4:$A$83,0)),""))</f>
        <v/>
      </c>
      <c r="E149" s="17" t="str">
        <f>IF($J149="","",IFERROR(INDEX(Teams!$D$4:$D$67,MATCH($B149&amp;"-"&amp;$J149,Teams!$E$4:$E$67,0)),""))</f>
        <v/>
      </c>
      <c r="F149" s="16" t="str">
        <f>IF(OR($E149="",$G149="",$C149&gt;Setup!$B$16),"",IFERROR(INDEX(Results!$E$5:$E$228,INT(($A149-1)/28)*Setup!$B$16+$C149),""))</f>
        <v/>
      </c>
      <c r="G149" s="17" t="str">
        <f>IF($K149="","",IFERROR(INDEX(Teams!$D$4:$D$67,MATCH($B149&amp;"-"&amp;$K149,Teams!$E$4:$E$67,0)),""))</f>
        <v/>
      </c>
      <c r="H149" s="16" t="str">
        <f>IF(OR($E149="",$G149="",$C149&gt;Setup!$B$16),"",IFERROR(INDEX(Results!$F$5:$F$228,INT(($A149-1)/28)*Setup!$B$16+$C149),""))</f>
        <v/>
      </c>
      <c r="I149" s="18">
        <f t="shared" si="27"/>
        <v>0</v>
      </c>
      <c r="J149" s="19" t="str">
        <f>IF(OR($B149="",$C149&gt;Setup!$B$16),"",IFERROR(INDEX('Fixture Library'!$E$4:$E$83,MATCH(Setup!$B$7&amp;"-"&amp;$C149,'Fixture Library'!$A$4:$A$83,0)),""))</f>
        <v/>
      </c>
      <c r="K149" s="19" t="str">
        <f>IF(OR($B149="",$C149&gt;Setup!$B$16),"",IFERROR(INDEX('Fixture Library'!$F$4:$F$83,MATCH(Setup!$B$7&amp;"-"&amp;$C149,'Fixture Library'!$A$4:$A$83,0)),""))</f>
        <v/>
      </c>
      <c r="L149" s="16">
        <f t="shared" si="22"/>
        <v>0</v>
      </c>
      <c r="M149" s="16">
        <f t="shared" si="23"/>
        <v>0</v>
      </c>
      <c r="N149" s="16">
        <f t="shared" si="24"/>
        <v>0</v>
      </c>
      <c r="O149" s="16">
        <f t="shared" si="25"/>
        <v>0</v>
      </c>
      <c r="P149" s="16">
        <f t="shared" si="28"/>
        <v>0</v>
      </c>
      <c r="Q149" s="16">
        <f t="shared" si="28"/>
        <v>0</v>
      </c>
      <c r="R149" s="16">
        <f t="shared" si="26"/>
        <v>0</v>
      </c>
    </row>
    <row r="150" spans="1:18">
      <c r="A150" s="16">
        <v>147</v>
      </c>
      <c r="B150" s="16" t="str">
        <f>IF(INT(($A150-1)/28)+1&lt;=Setup!$B$6,INDEX(Setup!$B$22:$B$29,INT(($A150-1)/28)+1),"")</f>
        <v/>
      </c>
      <c r="C150" s="16" t="str">
        <f t="shared" si="21"/>
        <v/>
      </c>
      <c r="D150" s="16" t="str">
        <f>IF(OR($B150="",$C150&gt;Setup!$B$16),"",IFERROR(INDEX('Fixture Library'!$D$4:$D$83,MATCH(Setup!$B$7&amp;"-"&amp;$C150,'Fixture Library'!$A$4:$A$83,0)),""))</f>
        <v/>
      </c>
      <c r="E150" s="17" t="str">
        <f>IF($J150="","",IFERROR(INDEX(Teams!$D$4:$D$67,MATCH($B150&amp;"-"&amp;$J150,Teams!$E$4:$E$67,0)),""))</f>
        <v/>
      </c>
      <c r="F150" s="16" t="str">
        <f>IF(OR($E150="",$G150="",$C150&gt;Setup!$B$16),"",IFERROR(INDEX(Results!$E$5:$E$228,INT(($A150-1)/28)*Setup!$B$16+$C150),""))</f>
        <v/>
      </c>
      <c r="G150" s="17" t="str">
        <f>IF($K150="","",IFERROR(INDEX(Teams!$D$4:$D$67,MATCH($B150&amp;"-"&amp;$K150,Teams!$E$4:$E$67,0)),""))</f>
        <v/>
      </c>
      <c r="H150" s="16" t="str">
        <f>IF(OR($E150="",$G150="",$C150&gt;Setup!$B$16),"",IFERROR(INDEX(Results!$F$5:$F$228,INT(($A150-1)/28)*Setup!$B$16+$C150),""))</f>
        <v/>
      </c>
      <c r="I150" s="18">
        <f t="shared" si="27"/>
        <v>0</v>
      </c>
      <c r="J150" s="19" t="str">
        <f>IF(OR($B150="",$C150&gt;Setup!$B$16),"",IFERROR(INDEX('Fixture Library'!$E$4:$E$83,MATCH(Setup!$B$7&amp;"-"&amp;$C150,'Fixture Library'!$A$4:$A$83,0)),""))</f>
        <v/>
      </c>
      <c r="K150" s="19" t="str">
        <f>IF(OR($B150="",$C150&gt;Setup!$B$16),"",IFERROR(INDEX('Fixture Library'!$F$4:$F$83,MATCH(Setup!$B$7&amp;"-"&amp;$C150,'Fixture Library'!$A$4:$A$83,0)),""))</f>
        <v/>
      </c>
      <c r="L150" s="16">
        <f t="shared" si="22"/>
        <v>0</v>
      </c>
      <c r="M150" s="16">
        <f t="shared" si="23"/>
        <v>0</v>
      </c>
      <c r="N150" s="16">
        <f t="shared" si="24"/>
        <v>0</v>
      </c>
      <c r="O150" s="16">
        <f t="shared" si="25"/>
        <v>0</v>
      </c>
      <c r="P150" s="16">
        <f t="shared" si="28"/>
        <v>0</v>
      </c>
      <c r="Q150" s="16">
        <f t="shared" si="28"/>
        <v>0</v>
      </c>
      <c r="R150" s="16">
        <f t="shared" si="26"/>
        <v>0</v>
      </c>
    </row>
    <row r="151" spans="1:18">
      <c r="A151" s="16">
        <v>148</v>
      </c>
      <c r="B151" s="16" t="str">
        <f>IF(INT(($A151-1)/28)+1&lt;=Setup!$B$6,INDEX(Setup!$B$22:$B$29,INT(($A151-1)/28)+1),"")</f>
        <v/>
      </c>
      <c r="C151" s="16" t="str">
        <f t="shared" si="21"/>
        <v/>
      </c>
      <c r="D151" s="16" t="str">
        <f>IF(OR($B151="",$C151&gt;Setup!$B$16),"",IFERROR(INDEX('Fixture Library'!$D$4:$D$83,MATCH(Setup!$B$7&amp;"-"&amp;$C151,'Fixture Library'!$A$4:$A$83,0)),""))</f>
        <v/>
      </c>
      <c r="E151" s="17" t="str">
        <f>IF($J151="","",IFERROR(INDEX(Teams!$D$4:$D$67,MATCH($B151&amp;"-"&amp;$J151,Teams!$E$4:$E$67,0)),""))</f>
        <v/>
      </c>
      <c r="F151" s="16" t="str">
        <f>IF(OR($E151="",$G151="",$C151&gt;Setup!$B$16),"",IFERROR(INDEX(Results!$E$5:$E$228,INT(($A151-1)/28)*Setup!$B$16+$C151),""))</f>
        <v/>
      </c>
      <c r="G151" s="17" t="str">
        <f>IF($K151="","",IFERROR(INDEX(Teams!$D$4:$D$67,MATCH($B151&amp;"-"&amp;$K151,Teams!$E$4:$E$67,0)),""))</f>
        <v/>
      </c>
      <c r="H151" s="16" t="str">
        <f>IF(OR($E151="",$G151="",$C151&gt;Setup!$B$16),"",IFERROR(INDEX(Results!$F$5:$F$228,INT(($A151-1)/28)*Setup!$B$16+$C151),""))</f>
        <v/>
      </c>
      <c r="I151" s="18">
        <f t="shared" si="27"/>
        <v>0</v>
      </c>
      <c r="J151" s="19" t="str">
        <f>IF(OR($B151="",$C151&gt;Setup!$B$16),"",IFERROR(INDEX('Fixture Library'!$E$4:$E$83,MATCH(Setup!$B$7&amp;"-"&amp;$C151,'Fixture Library'!$A$4:$A$83,0)),""))</f>
        <v/>
      </c>
      <c r="K151" s="19" t="str">
        <f>IF(OR($B151="",$C151&gt;Setup!$B$16),"",IFERROR(INDEX('Fixture Library'!$F$4:$F$83,MATCH(Setup!$B$7&amp;"-"&amp;$C151,'Fixture Library'!$A$4:$A$83,0)),""))</f>
        <v/>
      </c>
      <c r="L151" s="16">
        <f t="shared" si="22"/>
        <v>0</v>
      </c>
      <c r="M151" s="16">
        <f t="shared" si="23"/>
        <v>0</v>
      </c>
      <c r="N151" s="16">
        <f t="shared" si="24"/>
        <v>0</v>
      </c>
      <c r="O151" s="16">
        <f t="shared" si="25"/>
        <v>0</v>
      </c>
      <c r="P151" s="16">
        <f t="shared" si="28"/>
        <v>0</v>
      </c>
      <c r="Q151" s="16">
        <f t="shared" si="28"/>
        <v>0</v>
      </c>
      <c r="R151" s="16">
        <f t="shared" si="26"/>
        <v>0</v>
      </c>
    </row>
    <row r="152" spans="1:18">
      <c r="A152" s="16">
        <v>149</v>
      </c>
      <c r="B152" s="16" t="str">
        <f>IF(INT(($A152-1)/28)+1&lt;=Setup!$B$6,INDEX(Setup!$B$22:$B$29,INT(($A152-1)/28)+1),"")</f>
        <v/>
      </c>
      <c r="C152" s="16" t="str">
        <f t="shared" si="21"/>
        <v/>
      </c>
      <c r="D152" s="16" t="str">
        <f>IF(OR($B152="",$C152&gt;Setup!$B$16),"",IFERROR(INDEX('Fixture Library'!$D$4:$D$83,MATCH(Setup!$B$7&amp;"-"&amp;$C152,'Fixture Library'!$A$4:$A$83,0)),""))</f>
        <v/>
      </c>
      <c r="E152" s="17" t="str">
        <f>IF($J152="","",IFERROR(INDEX(Teams!$D$4:$D$67,MATCH($B152&amp;"-"&amp;$J152,Teams!$E$4:$E$67,0)),""))</f>
        <v/>
      </c>
      <c r="F152" s="16" t="str">
        <f>IF(OR($E152="",$G152="",$C152&gt;Setup!$B$16),"",IFERROR(INDEX(Results!$E$5:$E$228,INT(($A152-1)/28)*Setup!$B$16+$C152),""))</f>
        <v/>
      </c>
      <c r="G152" s="17" t="str">
        <f>IF($K152="","",IFERROR(INDEX(Teams!$D$4:$D$67,MATCH($B152&amp;"-"&amp;$K152,Teams!$E$4:$E$67,0)),""))</f>
        <v/>
      </c>
      <c r="H152" s="16" t="str">
        <f>IF(OR($E152="",$G152="",$C152&gt;Setup!$B$16),"",IFERROR(INDEX(Results!$F$5:$F$228,INT(($A152-1)/28)*Setup!$B$16+$C152),""))</f>
        <v/>
      </c>
      <c r="I152" s="18">
        <f t="shared" si="27"/>
        <v>0</v>
      </c>
      <c r="J152" s="19" t="str">
        <f>IF(OR($B152="",$C152&gt;Setup!$B$16),"",IFERROR(INDEX('Fixture Library'!$E$4:$E$83,MATCH(Setup!$B$7&amp;"-"&amp;$C152,'Fixture Library'!$A$4:$A$83,0)),""))</f>
        <v/>
      </c>
      <c r="K152" s="19" t="str">
        <f>IF(OR($B152="",$C152&gt;Setup!$B$16),"",IFERROR(INDEX('Fixture Library'!$F$4:$F$83,MATCH(Setup!$B$7&amp;"-"&amp;$C152,'Fixture Library'!$A$4:$A$83,0)),""))</f>
        <v/>
      </c>
      <c r="L152" s="16">
        <f t="shared" si="22"/>
        <v>0</v>
      </c>
      <c r="M152" s="16">
        <f t="shared" si="23"/>
        <v>0</v>
      </c>
      <c r="N152" s="16">
        <f t="shared" si="24"/>
        <v>0</v>
      </c>
      <c r="O152" s="16">
        <f t="shared" si="25"/>
        <v>0</v>
      </c>
      <c r="P152" s="16">
        <f t="shared" si="28"/>
        <v>0</v>
      </c>
      <c r="Q152" s="16">
        <f t="shared" si="28"/>
        <v>0</v>
      </c>
      <c r="R152" s="16">
        <f t="shared" si="26"/>
        <v>0</v>
      </c>
    </row>
    <row r="153" spans="1:18">
      <c r="A153" s="16">
        <v>150</v>
      </c>
      <c r="B153" s="16" t="str">
        <f>IF(INT(($A153-1)/28)+1&lt;=Setup!$B$6,INDEX(Setup!$B$22:$B$29,INT(($A153-1)/28)+1),"")</f>
        <v/>
      </c>
      <c r="C153" s="16" t="str">
        <f t="shared" si="21"/>
        <v/>
      </c>
      <c r="D153" s="16" t="str">
        <f>IF(OR($B153="",$C153&gt;Setup!$B$16),"",IFERROR(INDEX('Fixture Library'!$D$4:$D$83,MATCH(Setup!$B$7&amp;"-"&amp;$C153,'Fixture Library'!$A$4:$A$83,0)),""))</f>
        <v/>
      </c>
      <c r="E153" s="17" t="str">
        <f>IF($J153="","",IFERROR(INDEX(Teams!$D$4:$D$67,MATCH($B153&amp;"-"&amp;$J153,Teams!$E$4:$E$67,0)),""))</f>
        <v/>
      </c>
      <c r="F153" s="16" t="str">
        <f>IF(OR($E153="",$G153="",$C153&gt;Setup!$B$16),"",IFERROR(INDEX(Results!$E$5:$E$228,INT(($A153-1)/28)*Setup!$B$16+$C153),""))</f>
        <v/>
      </c>
      <c r="G153" s="17" t="str">
        <f>IF($K153="","",IFERROR(INDEX(Teams!$D$4:$D$67,MATCH($B153&amp;"-"&amp;$K153,Teams!$E$4:$E$67,0)),""))</f>
        <v/>
      </c>
      <c r="H153" s="16" t="str">
        <f>IF(OR($E153="",$G153="",$C153&gt;Setup!$B$16),"",IFERROR(INDEX(Results!$F$5:$F$228,INT(($A153-1)/28)*Setup!$B$16+$C153),""))</f>
        <v/>
      </c>
      <c r="I153" s="18">
        <f t="shared" si="27"/>
        <v>0</v>
      </c>
      <c r="J153" s="19" t="str">
        <f>IF(OR($B153="",$C153&gt;Setup!$B$16),"",IFERROR(INDEX('Fixture Library'!$E$4:$E$83,MATCH(Setup!$B$7&amp;"-"&amp;$C153,'Fixture Library'!$A$4:$A$83,0)),""))</f>
        <v/>
      </c>
      <c r="K153" s="19" t="str">
        <f>IF(OR($B153="",$C153&gt;Setup!$B$16),"",IFERROR(INDEX('Fixture Library'!$F$4:$F$83,MATCH(Setup!$B$7&amp;"-"&amp;$C153,'Fixture Library'!$A$4:$A$83,0)),""))</f>
        <v/>
      </c>
      <c r="L153" s="16">
        <f t="shared" si="22"/>
        <v>0</v>
      </c>
      <c r="M153" s="16">
        <f t="shared" si="23"/>
        <v>0</v>
      </c>
      <c r="N153" s="16">
        <f t="shared" si="24"/>
        <v>0</v>
      </c>
      <c r="O153" s="16">
        <f t="shared" si="25"/>
        <v>0</v>
      </c>
      <c r="P153" s="16">
        <f t="shared" si="28"/>
        <v>0</v>
      </c>
      <c r="Q153" s="16">
        <f t="shared" si="28"/>
        <v>0</v>
      </c>
      <c r="R153" s="16">
        <f t="shared" si="26"/>
        <v>0</v>
      </c>
    </row>
    <row r="154" spans="1:18">
      <c r="A154" s="16">
        <v>151</v>
      </c>
      <c r="B154" s="16" t="str">
        <f>IF(INT(($A154-1)/28)+1&lt;=Setup!$B$6,INDEX(Setup!$B$22:$B$29,INT(($A154-1)/28)+1),"")</f>
        <v/>
      </c>
      <c r="C154" s="16" t="str">
        <f t="shared" si="21"/>
        <v/>
      </c>
      <c r="D154" s="16" t="str">
        <f>IF(OR($B154="",$C154&gt;Setup!$B$16),"",IFERROR(INDEX('Fixture Library'!$D$4:$D$83,MATCH(Setup!$B$7&amp;"-"&amp;$C154,'Fixture Library'!$A$4:$A$83,0)),""))</f>
        <v/>
      </c>
      <c r="E154" s="17" t="str">
        <f>IF($J154="","",IFERROR(INDEX(Teams!$D$4:$D$67,MATCH($B154&amp;"-"&amp;$J154,Teams!$E$4:$E$67,0)),""))</f>
        <v/>
      </c>
      <c r="F154" s="16" t="str">
        <f>IF(OR($E154="",$G154="",$C154&gt;Setup!$B$16),"",IFERROR(INDEX(Results!$E$5:$E$228,INT(($A154-1)/28)*Setup!$B$16+$C154),""))</f>
        <v/>
      </c>
      <c r="G154" s="17" t="str">
        <f>IF($K154="","",IFERROR(INDEX(Teams!$D$4:$D$67,MATCH($B154&amp;"-"&amp;$K154,Teams!$E$4:$E$67,0)),""))</f>
        <v/>
      </c>
      <c r="H154" s="16" t="str">
        <f>IF(OR($E154="",$G154="",$C154&gt;Setup!$B$16),"",IFERROR(INDEX(Results!$F$5:$F$228,INT(($A154-1)/28)*Setup!$B$16+$C154),""))</f>
        <v/>
      </c>
      <c r="I154" s="18">
        <f t="shared" si="27"/>
        <v>0</v>
      </c>
      <c r="J154" s="19" t="str">
        <f>IF(OR($B154="",$C154&gt;Setup!$B$16),"",IFERROR(INDEX('Fixture Library'!$E$4:$E$83,MATCH(Setup!$B$7&amp;"-"&amp;$C154,'Fixture Library'!$A$4:$A$83,0)),""))</f>
        <v/>
      </c>
      <c r="K154" s="19" t="str">
        <f>IF(OR($B154="",$C154&gt;Setup!$B$16),"",IFERROR(INDEX('Fixture Library'!$F$4:$F$83,MATCH(Setup!$B$7&amp;"-"&amp;$C154,'Fixture Library'!$A$4:$A$83,0)),""))</f>
        <v/>
      </c>
      <c r="L154" s="16">
        <f t="shared" si="22"/>
        <v>0</v>
      </c>
      <c r="M154" s="16">
        <f t="shared" si="23"/>
        <v>0</v>
      </c>
      <c r="N154" s="16">
        <f t="shared" si="24"/>
        <v>0</v>
      </c>
      <c r="O154" s="16">
        <f t="shared" si="25"/>
        <v>0</v>
      </c>
      <c r="P154" s="16">
        <f t="shared" si="28"/>
        <v>0</v>
      </c>
      <c r="Q154" s="16">
        <f t="shared" si="28"/>
        <v>0</v>
      </c>
      <c r="R154" s="16">
        <f t="shared" si="26"/>
        <v>0</v>
      </c>
    </row>
    <row r="155" spans="1:18">
      <c r="A155" s="16">
        <v>152</v>
      </c>
      <c r="B155" s="16" t="str">
        <f>IF(INT(($A155-1)/28)+1&lt;=Setup!$B$6,INDEX(Setup!$B$22:$B$29,INT(($A155-1)/28)+1),"")</f>
        <v/>
      </c>
      <c r="C155" s="16" t="str">
        <f t="shared" si="21"/>
        <v/>
      </c>
      <c r="D155" s="16" t="str">
        <f>IF(OR($B155="",$C155&gt;Setup!$B$16),"",IFERROR(INDEX('Fixture Library'!$D$4:$D$83,MATCH(Setup!$B$7&amp;"-"&amp;$C155,'Fixture Library'!$A$4:$A$83,0)),""))</f>
        <v/>
      </c>
      <c r="E155" s="17" t="str">
        <f>IF($J155="","",IFERROR(INDEX(Teams!$D$4:$D$67,MATCH($B155&amp;"-"&amp;$J155,Teams!$E$4:$E$67,0)),""))</f>
        <v/>
      </c>
      <c r="F155" s="16" t="str">
        <f>IF(OR($E155="",$G155="",$C155&gt;Setup!$B$16),"",IFERROR(INDEX(Results!$E$5:$E$228,INT(($A155-1)/28)*Setup!$B$16+$C155),""))</f>
        <v/>
      </c>
      <c r="G155" s="17" t="str">
        <f>IF($K155="","",IFERROR(INDEX(Teams!$D$4:$D$67,MATCH($B155&amp;"-"&amp;$K155,Teams!$E$4:$E$67,0)),""))</f>
        <v/>
      </c>
      <c r="H155" s="16" t="str">
        <f>IF(OR($E155="",$G155="",$C155&gt;Setup!$B$16),"",IFERROR(INDEX(Results!$F$5:$F$228,INT(($A155-1)/28)*Setup!$B$16+$C155),""))</f>
        <v/>
      </c>
      <c r="I155" s="18">
        <f t="shared" si="27"/>
        <v>0</v>
      </c>
      <c r="J155" s="19" t="str">
        <f>IF(OR($B155="",$C155&gt;Setup!$B$16),"",IFERROR(INDEX('Fixture Library'!$E$4:$E$83,MATCH(Setup!$B$7&amp;"-"&amp;$C155,'Fixture Library'!$A$4:$A$83,0)),""))</f>
        <v/>
      </c>
      <c r="K155" s="19" t="str">
        <f>IF(OR($B155="",$C155&gt;Setup!$B$16),"",IFERROR(INDEX('Fixture Library'!$F$4:$F$83,MATCH(Setup!$B$7&amp;"-"&amp;$C155,'Fixture Library'!$A$4:$A$83,0)),""))</f>
        <v/>
      </c>
      <c r="L155" s="16">
        <f t="shared" si="22"/>
        <v>0</v>
      </c>
      <c r="M155" s="16">
        <f t="shared" si="23"/>
        <v>0</v>
      </c>
      <c r="N155" s="16">
        <f t="shared" si="24"/>
        <v>0</v>
      </c>
      <c r="O155" s="16">
        <f t="shared" si="25"/>
        <v>0</v>
      </c>
      <c r="P155" s="16">
        <f t="shared" si="28"/>
        <v>0</v>
      </c>
      <c r="Q155" s="16">
        <f t="shared" si="28"/>
        <v>0</v>
      </c>
      <c r="R155" s="16">
        <f t="shared" si="26"/>
        <v>0</v>
      </c>
    </row>
    <row r="156" spans="1:18">
      <c r="A156" s="16">
        <v>153</v>
      </c>
      <c r="B156" s="16" t="str">
        <f>IF(INT(($A156-1)/28)+1&lt;=Setup!$B$6,INDEX(Setup!$B$22:$B$29,INT(($A156-1)/28)+1),"")</f>
        <v/>
      </c>
      <c r="C156" s="16" t="str">
        <f t="shared" si="21"/>
        <v/>
      </c>
      <c r="D156" s="16" t="str">
        <f>IF(OR($B156="",$C156&gt;Setup!$B$16),"",IFERROR(INDEX('Fixture Library'!$D$4:$D$83,MATCH(Setup!$B$7&amp;"-"&amp;$C156,'Fixture Library'!$A$4:$A$83,0)),""))</f>
        <v/>
      </c>
      <c r="E156" s="17" t="str">
        <f>IF($J156="","",IFERROR(INDEX(Teams!$D$4:$D$67,MATCH($B156&amp;"-"&amp;$J156,Teams!$E$4:$E$67,0)),""))</f>
        <v/>
      </c>
      <c r="F156" s="16" t="str">
        <f>IF(OR($E156="",$G156="",$C156&gt;Setup!$B$16),"",IFERROR(INDEX(Results!$E$5:$E$228,INT(($A156-1)/28)*Setup!$B$16+$C156),""))</f>
        <v/>
      </c>
      <c r="G156" s="17" t="str">
        <f>IF($K156="","",IFERROR(INDEX(Teams!$D$4:$D$67,MATCH($B156&amp;"-"&amp;$K156,Teams!$E$4:$E$67,0)),""))</f>
        <v/>
      </c>
      <c r="H156" s="16" t="str">
        <f>IF(OR($E156="",$G156="",$C156&gt;Setup!$B$16),"",IFERROR(INDEX(Results!$F$5:$F$228,INT(($A156-1)/28)*Setup!$B$16+$C156),""))</f>
        <v/>
      </c>
      <c r="I156" s="18">
        <f t="shared" si="27"/>
        <v>0</v>
      </c>
      <c r="J156" s="19" t="str">
        <f>IF(OR($B156="",$C156&gt;Setup!$B$16),"",IFERROR(INDEX('Fixture Library'!$E$4:$E$83,MATCH(Setup!$B$7&amp;"-"&amp;$C156,'Fixture Library'!$A$4:$A$83,0)),""))</f>
        <v/>
      </c>
      <c r="K156" s="19" t="str">
        <f>IF(OR($B156="",$C156&gt;Setup!$B$16),"",IFERROR(INDEX('Fixture Library'!$F$4:$F$83,MATCH(Setup!$B$7&amp;"-"&amp;$C156,'Fixture Library'!$A$4:$A$83,0)),""))</f>
        <v/>
      </c>
      <c r="L156" s="16">
        <f t="shared" si="22"/>
        <v>0</v>
      </c>
      <c r="M156" s="16">
        <f t="shared" si="23"/>
        <v>0</v>
      </c>
      <c r="N156" s="16">
        <f t="shared" si="24"/>
        <v>0</v>
      </c>
      <c r="O156" s="16">
        <f t="shared" si="25"/>
        <v>0</v>
      </c>
      <c r="P156" s="16">
        <f t="shared" si="28"/>
        <v>0</v>
      </c>
      <c r="Q156" s="16">
        <f t="shared" si="28"/>
        <v>0</v>
      </c>
      <c r="R156" s="16">
        <f t="shared" si="26"/>
        <v>0</v>
      </c>
    </row>
    <row r="157" spans="1:18">
      <c r="A157" s="16">
        <v>154</v>
      </c>
      <c r="B157" s="16" t="str">
        <f>IF(INT(($A157-1)/28)+1&lt;=Setup!$B$6,INDEX(Setup!$B$22:$B$29,INT(($A157-1)/28)+1),"")</f>
        <v/>
      </c>
      <c r="C157" s="16" t="str">
        <f t="shared" si="21"/>
        <v/>
      </c>
      <c r="D157" s="16" t="str">
        <f>IF(OR($B157="",$C157&gt;Setup!$B$16),"",IFERROR(INDEX('Fixture Library'!$D$4:$D$83,MATCH(Setup!$B$7&amp;"-"&amp;$C157,'Fixture Library'!$A$4:$A$83,0)),""))</f>
        <v/>
      </c>
      <c r="E157" s="17" t="str">
        <f>IF($J157="","",IFERROR(INDEX(Teams!$D$4:$D$67,MATCH($B157&amp;"-"&amp;$J157,Teams!$E$4:$E$67,0)),""))</f>
        <v/>
      </c>
      <c r="F157" s="16" t="str">
        <f>IF(OR($E157="",$G157="",$C157&gt;Setup!$B$16),"",IFERROR(INDEX(Results!$E$5:$E$228,INT(($A157-1)/28)*Setup!$B$16+$C157),""))</f>
        <v/>
      </c>
      <c r="G157" s="17" t="str">
        <f>IF($K157="","",IFERROR(INDEX(Teams!$D$4:$D$67,MATCH($B157&amp;"-"&amp;$K157,Teams!$E$4:$E$67,0)),""))</f>
        <v/>
      </c>
      <c r="H157" s="16" t="str">
        <f>IF(OR($E157="",$G157="",$C157&gt;Setup!$B$16),"",IFERROR(INDEX(Results!$F$5:$F$228,INT(($A157-1)/28)*Setup!$B$16+$C157),""))</f>
        <v/>
      </c>
      <c r="I157" s="18">
        <f t="shared" si="27"/>
        <v>0</v>
      </c>
      <c r="J157" s="19" t="str">
        <f>IF(OR($B157="",$C157&gt;Setup!$B$16),"",IFERROR(INDEX('Fixture Library'!$E$4:$E$83,MATCH(Setup!$B$7&amp;"-"&amp;$C157,'Fixture Library'!$A$4:$A$83,0)),""))</f>
        <v/>
      </c>
      <c r="K157" s="19" t="str">
        <f>IF(OR($B157="",$C157&gt;Setup!$B$16),"",IFERROR(INDEX('Fixture Library'!$F$4:$F$83,MATCH(Setup!$B$7&amp;"-"&amp;$C157,'Fixture Library'!$A$4:$A$83,0)),""))</f>
        <v/>
      </c>
      <c r="L157" s="16">
        <f t="shared" si="22"/>
        <v>0</v>
      </c>
      <c r="M157" s="16">
        <f t="shared" si="23"/>
        <v>0</v>
      </c>
      <c r="N157" s="16">
        <f t="shared" si="24"/>
        <v>0</v>
      </c>
      <c r="O157" s="16">
        <f t="shared" si="25"/>
        <v>0</v>
      </c>
      <c r="P157" s="16">
        <f t="shared" si="28"/>
        <v>0</v>
      </c>
      <c r="Q157" s="16">
        <f t="shared" si="28"/>
        <v>0</v>
      </c>
      <c r="R157" s="16">
        <f t="shared" si="26"/>
        <v>0</v>
      </c>
    </row>
    <row r="158" spans="1:18">
      <c r="A158" s="16">
        <v>155</v>
      </c>
      <c r="B158" s="16" t="str">
        <f>IF(INT(($A158-1)/28)+1&lt;=Setup!$B$6,INDEX(Setup!$B$22:$B$29,INT(($A158-1)/28)+1),"")</f>
        <v/>
      </c>
      <c r="C158" s="16" t="str">
        <f t="shared" si="21"/>
        <v/>
      </c>
      <c r="D158" s="16" t="str">
        <f>IF(OR($B158="",$C158&gt;Setup!$B$16),"",IFERROR(INDEX('Fixture Library'!$D$4:$D$83,MATCH(Setup!$B$7&amp;"-"&amp;$C158,'Fixture Library'!$A$4:$A$83,0)),""))</f>
        <v/>
      </c>
      <c r="E158" s="17" t="str">
        <f>IF($J158="","",IFERROR(INDEX(Teams!$D$4:$D$67,MATCH($B158&amp;"-"&amp;$J158,Teams!$E$4:$E$67,0)),""))</f>
        <v/>
      </c>
      <c r="F158" s="16" t="str">
        <f>IF(OR($E158="",$G158="",$C158&gt;Setup!$B$16),"",IFERROR(INDEX(Results!$E$5:$E$228,INT(($A158-1)/28)*Setup!$B$16+$C158),""))</f>
        <v/>
      </c>
      <c r="G158" s="17" t="str">
        <f>IF($K158="","",IFERROR(INDEX(Teams!$D$4:$D$67,MATCH($B158&amp;"-"&amp;$K158,Teams!$E$4:$E$67,0)),""))</f>
        <v/>
      </c>
      <c r="H158" s="16" t="str">
        <f>IF(OR($E158="",$G158="",$C158&gt;Setup!$B$16),"",IFERROR(INDEX(Results!$F$5:$F$228,INT(($A158-1)/28)*Setup!$B$16+$C158),""))</f>
        <v/>
      </c>
      <c r="I158" s="18">
        <f t="shared" si="27"/>
        <v>0</v>
      </c>
      <c r="J158" s="19" t="str">
        <f>IF(OR($B158="",$C158&gt;Setup!$B$16),"",IFERROR(INDEX('Fixture Library'!$E$4:$E$83,MATCH(Setup!$B$7&amp;"-"&amp;$C158,'Fixture Library'!$A$4:$A$83,0)),""))</f>
        <v/>
      </c>
      <c r="K158" s="19" t="str">
        <f>IF(OR($B158="",$C158&gt;Setup!$B$16),"",IFERROR(INDEX('Fixture Library'!$F$4:$F$83,MATCH(Setup!$B$7&amp;"-"&amp;$C158,'Fixture Library'!$A$4:$A$83,0)),""))</f>
        <v/>
      </c>
      <c r="L158" s="16">
        <f t="shared" si="22"/>
        <v>0</v>
      </c>
      <c r="M158" s="16">
        <f t="shared" si="23"/>
        <v>0</v>
      </c>
      <c r="N158" s="16">
        <f t="shared" si="24"/>
        <v>0</v>
      </c>
      <c r="O158" s="16">
        <f t="shared" si="25"/>
        <v>0</v>
      </c>
      <c r="P158" s="16">
        <f t="shared" si="28"/>
        <v>0</v>
      </c>
      <c r="Q158" s="16">
        <f t="shared" si="28"/>
        <v>0</v>
      </c>
      <c r="R158" s="16">
        <f t="shared" si="26"/>
        <v>0</v>
      </c>
    </row>
    <row r="159" spans="1:18">
      <c r="A159" s="16">
        <v>156</v>
      </c>
      <c r="B159" s="16" t="str">
        <f>IF(INT(($A159-1)/28)+1&lt;=Setup!$B$6,INDEX(Setup!$B$22:$B$29,INT(($A159-1)/28)+1),"")</f>
        <v/>
      </c>
      <c r="C159" s="16" t="str">
        <f t="shared" si="21"/>
        <v/>
      </c>
      <c r="D159" s="16" t="str">
        <f>IF(OR($B159="",$C159&gt;Setup!$B$16),"",IFERROR(INDEX('Fixture Library'!$D$4:$D$83,MATCH(Setup!$B$7&amp;"-"&amp;$C159,'Fixture Library'!$A$4:$A$83,0)),""))</f>
        <v/>
      </c>
      <c r="E159" s="17" t="str">
        <f>IF($J159="","",IFERROR(INDEX(Teams!$D$4:$D$67,MATCH($B159&amp;"-"&amp;$J159,Teams!$E$4:$E$67,0)),""))</f>
        <v/>
      </c>
      <c r="F159" s="16" t="str">
        <f>IF(OR($E159="",$G159="",$C159&gt;Setup!$B$16),"",IFERROR(INDEX(Results!$E$5:$E$228,INT(($A159-1)/28)*Setup!$B$16+$C159),""))</f>
        <v/>
      </c>
      <c r="G159" s="17" t="str">
        <f>IF($K159="","",IFERROR(INDEX(Teams!$D$4:$D$67,MATCH($B159&amp;"-"&amp;$K159,Teams!$E$4:$E$67,0)),""))</f>
        <v/>
      </c>
      <c r="H159" s="16" t="str">
        <f>IF(OR($E159="",$G159="",$C159&gt;Setup!$B$16),"",IFERROR(INDEX(Results!$F$5:$F$228,INT(($A159-1)/28)*Setup!$B$16+$C159),""))</f>
        <v/>
      </c>
      <c r="I159" s="18">
        <f t="shared" si="27"/>
        <v>0</v>
      </c>
      <c r="J159" s="19" t="str">
        <f>IF(OR($B159="",$C159&gt;Setup!$B$16),"",IFERROR(INDEX('Fixture Library'!$E$4:$E$83,MATCH(Setup!$B$7&amp;"-"&amp;$C159,'Fixture Library'!$A$4:$A$83,0)),""))</f>
        <v/>
      </c>
      <c r="K159" s="19" t="str">
        <f>IF(OR($B159="",$C159&gt;Setup!$B$16),"",IFERROR(INDEX('Fixture Library'!$F$4:$F$83,MATCH(Setup!$B$7&amp;"-"&amp;$C159,'Fixture Library'!$A$4:$A$83,0)),""))</f>
        <v/>
      </c>
      <c r="L159" s="16">
        <f t="shared" si="22"/>
        <v>0</v>
      </c>
      <c r="M159" s="16">
        <f t="shared" si="23"/>
        <v>0</v>
      </c>
      <c r="N159" s="16">
        <f t="shared" si="24"/>
        <v>0</v>
      </c>
      <c r="O159" s="16">
        <f t="shared" si="25"/>
        <v>0</v>
      </c>
      <c r="P159" s="16">
        <f t="shared" si="28"/>
        <v>0</v>
      </c>
      <c r="Q159" s="16">
        <f t="shared" si="28"/>
        <v>0</v>
      </c>
      <c r="R159" s="16">
        <f t="shared" si="26"/>
        <v>0</v>
      </c>
    </row>
    <row r="160" spans="1:18">
      <c r="A160" s="16">
        <v>157</v>
      </c>
      <c r="B160" s="16" t="str">
        <f>IF(INT(($A160-1)/28)+1&lt;=Setup!$B$6,INDEX(Setup!$B$22:$B$29,INT(($A160-1)/28)+1),"")</f>
        <v/>
      </c>
      <c r="C160" s="16" t="str">
        <f t="shared" si="21"/>
        <v/>
      </c>
      <c r="D160" s="16" t="str">
        <f>IF(OR($B160="",$C160&gt;Setup!$B$16),"",IFERROR(INDEX('Fixture Library'!$D$4:$D$83,MATCH(Setup!$B$7&amp;"-"&amp;$C160,'Fixture Library'!$A$4:$A$83,0)),""))</f>
        <v/>
      </c>
      <c r="E160" s="17" t="str">
        <f>IF($J160="","",IFERROR(INDEX(Teams!$D$4:$D$67,MATCH($B160&amp;"-"&amp;$J160,Teams!$E$4:$E$67,0)),""))</f>
        <v/>
      </c>
      <c r="F160" s="16" t="str">
        <f>IF(OR($E160="",$G160="",$C160&gt;Setup!$B$16),"",IFERROR(INDEX(Results!$E$5:$E$228,INT(($A160-1)/28)*Setup!$B$16+$C160),""))</f>
        <v/>
      </c>
      <c r="G160" s="17" t="str">
        <f>IF($K160="","",IFERROR(INDEX(Teams!$D$4:$D$67,MATCH($B160&amp;"-"&amp;$K160,Teams!$E$4:$E$67,0)),""))</f>
        <v/>
      </c>
      <c r="H160" s="16" t="str">
        <f>IF(OR($E160="",$G160="",$C160&gt;Setup!$B$16),"",IFERROR(INDEX(Results!$F$5:$F$228,INT(($A160-1)/28)*Setup!$B$16+$C160),""))</f>
        <v/>
      </c>
      <c r="I160" s="18">
        <f t="shared" si="27"/>
        <v>0</v>
      </c>
      <c r="J160" s="19" t="str">
        <f>IF(OR($B160="",$C160&gt;Setup!$B$16),"",IFERROR(INDEX('Fixture Library'!$E$4:$E$83,MATCH(Setup!$B$7&amp;"-"&amp;$C160,'Fixture Library'!$A$4:$A$83,0)),""))</f>
        <v/>
      </c>
      <c r="K160" s="19" t="str">
        <f>IF(OR($B160="",$C160&gt;Setup!$B$16),"",IFERROR(INDEX('Fixture Library'!$F$4:$F$83,MATCH(Setup!$B$7&amp;"-"&amp;$C160,'Fixture Library'!$A$4:$A$83,0)),""))</f>
        <v/>
      </c>
      <c r="L160" s="16">
        <f t="shared" si="22"/>
        <v>0</v>
      </c>
      <c r="M160" s="16">
        <f t="shared" si="23"/>
        <v>0</v>
      </c>
      <c r="N160" s="16">
        <f t="shared" si="24"/>
        <v>0</v>
      </c>
      <c r="O160" s="16">
        <f t="shared" si="25"/>
        <v>0</v>
      </c>
      <c r="P160" s="16">
        <f t="shared" si="28"/>
        <v>0</v>
      </c>
      <c r="Q160" s="16">
        <f t="shared" si="28"/>
        <v>0</v>
      </c>
      <c r="R160" s="16">
        <f t="shared" si="26"/>
        <v>0</v>
      </c>
    </row>
    <row r="161" spans="1:18">
      <c r="A161" s="16">
        <v>158</v>
      </c>
      <c r="B161" s="16" t="str">
        <f>IF(INT(($A161-1)/28)+1&lt;=Setup!$B$6,INDEX(Setup!$B$22:$B$29,INT(($A161-1)/28)+1),"")</f>
        <v/>
      </c>
      <c r="C161" s="16" t="str">
        <f t="shared" si="21"/>
        <v/>
      </c>
      <c r="D161" s="16" t="str">
        <f>IF(OR($B161="",$C161&gt;Setup!$B$16),"",IFERROR(INDEX('Fixture Library'!$D$4:$D$83,MATCH(Setup!$B$7&amp;"-"&amp;$C161,'Fixture Library'!$A$4:$A$83,0)),""))</f>
        <v/>
      </c>
      <c r="E161" s="17" t="str">
        <f>IF($J161="","",IFERROR(INDEX(Teams!$D$4:$D$67,MATCH($B161&amp;"-"&amp;$J161,Teams!$E$4:$E$67,0)),""))</f>
        <v/>
      </c>
      <c r="F161" s="16" t="str">
        <f>IF(OR($E161="",$G161="",$C161&gt;Setup!$B$16),"",IFERROR(INDEX(Results!$E$5:$E$228,INT(($A161-1)/28)*Setup!$B$16+$C161),""))</f>
        <v/>
      </c>
      <c r="G161" s="17" t="str">
        <f>IF($K161="","",IFERROR(INDEX(Teams!$D$4:$D$67,MATCH($B161&amp;"-"&amp;$K161,Teams!$E$4:$E$67,0)),""))</f>
        <v/>
      </c>
      <c r="H161" s="16" t="str">
        <f>IF(OR($E161="",$G161="",$C161&gt;Setup!$B$16),"",IFERROR(INDEX(Results!$F$5:$F$228,INT(($A161-1)/28)*Setup!$B$16+$C161),""))</f>
        <v/>
      </c>
      <c r="I161" s="18">
        <f t="shared" si="27"/>
        <v>0</v>
      </c>
      <c r="J161" s="19" t="str">
        <f>IF(OR($B161="",$C161&gt;Setup!$B$16),"",IFERROR(INDEX('Fixture Library'!$E$4:$E$83,MATCH(Setup!$B$7&amp;"-"&amp;$C161,'Fixture Library'!$A$4:$A$83,0)),""))</f>
        <v/>
      </c>
      <c r="K161" s="19" t="str">
        <f>IF(OR($B161="",$C161&gt;Setup!$B$16),"",IFERROR(INDEX('Fixture Library'!$F$4:$F$83,MATCH(Setup!$B$7&amp;"-"&amp;$C161,'Fixture Library'!$A$4:$A$83,0)),""))</f>
        <v/>
      </c>
      <c r="L161" s="16">
        <f t="shared" si="22"/>
        <v>0</v>
      </c>
      <c r="M161" s="16">
        <f t="shared" si="23"/>
        <v>0</v>
      </c>
      <c r="N161" s="16">
        <f t="shared" si="24"/>
        <v>0</v>
      </c>
      <c r="O161" s="16">
        <f t="shared" si="25"/>
        <v>0</v>
      </c>
      <c r="P161" s="16">
        <f t="shared" si="28"/>
        <v>0</v>
      </c>
      <c r="Q161" s="16">
        <f t="shared" si="28"/>
        <v>0</v>
      </c>
      <c r="R161" s="16">
        <f t="shared" si="26"/>
        <v>0</v>
      </c>
    </row>
    <row r="162" spans="1:18">
      <c r="A162" s="16">
        <v>159</v>
      </c>
      <c r="B162" s="16" t="str">
        <f>IF(INT(($A162-1)/28)+1&lt;=Setup!$B$6,INDEX(Setup!$B$22:$B$29,INT(($A162-1)/28)+1),"")</f>
        <v/>
      </c>
      <c r="C162" s="16" t="str">
        <f t="shared" si="21"/>
        <v/>
      </c>
      <c r="D162" s="16" t="str">
        <f>IF(OR($B162="",$C162&gt;Setup!$B$16),"",IFERROR(INDEX('Fixture Library'!$D$4:$D$83,MATCH(Setup!$B$7&amp;"-"&amp;$C162,'Fixture Library'!$A$4:$A$83,0)),""))</f>
        <v/>
      </c>
      <c r="E162" s="17" t="str">
        <f>IF($J162="","",IFERROR(INDEX(Teams!$D$4:$D$67,MATCH($B162&amp;"-"&amp;$J162,Teams!$E$4:$E$67,0)),""))</f>
        <v/>
      </c>
      <c r="F162" s="16" t="str">
        <f>IF(OR($E162="",$G162="",$C162&gt;Setup!$B$16),"",IFERROR(INDEX(Results!$E$5:$E$228,INT(($A162-1)/28)*Setup!$B$16+$C162),""))</f>
        <v/>
      </c>
      <c r="G162" s="17" t="str">
        <f>IF($K162="","",IFERROR(INDEX(Teams!$D$4:$D$67,MATCH($B162&amp;"-"&amp;$K162,Teams!$E$4:$E$67,0)),""))</f>
        <v/>
      </c>
      <c r="H162" s="16" t="str">
        <f>IF(OR($E162="",$G162="",$C162&gt;Setup!$B$16),"",IFERROR(INDEX(Results!$F$5:$F$228,INT(($A162-1)/28)*Setup!$B$16+$C162),""))</f>
        <v/>
      </c>
      <c r="I162" s="18">
        <f t="shared" si="27"/>
        <v>0</v>
      </c>
      <c r="J162" s="19" t="str">
        <f>IF(OR($B162="",$C162&gt;Setup!$B$16),"",IFERROR(INDEX('Fixture Library'!$E$4:$E$83,MATCH(Setup!$B$7&amp;"-"&amp;$C162,'Fixture Library'!$A$4:$A$83,0)),""))</f>
        <v/>
      </c>
      <c r="K162" s="19" t="str">
        <f>IF(OR($B162="",$C162&gt;Setup!$B$16),"",IFERROR(INDEX('Fixture Library'!$F$4:$F$83,MATCH(Setup!$B$7&amp;"-"&amp;$C162,'Fixture Library'!$A$4:$A$83,0)),""))</f>
        <v/>
      </c>
      <c r="L162" s="16">
        <f t="shared" si="22"/>
        <v>0</v>
      </c>
      <c r="M162" s="16">
        <f t="shared" si="23"/>
        <v>0</v>
      </c>
      <c r="N162" s="16">
        <f t="shared" si="24"/>
        <v>0</v>
      </c>
      <c r="O162" s="16">
        <f t="shared" si="25"/>
        <v>0</v>
      </c>
      <c r="P162" s="16">
        <f t="shared" si="28"/>
        <v>0</v>
      </c>
      <c r="Q162" s="16">
        <f t="shared" si="28"/>
        <v>0</v>
      </c>
      <c r="R162" s="16">
        <f t="shared" si="26"/>
        <v>0</v>
      </c>
    </row>
    <row r="163" spans="1:18">
      <c r="A163" s="16">
        <v>160</v>
      </c>
      <c r="B163" s="16" t="str">
        <f>IF(INT(($A163-1)/28)+1&lt;=Setup!$B$6,INDEX(Setup!$B$22:$B$29,INT(($A163-1)/28)+1),"")</f>
        <v/>
      </c>
      <c r="C163" s="16" t="str">
        <f t="shared" si="21"/>
        <v/>
      </c>
      <c r="D163" s="16" t="str">
        <f>IF(OR($B163="",$C163&gt;Setup!$B$16),"",IFERROR(INDEX('Fixture Library'!$D$4:$D$83,MATCH(Setup!$B$7&amp;"-"&amp;$C163,'Fixture Library'!$A$4:$A$83,0)),""))</f>
        <v/>
      </c>
      <c r="E163" s="17" t="str">
        <f>IF($J163="","",IFERROR(INDEX(Teams!$D$4:$D$67,MATCH($B163&amp;"-"&amp;$J163,Teams!$E$4:$E$67,0)),""))</f>
        <v/>
      </c>
      <c r="F163" s="16" t="str">
        <f>IF(OR($E163="",$G163="",$C163&gt;Setup!$B$16),"",IFERROR(INDEX(Results!$E$5:$E$228,INT(($A163-1)/28)*Setup!$B$16+$C163),""))</f>
        <v/>
      </c>
      <c r="G163" s="17" t="str">
        <f>IF($K163="","",IFERROR(INDEX(Teams!$D$4:$D$67,MATCH($B163&amp;"-"&amp;$K163,Teams!$E$4:$E$67,0)),""))</f>
        <v/>
      </c>
      <c r="H163" s="16" t="str">
        <f>IF(OR($E163="",$G163="",$C163&gt;Setup!$B$16),"",IFERROR(INDEX(Results!$F$5:$F$228,INT(($A163-1)/28)*Setup!$B$16+$C163),""))</f>
        <v/>
      </c>
      <c r="I163" s="18">
        <f t="shared" si="27"/>
        <v>0</v>
      </c>
      <c r="J163" s="19" t="str">
        <f>IF(OR($B163="",$C163&gt;Setup!$B$16),"",IFERROR(INDEX('Fixture Library'!$E$4:$E$83,MATCH(Setup!$B$7&amp;"-"&amp;$C163,'Fixture Library'!$A$4:$A$83,0)),""))</f>
        <v/>
      </c>
      <c r="K163" s="19" t="str">
        <f>IF(OR($B163="",$C163&gt;Setup!$B$16),"",IFERROR(INDEX('Fixture Library'!$F$4:$F$83,MATCH(Setup!$B$7&amp;"-"&amp;$C163,'Fixture Library'!$A$4:$A$83,0)),""))</f>
        <v/>
      </c>
      <c r="L163" s="16">
        <f t="shared" si="22"/>
        <v>0</v>
      </c>
      <c r="M163" s="16">
        <f t="shared" si="23"/>
        <v>0</v>
      </c>
      <c r="N163" s="16">
        <f t="shared" si="24"/>
        <v>0</v>
      </c>
      <c r="O163" s="16">
        <f t="shared" si="25"/>
        <v>0</v>
      </c>
      <c r="P163" s="16">
        <f t="shared" si="28"/>
        <v>0</v>
      </c>
      <c r="Q163" s="16">
        <f t="shared" si="28"/>
        <v>0</v>
      </c>
      <c r="R163" s="16">
        <f t="shared" si="26"/>
        <v>0</v>
      </c>
    </row>
    <row r="164" spans="1:18">
      <c r="A164" s="16">
        <v>161</v>
      </c>
      <c r="B164" s="16" t="str">
        <f>IF(INT(($A164-1)/28)+1&lt;=Setup!$B$6,INDEX(Setup!$B$22:$B$29,INT(($A164-1)/28)+1),"")</f>
        <v/>
      </c>
      <c r="C164" s="16" t="str">
        <f t="shared" si="21"/>
        <v/>
      </c>
      <c r="D164" s="16" t="str">
        <f>IF(OR($B164="",$C164&gt;Setup!$B$16),"",IFERROR(INDEX('Fixture Library'!$D$4:$D$83,MATCH(Setup!$B$7&amp;"-"&amp;$C164,'Fixture Library'!$A$4:$A$83,0)),""))</f>
        <v/>
      </c>
      <c r="E164" s="17" t="str">
        <f>IF($J164="","",IFERROR(INDEX(Teams!$D$4:$D$67,MATCH($B164&amp;"-"&amp;$J164,Teams!$E$4:$E$67,0)),""))</f>
        <v/>
      </c>
      <c r="F164" s="16" t="str">
        <f>IF(OR($E164="",$G164="",$C164&gt;Setup!$B$16),"",IFERROR(INDEX(Results!$E$5:$E$228,INT(($A164-1)/28)*Setup!$B$16+$C164),""))</f>
        <v/>
      </c>
      <c r="G164" s="17" t="str">
        <f>IF($K164="","",IFERROR(INDEX(Teams!$D$4:$D$67,MATCH($B164&amp;"-"&amp;$K164,Teams!$E$4:$E$67,0)),""))</f>
        <v/>
      </c>
      <c r="H164" s="16" t="str">
        <f>IF(OR($E164="",$G164="",$C164&gt;Setup!$B$16),"",IFERROR(INDEX(Results!$F$5:$F$228,INT(($A164-1)/28)*Setup!$B$16+$C164),""))</f>
        <v/>
      </c>
      <c r="I164" s="18">
        <f t="shared" si="27"/>
        <v>0</v>
      </c>
      <c r="J164" s="19" t="str">
        <f>IF(OR($B164="",$C164&gt;Setup!$B$16),"",IFERROR(INDEX('Fixture Library'!$E$4:$E$83,MATCH(Setup!$B$7&amp;"-"&amp;$C164,'Fixture Library'!$A$4:$A$83,0)),""))</f>
        <v/>
      </c>
      <c r="K164" s="19" t="str">
        <f>IF(OR($B164="",$C164&gt;Setup!$B$16),"",IFERROR(INDEX('Fixture Library'!$F$4:$F$83,MATCH(Setup!$B$7&amp;"-"&amp;$C164,'Fixture Library'!$A$4:$A$83,0)),""))</f>
        <v/>
      </c>
      <c r="L164" s="16">
        <f t="shared" si="22"/>
        <v>0</v>
      </c>
      <c r="M164" s="16">
        <f t="shared" si="23"/>
        <v>0</v>
      </c>
      <c r="N164" s="16">
        <f t="shared" si="24"/>
        <v>0</v>
      </c>
      <c r="O164" s="16">
        <f t="shared" si="25"/>
        <v>0</v>
      </c>
      <c r="P164" s="16">
        <f t="shared" ref="P164:Q183" si="29">IF($I164=1,$H164,0)</f>
        <v>0</v>
      </c>
      <c r="Q164" s="16">
        <f t="shared" si="29"/>
        <v>0</v>
      </c>
      <c r="R164" s="16">
        <f t="shared" si="26"/>
        <v>0</v>
      </c>
    </row>
    <row r="165" spans="1:18">
      <c r="A165" s="16">
        <v>162</v>
      </c>
      <c r="B165" s="16" t="str">
        <f>IF(INT(($A165-1)/28)+1&lt;=Setup!$B$6,INDEX(Setup!$B$22:$B$29,INT(($A165-1)/28)+1),"")</f>
        <v/>
      </c>
      <c r="C165" s="16" t="str">
        <f t="shared" si="21"/>
        <v/>
      </c>
      <c r="D165" s="16" t="str">
        <f>IF(OR($B165="",$C165&gt;Setup!$B$16),"",IFERROR(INDEX('Fixture Library'!$D$4:$D$83,MATCH(Setup!$B$7&amp;"-"&amp;$C165,'Fixture Library'!$A$4:$A$83,0)),""))</f>
        <v/>
      </c>
      <c r="E165" s="17" t="str">
        <f>IF($J165="","",IFERROR(INDEX(Teams!$D$4:$D$67,MATCH($B165&amp;"-"&amp;$J165,Teams!$E$4:$E$67,0)),""))</f>
        <v/>
      </c>
      <c r="F165" s="16" t="str">
        <f>IF(OR($E165="",$G165="",$C165&gt;Setup!$B$16),"",IFERROR(INDEX(Results!$E$5:$E$228,INT(($A165-1)/28)*Setup!$B$16+$C165),""))</f>
        <v/>
      </c>
      <c r="G165" s="17" t="str">
        <f>IF($K165="","",IFERROR(INDEX(Teams!$D$4:$D$67,MATCH($B165&amp;"-"&amp;$K165,Teams!$E$4:$E$67,0)),""))</f>
        <v/>
      </c>
      <c r="H165" s="16" t="str">
        <f>IF(OR($E165="",$G165="",$C165&gt;Setup!$B$16),"",IFERROR(INDEX(Results!$F$5:$F$228,INT(($A165-1)/28)*Setup!$B$16+$C165),""))</f>
        <v/>
      </c>
      <c r="I165" s="18">
        <f t="shared" si="27"/>
        <v>0</v>
      </c>
      <c r="J165" s="19" t="str">
        <f>IF(OR($B165="",$C165&gt;Setup!$B$16),"",IFERROR(INDEX('Fixture Library'!$E$4:$E$83,MATCH(Setup!$B$7&amp;"-"&amp;$C165,'Fixture Library'!$A$4:$A$83,0)),""))</f>
        <v/>
      </c>
      <c r="K165" s="19" t="str">
        <f>IF(OR($B165="",$C165&gt;Setup!$B$16),"",IFERROR(INDEX('Fixture Library'!$F$4:$F$83,MATCH(Setup!$B$7&amp;"-"&amp;$C165,'Fixture Library'!$A$4:$A$83,0)),""))</f>
        <v/>
      </c>
      <c r="L165" s="16">
        <f t="shared" si="22"/>
        <v>0</v>
      </c>
      <c r="M165" s="16">
        <f t="shared" si="23"/>
        <v>0</v>
      </c>
      <c r="N165" s="16">
        <f t="shared" si="24"/>
        <v>0</v>
      </c>
      <c r="O165" s="16">
        <f t="shared" si="25"/>
        <v>0</v>
      </c>
      <c r="P165" s="16">
        <f t="shared" si="29"/>
        <v>0</v>
      </c>
      <c r="Q165" s="16">
        <f t="shared" si="29"/>
        <v>0</v>
      </c>
      <c r="R165" s="16">
        <f t="shared" si="26"/>
        <v>0</v>
      </c>
    </row>
    <row r="166" spans="1:18">
      <c r="A166" s="16">
        <v>163</v>
      </c>
      <c r="B166" s="16" t="str">
        <f>IF(INT(($A166-1)/28)+1&lt;=Setup!$B$6,INDEX(Setup!$B$22:$B$29,INT(($A166-1)/28)+1),"")</f>
        <v/>
      </c>
      <c r="C166" s="16" t="str">
        <f t="shared" si="21"/>
        <v/>
      </c>
      <c r="D166" s="16" t="str">
        <f>IF(OR($B166="",$C166&gt;Setup!$B$16),"",IFERROR(INDEX('Fixture Library'!$D$4:$D$83,MATCH(Setup!$B$7&amp;"-"&amp;$C166,'Fixture Library'!$A$4:$A$83,0)),""))</f>
        <v/>
      </c>
      <c r="E166" s="17" t="str">
        <f>IF($J166="","",IFERROR(INDEX(Teams!$D$4:$D$67,MATCH($B166&amp;"-"&amp;$J166,Teams!$E$4:$E$67,0)),""))</f>
        <v/>
      </c>
      <c r="F166" s="16" t="str">
        <f>IF(OR($E166="",$G166="",$C166&gt;Setup!$B$16),"",IFERROR(INDEX(Results!$E$5:$E$228,INT(($A166-1)/28)*Setup!$B$16+$C166),""))</f>
        <v/>
      </c>
      <c r="G166" s="17" t="str">
        <f>IF($K166="","",IFERROR(INDEX(Teams!$D$4:$D$67,MATCH($B166&amp;"-"&amp;$K166,Teams!$E$4:$E$67,0)),""))</f>
        <v/>
      </c>
      <c r="H166" s="16" t="str">
        <f>IF(OR($E166="",$G166="",$C166&gt;Setup!$B$16),"",IFERROR(INDEX(Results!$F$5:$F$228,INT(($A166-1)/28)*Setup!$B$16+$C166),""))</f>
        <v/>
      </c>
      <c r="I166" s="18">
        <f t="shared" si="27"/>
        <v>0</v>
      </c>
      <c r="J166" s="19" t="str">
        <f>IF(OR($B166="",$C166&gt;Setup!$B$16),"",IFERROR(INDEX('Fixture Library'!$E$4:$E$83,MATCH(Setup!$B$7&amp;"-"&amp;$C166,'Fixture Library'!$A$4:$A$83,0)),""))</f>
        <v/>
      </c>
      <c r="K166" s="19" t="str">
        <f>IF(OR($B166="",$C166&gt;Setup!$B$16),"",IFERROR(INDEX('Fixture Library'!$F$4:$F$83,MATCH(Setup!$B$7&amp;"-"&amp;$C166,'Fixture Library'!$A$4:$A$83,0)),""))</f>
        <v/>
      </c>
      <c r="L166" s="16">
        <f t="shared" si="22"/>
        <v>0</v>
      </c>
      <c r="M166" s="16">
        <f t="shared" si="23"/>
        <v>0</v>
      </c>
      <c r="N166" s="16">
        <f t="shared" si="24"/>
        <v>0</v>
      </c>
      <c r="O166" s="16">
        <f t="shared" si="25"/>
        <v>0</v>
      </c>
      <c r="P166" s="16">
        <f t="shared" si="29"/>
        <v>0</v>
      </c>
      <c r="Q166" s="16">
        <f t="shared" si="29"/>
        <v>0</v>
      </c>
      <c r="R166" s="16">
        <f t="shared" si="26"/>
        <v>0</v>
      </c>
    </row>
    <row r="167" spans="1:18">
      <c r="A167" s="16">
        <v>164</v>
      </c>
      <c r="B167" s="16" t="str">
        <f>IF(INT(($A167-1)/28)+1&lt;=Setup!$B$6,INDEX(Setup!$B$22:$B$29,INT(($A167-1)/28)+1),"")</f>
        <v/>
      </c>
      <c r="C167" s="16" t="str">
        <f t="shared" si="21"/>
        <v/>
      </c>
      <c r="D167" s="16" t="str">
        <f>IF(OR($B167="",$C167&gt;Setup!$B$16),"",IFERROR(INDEX('Fixture Library'!$D$4:$D$83,MATCH(Setup!$B$7&amp;"-"&amp;$C167,'Fixture Library'!$A$4:$A$83,0)),""))</f>
        <v/>
      </c>
      <c r="E167" s="17" t="str">
        <f>IF($J167="","",IFERROR(INDEX(Teams!$D$4:$D$67,MATCH($B167&amp;"-"&amp;$J167,Teams!$E$4:$E$67,0)),""))</f>
        <v/>
      </c>
      <c r="F167" s="16" t="str">
        <f>IF(OR($E167="",$G167="",$C167&gt;Setup!$B$16),"",IFERROR(INDEX(Results!$E$5:$E$228,INT(($A167-1)/28)*Setup!$B$16+$C167),""))</f>
        <v/>
      </c>
      <c r="G167" s="17" t="str">
        <f>IF($K167="","",IFERROR(INDEX(Teams!$D$4:$D$67,MATCH($B167&amp;"-"&amp;$K167,Teams!$E$4:$E$67,0)),""))</f>
        <v/>
      </c>
      <c r="H167" s="16" t="str">
        <f>IF(OR($E167="",$G167="",$C167&gt;Setup!$B$16),"",IFERROR(INDEX(Results!$F$5:$F$228,INT(($A167-1)/28)*Setup!$B$16+$C167),""))</f>
        <v/>
      </c>
      <c r="I167" s="18">
        <f t="shared" si="27"/>
        <v>0</v>
      </c>
      <c r="J167" s="19" t="str">
        <f>IF(OR($B167="",$C167&gt;Setup!$B$16),"",IFERROR(INDEX('Fixture Library'!$E$4:$E$83,MATCH(Setup!$B$7&amp;"-"&amp;$C167,'Fixture Library'!$A$4:$A$83,0)),""))</f>
        <v/>
      </c>
      <c r="K167" s="19" t="str">
        <f>IF(OR($B167="",$C167&gt;Setup!$B$16),"",IFERROR(INDEX('Fixture Library'!$F$4:$F$83,MATCH(Setup!$B$7&amp;"-"&amp;$C167,'Fixture Library'!$A$4:$A$83,0)),""))</f>
        <v/>
      </c>
      <c r="L167" s="16">
        <f t="shared" si="22"/>
        <v>0</v>
      </c>
      <c r="M167" s="16">
        <f t="shared" si="23"/>
        <v>0</v>
      </c>
      <c r="N167" s="16">
        <f t="shared" si="24"/>
        <v>0</v>
      </c>
      <c r="O167" s="16">
        <f t="shared" si="25"/>
        <v>0</v>
      </c>
      <c r="P167" s="16">
        <f t="shared" si="29"/>
        <v>0</v>
      </c>
      <c r="Q167" s="16">
        <f t="shared" si="29"/>
        <v>0</v>
      </c>
      <c r="R167" s="16">
        <f t="shared" si="26"/>
        <v>0</v>
      </c>
    </row>
    <row r="168" spans="1:18">
      <c r="A168" s="16">
        <v>165</v>
      </c>
      <c r="B168" s="16" t="str">
        <f>IF(INT(($A168-1)/28)+1&lt;=Setup!$B$6,INDEX(Setup!$B$22:$B$29,INT(($A168-1)/28)+1),"")</f>
        <v/>
      </c>
      <c r="C168" s="16" t="str">
        <f t="shared" si="21"/>
        <v/>
      </c>
      <c r="D168" s="16" t="str">
        <f>IF(OR($B168="",$C168&gt;Setup!$B$16),"",IFERROR(INDEX('Fixture Library'!$D$4:$D$83,MATCH(Setup!$B$7&amp;"-"&amp;$C168,'Fixture Library'!$A$4:$A$83,0)),""))</f>
        <v/>
      </c>
      <c r="E168" s="17" t="str">
        <f>IF($J168="","",IFERROR(INDEX(Teams!$D$4:$D$67,MATCH($B168&amp;"-"&amp;$J168,Teams!$E$4:$E$67,0)),""))</f>
        <v/>
      </c>
      <c r="F168" s="16" t="str">
        <f>IF(OR($E168="",$G168="",$C168&gt;Setup!$B$16),"",IFERROR(INDEX(Results!$E$5:$E$228,INT(($A168-1)/28)*Setup!$B$16+$C168),""))</f>
        <v/>
      </c>
      <c r="G168" s="17" t="str">
        <f>IF($K168="","",IFERROR(INDEX(Teams!$D$4:$D$67,MATCH($B168&amp;"-"&amp;$K168,Teams!$E$4:$E$67,0)),""))</f>
        <v/>
      </c>
      <c r="H168" s="16" t="str">
        <f>IF(OR($E168="",$G168="",$C168&gt;Setup!$B$16),"",IFERROR(INDEX(Results!$F$5:$F$228,INT(($A168-1)/28)*Setup!$B$16+$C168),""))</f>
        <v/>
      </c>
      <c r="I168" s="18">
        <f t="shared" si="27"/>
        <v>0</v>
      </c>
      <c r="J168" s="19" t="str">
        <f>IF(OR($B168="",$C168&gt;Setup!$B$16),"",IFERROR(INDEX('Fixture Library'!$E$4:$E$83,MATCH(Setup!$B$7&amp;"-"&amp;$C168,'Fixture Library'!$A$4:$A$83,0)),""))</f>
        <v/>
      </c>
      <c r="K168" s="19" t="str">
        <f>IF(OR($B168="",$C168&gt;Setup!$B$16),"",IFERROR(INDEX('Fixture Library'!$F$4:$F$83,MATCH(Setup!$B$7&amp;"-"&amp;$C168,'Fixture Library'!$A$4:$A$83,0)),""))</f>
        <v/>
      </c>
      <c r="L168" s="16">
        <f t="shared" si="22"/>
        <v>0</v>
      </c>
      <c r="M168" s="16">
        <f t="shared" si="23"/>
        <v>0</v>
      </c>
      <c r="N168" s="16">
        <f t="shared" si="24"/>
        <v>0</v>
      </c>
      <c r="O168" s="16">
        <f t="shared" si="25"/>
        <v>0</v>
      </c>
      <c r="P168" s="16">
        <f t="shared" si="29"/>
        <v>0</v>
      </c>
      <c r="Q168" s="16">
        <f t="shared" si="29"/>
        <v>0</v>
      </c>
      <c r="R168" s="16">
        <f t="shared" si="26"/>
        <v>0</v>
      </c>
    </row>
    <row r="169" spans="1:18">
      <c r="A169" s="16">
        <v>166</v>
      </c>
      <c r="B169" s="16" t="str">
        <f>IF(INT(($A169-1)/28)+1&lt;=Setup!$B$6,INDEX(Setup!$B$22:$B$29,INT(($A169-1)/28)+1),"")</f>
        <v/>
      </c>
      <c r="C169" s="16" t="str">
        <f t="shared" si="21"/>
        <v/>
      </c>
      <c r="D169" s="16" t="str">
        <f>IF(OR($B169="",$C169&gt;Setup!$B$16),"",IFERROR(INDEX('Fixture Library'!$D$4:$D$83,MATCH(Setup!$B$7&amp;"-"&amp;$C169,'Fixture Library'!$A$4:$A$83,0)),""))</f>
        <v/>
      </c>
      <c r="E169" s="17" t="str">
        <f>IF($J169="","",IFERROR(INDEX(Teams!$D$4:$D$67,MATCH($B169&amp;"-"&amp;$J169,Teams!$E$4:$E$67,0)),""))</f>
        <v/>
      </c>
      <c r="F169" s="16" t="str">
        <f>IF(OR($E169="",$G169="",$C169&gt;Setup!$B$16),"",IFERROR(INDEX(Results!$E$5:$E$228,INT(($A169-1)/28)*Setup!$B$16+$C169),""))</f>
        <v/>
      </c>
      <c r="G169" s="17" t="str">
        <f>IF($K169="","",IFERROR(INDEX(Teams!$D$4:$D$67,MATCH($B169&amp;"-"&amp;$K169,Teams!$E$4:$E$67,0)),""))</f>
        <v/>
      </c>
      <c r="H169" s="16" t="str">
        <f>IF(OR($E169="",$G169="",$C169&gt;Setup!$B$16),"",IFERROR(INDEX(Results!$F$5:$F$228,INT(($A169-1)/28)*Setup!$B$16+$C169),""))</f>
        <v/>
      </c>
      <c r="I169" s="18">
        <f t="shared" si="27"/>
        <v>0</v>
      </c>
      <c r="J169" s="19" t="str">
        <f>IF(OR($B169="",$C169&gt;Setup!$B$16),"",IFERROR(INDEX('Fixture Library'!$E$4:$E$83,MATCH(Setup!$B$7&amp;"-"&amp;$C169,'Fixture Library'!$A$4:$A$83,0)),""))</f>
        <v/>
      </c>
      <c r="K169" s="19" t="str">
        <f>IF(OR($B169="",$C169&gt;Setup!$B$16),"",IFERROR(INDEX('Fixture Library'!$F$4:$F$83,MATCH(Setup!$B$7&amp;"-"&amp;$C169,'Fixture Library'!$A$4:$A$83,0)),""))</f>
        <v/>
      </c>
      <c r="L169" s="16">
        <f t="shared" si="22"/>
        <v>0</v>
      </c>
      <c r="M169" s="16">
        <f t="shared" si="23"/>
        <v>0</v>
      </c>
      <c r="N169" s="16">
        <f t="shared" si="24"/>
        <v>0</v>
      </c>
      <c r="O169" s="16">
        <f t="shared" si="25"/>
        <v>0</v>
      </c>
      <c r="P169" s="16">
        <f t="shared" si="29"/>
        <v>0</v>
      </c>
      <c r="Q169" s="16">
        <f t="shared" si="29"/>
        <v>0</v>
      </c>
      <c r="R169" s="16">
        <f t="shared" si="26"/>
        <v>0</v>
      </c>
    </row>
    <row r="170" spans="1:18">
      <c r="A170" s="16">
        <v>167</v>
      </c>
      <c r="B170" s="16" t="str">
        <f>IF(INT(($A170-1)/28)+1&lt;=Setup!$B$6,INDEX(Setup!$B$22:$B$29,INT(($A170-1)/28)+1),"")</f>
        <v/>
      </c>
      <c r="C170" s="16" t="str">
        <f t="shared" si="21"/>
        <v/>
      </c>
      <c r="D170" s="16" t="str">
        <f>IF(OR($B170="",$C170&gt;Setup!$B$16),"",IFERROR(INDEX('Fixture Library'!$D$4:$D$83,MATCH(Setup!$B$7&amp;"-"&amp;$C170,'Fixture Library'!$A$4:$A$83,0)),""))</f>
        <v/>
      </c>
      <c r="E170" s="17" t="str">
        <f>IF($J170="","",IFERROR(INDEX(Teams!$D$4:$D$67,MATCH($B170&amp;"-"&amp;$J170,Teams!$E$4:$E$67,0)),""))</f>
        <v/>
      </c>
      <c r="F170" s="16" t="str">
        <f>IF(OR($E170="",$G170="",$C170&gt;Setup!$B$16),"",IFERROR(INDEX(Results!$E$5:$E$228,INT(($A170-1)/28)*Setup!$B$16+$C170),""))</f>
        <v/>
      </c>
      <c r="G170" s="17" t="str">
        <f>IF($K170="","",IFERROR(INDEX(Teams!$D$4:$D$67,MATCH($B170&amp;"-"&amp;$K170,Teams!$E$4:$E$67,0)),""))</f>
        <v/>
      </c>
      <c r="H170" s="16" t="str">
        <f>IF(OR($E170="",$G170="",$C170&gt;Setup!$B$16),"",IFERROR(INDEX(Results!$F$5:$F$228,INT(($A170-1)/28)*Setup!$B$16+$C170),""))</f>
        <v/>
      </c>
      <c r="I170" s="18">
        <f t="shared" si="27"/>
        <v>0</v>
      </c>
      <c r="J170" s="19" t="str">
        <f>IF(OR($B170="",$C170&gt;Setup!$B$16),"",IFERROR(INDEX('Fixture Library'!$E$4:$E$83,MATCH(Setup!$B$7&amp;"-"&amp;$C170,'Fixture Library'!$A$4:$A$83,0)),""))</f>
        <v/>
      </c>
      <c r="K170" s="19" t="str">
        <f>IF(OR($B170="",$C170&gt;Setup!$B$16),"",IFERROR(INDEX('Fixture Library'!$F$4:$F$83,MATCH(Setup!$B$7&amp;"-"&amp;$C170,'Fixture Library'!$A$4:$A$83,0)),""))</f>
        <v/>
      </c>
      <c r="L170" s="16">
        <f t="shared" si="22"/>
        <v>0</v>
      </c>
      <c r="M170" s="16">
        <f t="shared" si="23"/>
        <v>0</v>
      </c>
      <c r="N170" s="16">
        <f t="shared" si="24"/>
        <v>0</v>
      </c>
      <c r="O170" s="16">
        <f t="shared" si="25"/>
        <v>0</v>
      </c>
      <c r="P170" s="16">
        <f t="shared" si="29"/>
        <v>0</v>
      </c>
      <c r="Q170" s="16">
        <f t="shared" si="29"/>
        <v>0</v>
      </c>
      <c r="R170" s="16">
        <f t="shared" si="26"/>
        <v>0</v>
      </c>
    </row>
    <row r="171" spans="1:18">
      <c r="A171" s="16">
        <v>168</v>
      </c>
      <c r="B171" s="16" t="str">
        <f>IF(INT(($A171-1)/28)+1&lt;=Setup!$B$6,INDEX(Setup!$B$22:$B$29,INT(($A171-1)/28)+1),"")</f>
        <v/>
      </c>
      <c r="C171" s="16" t="str">
        <f t="shared" si="21"/>
        <v/>
      </c>
      <c r="D171" s="16" t="str">
        <f>IF(OR($B171="",$C171&gt;Setup!$B$16),"",IFERROR(INDEX('Fixture Library'!$D$4:$D$83,MATCH(Setup!$B$7&amp;"-"&amp;$C171,'Fixture Library'!$A$4:$A$83,0)),""))</f>
        <v/>
      </c>
      <c r="E171" s="17" t="str">
        <f>IF($J171="","",IFERROR(INDEX(Teams!$D$4:$D$67,MATCH($B171&amp;"-"&amp;$J171,Teams!$E$4:$E$67,0)),""))</f>
        <v/>
      </c>
      <c r="F171" s="16" t="str">
        <f>IF(OR($E171="",$G171="",$C171&gt;Setup!$B$16),"",IFERROR(INDEX(Results!$E$5:$E$228,INT(($A171-1)/28)*Setup!$B$16+$C171),""))</f>
        <v/>
      </c>
      <c r="G171" s="17" t="str">
        <f>IF($K171="","",IFERROR(INDEX(Teams!$D$4:$D$67,MATCH($B171&amp;"-"&amp;$K171,Teams!$E$4:$E$67,0)),""))</f>
        <v/>
      </c>
      <c r="H171" s="16" t="str">
        <f>IF(OR($E171="",$G171="",$C171&gt;Setup!$B$16),"",IFERROR(INDEX(Results!$F$5:$F$228,INT(($A171-1)/28)*Setup!$B$16+$C171),""))</f>
        <v/>
      </c>
      <c r="I171" s="18">
        <f t="shared" si="27"/>
        <v>0</v>
      </c>
      <c r="J171" s="19" t="str">
        <f>IF(OR($B171="",$C171&gt;Setup!$B$16),"",IFERROR(INDEX('Fixture Library'!$E$4:$E$83,MATCH(Setup!$B$7&amp;"-"&amp;$C171,'Fixture Library'!$A$4:$A$83,0)),""))</f>
        <v/>
      </c>
      <c r="K171" s="19" t="str">
        <f>IF(OR($B171="",$C171&gt;Setup!$B$16),"",IFERROR(INDEX('Fixture Library'!$F$4:$F$83,MATCH(Setup!$B$7&amp;"-"&amp;$C171,'Fixture Library'!$A$4:$A$83,0)),""))</f>
        <v/>
      </c>
      <c r="L171" s="16">
        <f t="shared" si="22"/>
        <v>0</v>
      </c>
      <c r="M171" s="16">
        <f t="shared" si="23"/>
        <v>0</v>
      </c>
      <c r="N171" s="16">
        <f t="shared" si="24"/>
        <v>0</v>
      </c>
      <c r="O171" s="16">
        <f t="shared" si="25"/>
        <v>0</v>
      </c>
      <c r="P171" s="16">
        <f t="shared" si="29"/>
        <v>0</v>
      </c>
      <c r="Q171" s="16">
        <f t="shared" si="29"/>
        <v>0</v>
      </c>
      <c r="R171" s="16">
        <f t="shared" si="26"/>
        <v>0</v>
      </c>
    </row>
    <row r="172" spans="1:18">
      <c r="A172" s="16">
        <v>169</v>
      </c>
      <c r="B172" s="16" t="str">
        <f>IF(INT(($A172-1)/28)+1&lt;=Setup!$B$6,INDEX(Setup!$B$22:$B$29,INT(($A172-1)/28)+1),"")</f>
        <v/>
      </c>
      <c r="C172" s="16" t="str">
        <f t="shared" si="21"/>
        <v/>
      </c>
      <c r="D172" s="16" t="str">
        <f>IF(OR($B172="",$C172&gt;Setup!$B$16),"",IFERROR(INDEX('Fixture Library'!$D$4:$D$83,MATCH(Setup!$B$7&amp;"-"&amp;$C172,'Fixture Library'!$A$4:$A$83,0)),""))</f>
        <v/>
      </c>
      <c r="E172" s="17" t="str">
        <f>IF($J172="","",IFERROR(INDEX(Teams!$D$4:$D$67,MATCH($B172&amp;"-"&amp;$J172,Teams!$E$4:$E$67,0)),""))</f>
        <v/>
      </c>
      <c r="F172" s="16" t="str">
        <f>IF(OR($E172="",$G172="",$C172&gt;Setup!$B$16),"",IFERROR(INDEX(Results!$E$5:$E$228,INT(($A172-1)/28)*Setup!$B$16+$C172),""))</f>
        <v/>
      </c>
      <c r="G172" s="17" t="str">
        <f>IF($K172="","",IFERROR(INDEX(Teams!$D$4:$D$67,MATCH($B172&amp;"-"&amp;$K172,Teams!$E$4:$E$67,0)),""))</f>
        <v/>
      </c>
      <c r="H172" s="16" t="str">
        <f>IF(OR($E172="",$G172="",$C172&gt;Setup!$B$16),"",IFERROR(INDEX(Results!$F$5:$F$228,INT(($A172-1)/28)*Setup!$B$16+$C172),""))</f>
        <v/>
      </c>
      <c r="I172" s="18">
        <f t="shared" si="27"/>
        <v>0</v>
      </c>
      <c r="J172" s="19" t="str">
        <f>IF(OR($B172="",$C172&gt;Setup!$B$16),"",IFERROR(INDEX('Fixture Library'!$E$4:$E$83,MATCH(Setup!$B$7&amp;"-"&amp;$C172,'Fixture Library'!$A$4:$A$83,0)),""))</f>
        <v/>
      </c>
      <c r="K172" s="19" t="str">
        <f>IF(OR($B172="",$C172&gt;Setup!$B$16),"",IFERROR(INDEX('Fixture Library'!$F$4:$F$83,MATCH(Setup!$B$7&amp;"-"&amp;$C172,'Fixture Library'!$A$4:$A$83,0)),""))</f>
        <v/>
      </c>
      <c r="L172" s="16">
        <f t="shared" si="22"/>
        <v>0</v>
      </c>
      <c r="M172" s="16">
        <f t="shared" si="23"/>
        <v>0</v>
      </c>
      <c r="N172" s="16">
        <f t="shared" si="24"/>
        <v>0</v>
      </c>
      <c r="O172" s="16">
        <f t="shared" si="25"/>
        <v>0</v>
      </c>
      <c r="P172" s="16">
        <f t="shared" si="29"/>
        <v>0</v>
      </c>
      <c r="Q172" s="16">
        <f t="shared" si="29"/>
        <v>0</v>
      </c>
      <c r="R172" s="16">
        <f t="shared" si="26"/>
        <v>0</v>
      </c>
    </row>
    <row r="173" spans="1:18">
      <c r="A173" s="16">
        <v>170</v>
      </c>
      <c r="B173" s="16" t="str">
        <f>IF(INT(($A173-1)/28)+1&lt;=Setup!$B$6,INDEX(Setup!$B$22:$B$29,INT(($A173-1)/28)+1),"")</f>
        <v/>
      </c>
      <c r="C173" s="16" t="str">
        <f t="shared" si="21"/>
        <v/>
      </c>
      <c r="D173" s="16" t="str">
        <f>IF(OR($B173="",$C173&gt;Setup!$B$16),"",IFERROR(INDEX('Fixture Library'!$D$4:$D$83,MATCH(Setup!$B$7&amp;"-"&amp;$C173,'Fixture Library'!$A$4:$A$83,0)),""))</f>
        <v/>
      </c>
      <c r="E173" s="17" t="str">
        <f>IF($J173="","",IFERROR(INDEX(Teams!$D$4:$D$67,MATCH($B173&amp;"-"&amp;$J173,Teams!$E$4:$E$67,0)),""))</f>
        <v/>
      </c>
      <c r="F173" s="16" t="str">
        <f>IF(OR($E173="",$G173="",$C173&gt;Setup!$B$16),"",IFERROR(INDEX(Results!$E$5:$E$228,INT(($A173-1)/28)*Setup!$B$16+$C173),""))</f>
        <v/>
      </c>
      <c r="G173" s="17" t="str">
        <f>IF($K173="","",IFERROR(INDEX(Teams!$D$4:$D$67,MATCH($B173&amp;"-"&amp;$K173,Teams!$E$4:$E$67,0)),""))</f>
        <v/>
      </c>
      <c r="H173" s="16" t="str">
        <f>IF(OR($E173="",$G173="",$C173&gt;Setup!$B$16),"",IFERROR(INDEX(Results!$F$5:$F$228,INT(($A173-1)/28)*Setup!$B$16+$C173),""))</f>
        <v/>
      </c>
      <c r="I173" s="18">
        <f t="shared" si="27"/>
        <v>0</v>
      </c>
      <c r="J173" s="19" t="str">
        <f>IF(OR($B173="",$C173&gt;Setup!$B$16),"",IFERROR(INDEX('Fixture Library'!$E$4:$E$83,MATCH(Setup!$B$7&amp;"-"&amp;$C173,'Fixture Library'!$A$4:$A$83,0)),""))</f>
        <v/>
      </c>
      <c r="K173" s="19" t="str">
        <f>IF(OR($B173="",$C173&gt;Setup!$B$16),"",IFERROR(INDEX('Fixture Library'!$F$4:$F$83,MATCH(Setup!$B$7&amp;"-"&amp;$C173,'Fixture Library'!$A$4:$A$83,0)),""))</f>
        <v/>
      </c>
      <c r="L173" s="16">
        <f t="shared" si="22"/>
        <v>0</v>
      </c>
      <c r="M173" s="16">
        <f t="shared" si="23"/>
        <v>0</v>
      </c>
      <c r="N173" s="16">
        <f t="shared" si="24"/>
        <v>0</v>
      </c>
      <c r="O173" s="16">
        <f t="shared" si="25"/>
        <v>0</v>
      </c>
      <c r="P173" s="16">
        <f t="shared" si="29"/>
        <v>0</v>
      </c>
      <c r="Q173" s="16">
        <f t="shared" si="29"/>
        <v>0</v>
      </c>
      <c r="R173" s="16">
        <f t="shared" si="26"/>
        <v>0</v>
      </c>
    </row>
    <row r="174" spans="1:18">
      <c r="A174" s="16">
        <v>171</v>
      </c>
      <c r="B174" s="16" t="str">
        <f>IF(INT(($A174-1)/28)+1&lt;=Setup!$B$6,INDEX(Setup!$B$22:$B$29,INT(($A174-1)/28)+1),"")</f>
        <v/>
      </c>
      <c r="C174" s="16" t="str">
        <f t="shared" si="21"/>
        <v/>
      </c>
      <c r="D174" s="16" t="str">
        <f>IF(OR($B174="",$C174&gt;Setup!$B$16),"",IFERROR(INDEX('Fixture Library'!$D$4:$D$83,MATCH(Setup!$B$7&amp;"-"&amp;$C174,'Fixture Library'!$A$4:$A$83,0)),""))</f>
        <v/>
      </c>
      <c r="E174" s="17" t="str">
        <f>IF($J174="","",IFERROR(INDEX(Teams!$D$4:$D$67,MATCH($B174&amp;"-"&amp;$J174,Teams!$E$4:$E$67,0)),""))</f>
        <v/>
      </c>
      <c r="F174" s="16" t="str">
        <f>IF(OR($E174="",$G174="",$C174&gt;Setup!$B$16),"",IFERROR(INDEX(Results!$E$5:$E$228,INT(($A174-1)/28)*Setup!$B$16+$C174),""))</f>
        <v/>
      </c>
      <c r="G174" s="17" t="str">
        <f>IF($K174="","",IFERROR(INDEX(Teams!$D$4:$D$67,MATCH($B174&amp;"-"&amp;$K174,Teams!$E$4:$E$67,0)),""))</f>
        <v/>
      </c>
      <c r="H174" s="16" t="str">
        <f>IF(OR($E174="",$G174="",$C174&gt;Setup!$B$16),"",IFERROR(INDEX(Results!$F$5:$F$228,INT(($A174-1)/28)*Setup!$B$16+$C174),""))</f>
        <v/>
      </c>
      <c r="I174" s="18">
        <f t="shared" si="27"/>
        <v>0</v>
      </c>
      <c r="J174" s="19" t="str">
        <f>IF(OR($B174="",$C174&gt;Setup!$B$16),"",IFERROR(INDEX('Fixture Library'!$E$4:$E$83,MATCH(Setup!$B$7&amp;"-"&amp;$C174,'Fixture Library'!$A$4:$A$83,0)),""))</f>
        <v/>
      </c>
      <c r="K174" s="19" t="str">
        <f>IF(OR($B174="",$C174&gt;Setup!$B$16),"",IFERROR(INDEX('Fixture Library'!$F$4:$F$83,MATCH(Setup!$B$7&amp;"-"&amp;$C174,'Fixture Library'!$A$4:$A$83,0)),""))</f>
        <v/>
      </c>
      <c r="L174" s="16">
        <f t="shared" si="22"/>
        <v>0</v>
      </c>
      <c r="M174" s="16">
        <f t="shared" si="23"/>
        <v>0</v>
      </c>
      <c r="N174" s="16">
        <f t="shared" si="24"/>
        <v>0</v>
      </c>
      <c r="O174" s="16">
        <f t="shared" si="25"/>
        <v>0</v>
      </c>
      <c r="P174" s="16">
        <f t="shared" si="29"/>
        <v>0</v>
      </c>
      <c r="Q174" s="16">
        <f t="shared" si="29"/>
        <v>0</v>
      </c>
      <c r="R174" s="16">
        <f t="shared" si="26"/>
        <v>0</v>
      </c>
    </row>
    <row r="175" spans="1:18">
      <c r="A175" s="16">
        <v>172</v>
      </c>
      <c r="B175" s="16" t="str">
        <f>IF(INT(($A175-1)/28)+1&lt;=Setup!$B$6,INDEX(Setup!$B$22:$B$29,INT(($A175-1)/28)+1),"")</f>
        <v/>
      </c>
      <c r="C175" s="16" t="str">
        <f t="shared" si="21"/>
        <v/>
      </c>
      <c r="D175" s="16" t="str">
        <f>IF(OR($B175="",$C175&gt;Setup!$B$16),"",IFERROR(INDEX('Fixture Library'!$D$4:$D$83,MATCH(Setup!$B$7&amp;"-"&amp;$C175,'Fixture Library'!$A$4:$A$83,0)),""))</f>
        <v/>
      </c>
      <c r="E175" s="17" t="str">
        <f>IF($J175="","",IFERROR(INDEX(Teams!$D$4:$D$67,MATCH($B175&amp;"-"&amp;$J175,Teams!$E$4:$E$67,0)),""))</f>
        <v/>
      </c>
      <c r="F175" s="16" t="str">
        <f>IF(OR($E175="",$G175="",$C175&gt;Setup!$B$16),"",IFERROR(INDEX(Results!$E$5:$E$228,INT(($A175-1)/28)*Setup!$B$16+$C175),""))</f>
        <v/>
      </c>
      <c r="G175" s="17" t="str">
        <f>IF($K175="","",IFERROR(INDEX(Teams!$D$4:$D$67,MATCH($B175&amp;"-"&amp;$K175,Teams!$E$4:$E$67,0)),""))</f>
        <v/>
      </c>
      <c r="H175" s="16" t="str">
        <f>IF(OR($E175="",$G175="",$C175&gt;Setup!$B$16),"",IFERROR(INDEX(Results!$F$5:$F$228,INT(($A175-1)/28)*Setup!$B$16+$C175),""))</f>
        <v/>
      </c>
      <c r="I175" s="18">
        <f t="shared" si="27"/>
        <v>0</v>
      </c>
      <c r="J175" s="19" t="str">
        <f>IF(OR($B175="",$C175&gt;Setup!$B$16),"",IFERROR(INDEX('Fixture Library'!$E$4:$E$83,MATCH(Setup!$B$7&amp;"-"&amp;$C175,'Fixture Library'!$A$4:$A$83,0)),""))</f>
        <v/>
      </c>
      <c r="K175" s="19" t="str">
        <f>IF(OR($B175="",$C175&gt;Setup!$B$16),"",IFERROR(INDEX('Fixture Library'!$F$4:$F$83,MATCH(Setup!$B$7&amp;"-"&amp;$C175,'Fixture Library'!$A$4:$A$83,0)),""))</f>
        <v/>
      </c>
      <c r="L175" s="16">
        <f t="shared" si="22"/>
        <v>0</v>
      </c>
      <c r="M175" s="16">
        <f t="shared" si="23"/>
        <v>0</v>
      </c>
      <c r="N175" s="16">
        <f t="shared" si="24"/>
        <v>0</v>
      </c>
      <c r="O175" s="16">
        <f t="shared" si="25"/>
        <v>0</v>
      </c>
      <c r="P175" s="16">
        <f t="shared" si="29"/>
        <v>0</v>
      </c>
      <c r="Q175" s="16">
        <f t="shared" si="29"/>
        <v>0</v>
      </c>
      <c r="R175" s="16">
        <f t="shared" si="26"/>
        <v>0</v>
      </c>
    </row>
    <row r="176" spans="1:18">
      <c r="A176" s="16">
        <v>173</v>
      </c>
      <c r="B176" s="16" t="str">
        <f>IF(INT(($A176-1)/28)+1&lt;=Setup!$B$6,INDEX(Setup!$B$22:$B$29,INT(($A176-1)/28)+1),"")</f>
        <v/>
      </c>
      <c r="C176" s="16" t="str">
        <f t="shared" si="21"/>
        <v/>
      </c>
      <c r="D176" s="16" t="str">
        <f>IF(OR($B176="",$C176&gt;Setup!$B$16),"",IFERROR(INDEX('Fixture Library'!$D$4:$D$83,MATCH(Setup!$B$7&amp;"-"&amp;$C176,'Fixture Library'!$A$4:$A$83,0)),""))</f>
        <v/>
      </c>
      <c r="E176" s="17" t="str">
        <f>IF($J176="","",IFERROR(INDEX(Teams!$D$4:$D$67,MATCH($B176&amp;"-"&amp;$J176,Teams!$E$4:$E$67,0)),""))</f>
        <v/>
      </c>
      <c r="F176" s="16" t="str">
        <f>IF(OR($E176="",$G176="",$C176&gt;Setup!$B$16),"",IFERROR(INDEX(Results!$E$5:$E$228,INT(($A176-1)/28)*Setup!$B$16+$C176),""))</f>
        <v/>
      </c>
      <c r="G176" s="17" t="str">
        <f>IF($K176="","",IFERROR(INDEX(Teams!$D$4:$D$67,MATCH($B176&amp;"-"&amp;$K176,Teams!$E$4:$E$67,0)),""))</f>
        <v/>
      </c>
      <c r="H176" s="16" t="str">
        <f>IF(OR($E176="",$G176="",$C176&gt;Setup!$B$16),"",IFERROR(INDEX(Results!$F$5:$F$228,INT(($A176-1)/28)*Setup!$B$16+$C176),""))</f>
        <v/>
      </c>
      <c r="I176" s="18">
        <f t="shared" si="27"/>
        <v>0</v>
      </c>
      <c r="J176" s="19" t="str">
        <f>IF(OR($B176="",$C176&gt;Setup!$B$16),"",IFERROR(INDEX('Fixture Library'!$E$4:$E$83,MATCH(Setup!$B$7&amp;"-"&amp;$C176,'Fixture Library'!$A$4:$A$83,0)),""))</f>
        <v/>
      </c>
      <c r="K176" s="19" t="str">
        <f>IF(OR($B176="",$C176&gt;Setup!$B$16),"",IFERROR(INDEX('Fixture Library'!$F$4:$F$83,MATCH(Setup!$B$7&amp;"-"&amp;$C176,'Fixture Library'!$A$4:$A$83,0)),""))</f>
        <v/>
      </c>
      <c r="L176" s="16">
        <f t="shared" si="22"/>
        <v>0</v>
      </c>
      <c r="M176" s="16">
        <f t="shared" si="23"/>
        <v>0</v>
      </c>
      <c r="N176" s="16">
        <f t="shared" si="24"/>
        <v>0</v>
      </c>
      <c r="O176" s="16">
        <f t="shared" si="25"/>
        <v>0</v>
      </c>
      <c r="P176" s="16">
        <f t="shared" si="29"/>
        <v>0</v>
      </c>
      <c r="Q176" s="16">
        <f t="shared" si="29"/>
        <v>0</v>
      </c>
      <c r="R176" s="16">
        <f t="shared" si="26"/>
        <v>0</v>
      </c>
    </row>
    <row r="177" spans="1:18">
      <c r="A177" s="16">
        <v>174</v>
      </c>
      <c r="B177" s="16" t="str">
        <f>IF(INT(($A177-1)/28)+1&lt;=Setup!$B$6,INDEX(Setup!$B$22:$B$29,INT(($A177-1)/28)+1),"")</f>
        <v/>
      </c>
      <c r="C177" s="16" t="str">
        <f t="shared" si="21"/>
        <v/>
      </c>
      <c r="D177" s="16" t="str">
        <f>IF(OR($B177="",$C177&gt;Setup!$B$16),"",IFERROR(INDEX('Fixture Library'!$D$4:$D$83,MATCH(Setup!$B$7&amp;"-"&amp;$C177,'Fixture Library'!$A$4:$A$83,0)),""))</f>
        <v/>
      </c>
      <c r="E177" s="17" t="str">
        <f>IF($J177="","",IFERROR(INDEX(Teams!$D$4:$D$67,MATCH($B177&amp;"-"&amp;$J177,Teams!$E$4:$E$67,0)),""))</f>
        <v/>
      </c>
      <c r="F177" s="16" t="str">
        <f>IF(OR($E177="",$G177="",$C177&gt;Setup!$B$16),"",IFERROR(INDEX(Results!$E$5:$E$228,INT(($A177-1)/28)*Setup!$B$16+$C177),""))</f>
        <v/>
      </c>
      <c r="G177" s="17" t="str">
        <f>IF($K177="","",IFERROR(INDEX(Teams!$D$4:$D$67,MATCH($B177&amp;"-"&amp;$K177,Teams!$E$4:$E$67,0)),""))</f>
        <v/>
      </c>
      <c r="H177" s="16" t="str">
        <f>IF(OR($E177="",$G177="",$C177&gt;Setup!$B$16),"",IFERROR(INDEX(Results!$F$5:$F$228,INT(($A177-1)/28)*Setup!$B$16+$C177),""))</f>
        <v/>
      </c>
      <c r="I177" s="18">
        <f t="shared" si="27"/>
        <v>0</v>
      </c>
      <c r="J177" s="19" t="str">
        <f>IF(OR($B177="",$C177&gt;Setup!$B$16),"",IFERROR(INDEX('Fixture Library'!$E$4:$E$83,MATCH(Setup!$B$7&amp;"-"&amp;$C177,'Fixture Library'!$A$4:$A$83,0)),""))</f>
        <v/>
      </c>
      <c r="K177" s="19" t="str">
        <f>IF(OR($B177="",$C177&gt;Setup!$B$16),"",IFERROR(INDEX('Fixture Library'!$F$4:$F$83,MATCH(Setup!$B$7&amp;"-"&amp;$C177,'Fixture Library'!$A$4:$A$83,0)),""))</f>
        <v/>
      </c>
      <c r="L177" s="16">
        <f t="shared" si="22"/>
        <v>0</v>
      </c>
      <c r="M177" s="16">
        <f t="shared" si="23"/>
        <v>0</v>
      </c>
      <c r="N177" s="16">
        <f t="shared" si="24"/>
        <v>0</v>
      </c>
      <c r="O177" s="16">
        <f t="shared" si="25"/>
        <v>0</v>
      </c>
      <c r="P177" s="16">
        <f t="shared" si="29"/>
        <v>0</v>
      </c>
      <c r="Q177" s="16">
        <f t="shared" si="29"/>
        <v>0</v>
      </c>
      <c r="R177" s="16">
        <f t="shared" si="26"/>
        <v>0</v>
      </c>
    </row>
    <row r="178" spans="1:18">
      <c r="A178" s="16">
        <v>175</v>
      </c>
      <c r="B178" s="16" t="str">
        <f>IF(INT(($A178-1)/28)+1&lt;=Setup!$B$6,INDEX(Setup!$B$22:$B$29,INT(($A178-1)/28)+1),"")</f>
        <v/>
      </c>
      <c r="C178" s="16" t="str">
        <f t="shared" si="21"/>
        <v/>
      </c>
      <c r="D178" s="16" t="str">
        <f>IF(OR($B178="",$C178&gt;Setup!$B$16),"",IFERROR(INDEX('Fixture Library'!$D$4:$D$83,MATCH(Setup!$B$7&amp;"-"&amp;$C178,'Fixture Library'!$A$4:$A$83,0)),""))</f>
        <v/>
      </c>
      <c r="E178" s="17" t="str">
        <f>IF($J178="","",IFERROR(INDEX(Teams!$D$4:$D$67,MATCH($B178&amp;"-"&amp;$J178,Teams!$E$4:$E$67,0)),""))</f>
        <v/>
      </c>
      <c r="F178" s="16" t="str">
        <f>IF(OR($E178="",$G178="",$C178&gt;Setup!$B$16),"",IFERROR(INDEX(Results!$E$5:$E$228,INT(($A178-1)/28)*Setup!$B$16+$C178),""))</f>
        <v/>
      </c>
      <c r="G178" s="17" t="str">
        <f>IF($K178="","",IFERROR(INDEX(Teams!$D$4:$D$67,MATCH($B178&amp;"-"&amp;$K178,Teams!$E$4:$E$67,0)),""))</f>
        <v/>
      </c>
      <c r="H178" s="16" t="str">
        <f>IF(OR($E178="",$G178="",$C178&gt;Setup!$B$16),"",IFERROR(INDEX(Results!$F$5:$F$228,INT(($A178-1)/28)*Setup!$B$16+$C178),""))</f>
        <v/>
      </c>
      <c r="I178" s="18">
        <f t="shared" si="27"/>
        <v>0</v>
      </c>
      <c r="J178" s="19" t="str">
        <f>IF(OR($B178="",$C178&gt;Setup!$B$16),"",IFERROR(INDEX('Fixture Library'!$E$4:$E$83,MATCH(Setup!$B$7&amp;"-"&amp;$C178,'Fixture Library'!$A$4:$A$83,0)),""))</f>
        <v/>
      </c>
      <c r="K178" s="19" t="str">
        <f>IF(OR($B178="",$C178&gt;Setup!$B$16),"",IFERROR(INDEX('Fixture Library'!$F$4:$F$83,MATCH(Setup!$B$7&amp;"-"&amp;$C178,'Fixture Library'!$A$4:$A$83,0)),""))</f>
        <v/>
      </c>
      <c r="L178" s="16">
        <f t="shared" si="22"/>
        <v>0</v>
      </c>
      <c r="M178" s="16">
        <f t="shared" si="23"/>
        <v>0</v>
      </c>
      <c r="N178" s="16">
        <f t="shared" si="24"/>
        <v>0</v>
      </c>
      <c r="O178" s="16">
        <f t="shared" si="25"/>
        <v>0</v>
      </c>
      <c r="P178" s="16">
        <f t="shared" si="29"/>
        <v>0</v>
      </c>
      <c r="Q178" s="16">
        <f t="shared" si="29"/>
        <v>0</v>
      </c>
      <c r="R178" s="16">
        <f t="shared" si="26"/>
        <v>0</v>
      </c>
    </row>
    <row r="179" spans="1:18">
      <c r="A179" s="16">
        <v>176</v>
      </c>
      <c r="B179" s="16" t="str">
        <f>IF(INT(($A179-1)/28)+1&lt;=Setup!$B$6,INDEX(Setup!$B$22:$B$29,INT(($A179-1)/28)+1),"")</f>
        <v/>
      </c>
      <c r="C179" s="16" t="str">
        <f t="shared" si="21"/>
        <v/>
      </c>
      <c r="D179" s="16" t="str">
        <f>IF(OR($B179="",$C179&gt;Setup!$B$16),"",IFERROR(INDEX('Fixture Library'!$D$4:$D$83,MATCH(Setup!$B$7&amp;"-"&amp;$C179,'Fixture Library'!$A$4:$A$83,0)),""))</f>
        <v/>
      </c>
      <c r="E179" s="17" t="str">
        <f>IF($J179="","",IFERROR(INDEX(Teams!$D$4:$D$67,MATCH($B179&amp;"-"&amp;$J179,Teams!$E$4:$E$67,0)),""))</f>
        <v/>
      </c>
      <c r="F179" s="16" t="str">
        <f>IF(OR($E179="",$G179="",$C179&gt;Setup!$B$16),"",IFERROR(INDEX(Results!$E$5:$E$228,INT(($A179-1)/28)*Setup!$B$16+$C179),""))</f>
        <v/>
      </c>
      <c r="G179" s="17" t="str">
        <f>IF($K179="","",IFERROR(INDEX(Teams!$D$4:$D$67,MATCH($B179&amp;"-"&amp;$K179,Teams!$E$4:$E$67,0)),""))</f>
        <v/>
      </c>
      <c r="H179" s="16" t="str">
        <f>IF(OR($E179="",$G179="",$C179&gt;Setup!$B$16),"",IFERROR(INDEX(Results!$F$5:$F$228,INT(($A179-1)/28)*Setup!$B$16+$C179),""))</f>
        <v/>
      </c>
      <c r="I179" s="18">
        <f t="shared" si="27"/>
        <v>0</v>
      </c>
      <c r="J179" s="19" t="str">
        <f>IF(OR($B179="",$C179&gt;Setup!$B$16),"",IFERROR(INDEX('Fixture Library'!$E$4:$E$83,MATCH(Setup!$B$7&amp;"-"&amp;$C179,'Fixture Library'!$A$4:$A$83,0)),""))</f>
        <v/>
      </c>
      <c r="K179" s="19" t="str">
        <f>IF(OR($B179="",$C179&gt;Setup!$B$16),"",IFERROR(INDEX('Fixture Library'!$F$4:$F$83,MATCH(Setup!$B$7&amp;"-"&amp;$C179,'Fixture Library'!$A$4:$A$83,0)),""))</f>
        <v/>
      </c>
      <c r="L179" s="16">
        <f t="shared" si="22"/>
        <v>0</v>
      </c>
      <c r="M179" s="16">
        <f t="shared" si="23"/>
        <v>0</v>
      </c>
      <c r="N179" s="16">
        <f t="shared" si="24"/>
        <v>0</v>
      </c>
      <c r="O179" s="16">
        <f t="shared" si="25"/>
        <v>0</v>
      </c>
      <c r="P179" s="16">
        <f t="shared" si="29"/>
        <v>0</v>
      </c>
      <c r="Q179" s="16">
        <f t="shared" si="29"/>
        <v>0</v>
      </c>
      <c r="R179" s="16">
        <f t="shared" si="26"/>
        <v>0</v>
      </c>
    </row>
    <row r="180" spans="1:18">
      <c r="A180" s="16">
        <v>177</v>
      </c>
      <c r="B180" s="16" t="str">
        <f>IF(INT(($A180-1)/28)+1&lt;=Setup!$B$6,INDEX(Setup!$B$22:$B$29,INT(($A180-1)/28)+1),"")</f>
        <v/>
      </c>
      <c r="C180" s="16" t="str">
        <f t="shared" si="21"/>
        <v/>
      </c>
      <c r="D180" s="16" t="str">
        <f>IF(OR($B180="",$C180&gt;Setup!$B$16),"",IFERROR(INDEX('Fixture Library'!$D$4:$D$83,MATCH(Setup!$B$7&amp;"-"&amp;$C180,'Fixture Library'!$A$4:$A$83,0)),""))</f>
        <v/>
      </c>
      <c r="E180" s="17" t="str">
        <f>IF($J180="","",IFERROR(INDEX(Teams!$D$4:$D$67,MATCH($B180&amp;"-"&amp;$J180,Teams!$E$4:$E$67,0)),""))</f>
        <v/>
      </c>
      <c r="F180" s="16" t="str">
        <f>IF(OR($E180="",$G180="",$C180&gt;Setup!$B$16),"",IFERROR(INDEX(Results!$E$5:$E$228,INT(($A180-1)/28)*Setup!$B$16+$C180),""))</f>
        <v/>
      </c>
      <c r="G180" s="17" t="str">
        <f>IF($K180="","",IFERROR(INDEX(Teams!$D$4:$D$67,MATCH($B180&amp;"-"&amp;$K180,Teams!$E$4:$E$67,0)),""))</f>
        <v/>
      </c>
      <c r="H180" s="16" t="str">
        <f>IF(OR($E180="",$G180="",$C180&gt;Setup!$B$16),"",IFERROR(INDEX(Results!$F$5:$F$228,INT(($A180-1)/28)*Setup!$B$16+$C180),""))</f>
        <v/>
      </c>
      <c r="I180" s="18">
        <f t="shared" si="27"/>
        <v>0</v>
      </c>
      <c r="J180" s="19" t="str">
        <f>IF(OR($B180="",$C180&gt;Setup!$B$16),"",IFERROR(INDEX('Fixture Library'!$E$4:$E$83,MATCH(Setup!$B$7&amp;"-"&amp;$C180,'Fixture Library'!$A$4:$A$83,0)),""))</f>
        <v/>
      </c>
      <c r="K180" s="19" t="str">
        <f>IF(OR($B180="",$C180&gt;Setup!$B$16),"",IFERROR(INDEX('Fixture Library'!$F$4:$F$83,MATCH(Setup!$B$7&amp;"-"&amp;$C180,'Fixture Library'!$A$4:$A$83,0)),""))</f>
        <v/>
      </c>
      <c r="L180" s="16">
        <f t="shared" si="22"/>
        <v>0</v>
      </c>
      <c r="M180" s="16">
        <f t="shared" si="23"/>
        <v>0</v>
      </c>
      <c r="N180" s="16">
        <f t="shared" si="24"/>
        <v>0</v>
      </c>
      <c r="O180" s="16">
        <f t="shared" si="25"/>
        <v>0</v>
      </c>
      <c r="P180" s="16">
        <f t="shared" si="29"/>
        <v>0</v>
      </c>
      <c r="Q180" s="16">
        <f t="shared" si="29"/>
        <v>0</v>
      </c>
      <c r="R180" s="16">
        <f t="shared" si="26"/>
        <v>0</v>
      </c>
    </row>
    <row r="181" spans="1:18">
      <c r="A181" s="16">
        <v>178</v>
      </c>
      <c r="B181" s="16" t="str">
        <f>IF(INT(($A181-1)/28)+1&lt;=Setup!$B$6,INDEX(Setup!$B$22:$B$29,INT(($A181-1)/28)+1),"")</f>
        <v/>
      </c>
      <c r="C181" s="16" t="str">
        <f t="shared" si="21"/>
        <v/>
      </c>
      <c r="D181" s="16" t="str">
        <f>IF(OR($B181="",$C181&gt;Setup!$B$16),"",IFERROR(INDEX('Fixture Library'!$D$4:$D$83,MATCH(Setup!$B$7&amp;"-"&amp;$C181,'Fixture Library'!$A$4:$A$83,0)),""))</f>
        <v/>
      </c>
      <c r="E181" s="17" t="str">
        <f>IF($J181="","",IFERROR(INDEX(Teams!$D$4:$D$67,MATCH($B181&amp;"-"&amp;$J181,Teams!$E$4:$E$67,0)),""))</f>
        <v/>
      </c>
      <c r="F181" s="16" t="str">
        <f>IF(OR($E181="",$G181="",$C181&gt;Setup!$B$16),"",IFERROR(INDEX(Results!$E$5:$E$228,INT(($A181-1)/28)*Setup!$B$16+$C181),""))</f>
        <v/>
      </c>
      <c r="G181" s="17" t="str">
        <f>IF($K181="","",IFERROR(INDEX(Teams!$D$4:$D$67,MATCH($B181&amp;"-"&amp;$K181,Teams!$E$4:$E$67,0)),""))</f>
        <v/>
      </c>
      <c r="H181" s="16" t="str">
        <f>IF(OR($E181="",$G181="",$C181&gt;Setup!$B$16),"",IFERROR(INDEX(Results!$F$5:$F$228,INT(($A181-1)/28)*Setup!$B$16+$C181),""))</f>
        <v/>
      </c>
      <c r="I181" s="18">
        <f t="shared" si="27"/>
        <v>0</v>
      </c>
      <c r="J181" s="19" t="str">
        <f>IF(OR($B181="",$C181&gt;Setup!$B$16),"",IFERROR(INDEX('Fixture Library'!$E$4:$E$83,MATCH(Setup!$B$7&amp;"-"&amp;$C181,'Fixture Library'!$A$4:$A$83,0)),""))</f>
        <v/>
      </c>
      <c r="K181" s="19" t="str">
        <f>IF(OR($B181="",$C181&gt;Setup!$B$16),"",IFERROR(INDEX('Fixture Library'!$F$4:$F$83,MATCH(Setup!$B$7&amp;"-"&amp;$C181,'Fixture Library'!$A$4:$A$83,0)),""))</f>
        <v/>
      </c>
      <c r="L181" s="16">
        <f t="shared" si="22"/>
        <v>0</v>
      </c>
      <c r="M181" s="16">
        <f t="shared" si="23"/>
        <v>0</v>
      </c>
      <c r="N181" s="16">
        <f t="shared" si="24"/>
        <v>0</v>
      </c>
      <c r="O181" s="16">
        <f t="shared" si="25"/>
        <v>0</v>
      </c>
      <c r="P181" s="16">
        <f t="shared" si="29"/>
        <v>0</v>
      </c>
      <c r="Q181" s="16">
        <f t="shared" si="29"/>
        <v>0</v>
      </c>
      <c r="R181" s="16">
        <f t="shared" si="26"/>
        <v>0</v>
      </c>
    </row>
    <row r="182" spans="1:18">
      <c r="A182" s="16">
        <v>179</v>
      </c>
      <c r="B182" s="16" t="str">
        <f>IF(INT(($A182-1)/28)+1&lt;=Setup!$B$6,INDEX(Setup!$B$22:$B$29,INT(($A182-1)/28)+1),"")</f>
        <v/>
      </c>
      <c r="C182" s="16" t="str">
        <f t="shared" si="21"/>
        <v/>
      </c>
      <c r="D182" s="16" t="str">
        <f>IF(OR($B182="",$C182&gt;Setup!$B$16),"",IFERROR(INDEX('Fixture Library'!$D$4:$D$83,MATCH(Setup!$B$7&amp;"-"&amp;$C182,'Fixture Library'!$A$4:$A$83,0)),""))</f>
        <v/>
      </c>
      <c r="E182" s="17" t="str">
        <f>IF($J182="","",IFERROR(INDEX(Teams!$D$4:$D$67,MATCH($B182&amp;"-"&amp;$J182,Teams!$E$4:$E$67,0)),""))</f>
        <v/>
      </c>
      <c r="F182" s="16" t="str">
        <f>IF(OR($E182="",$G182="",$C182&gt;Setup!$B$16),"",IFERROR(INDEX(Results!$E$5:$E$228,INT(($A182-1)/28)*Setup!$B$16+$C182),""))</f>
        <v/>
      </c>
      <c r="G182" s="17" t="str">
        <f>IF($K182="","",IFERROR(INDEX(Teams!$D$4:$D$67,MATCH($B182&amp;"-"&amp;$K182,Teams!$E$4:$E$67,0)),""))</f>
        <v/>
      </c>
      <c r="H182" s="16" t="str">
        <f>IF(OR($E182="",$G182="",$C182&gt;Setup!$B$16),"",IFERROR(INDEX(Results!$F$5:$F$228,INT(($A182-1)/28)*Setup!$B$16+$C182),""))</f>
        <v/>
      </c>
      <c r="I182" s="18">
        <f t="shared" si="27"/>
        <v>0</v>
      </c>
      <c r="J182" s="19" t="str">
        <f>IF(OR($B182="",$C182&gt;Setup!$B$16),"",IFERROR(INDEX('Fixture Library'!$E$4:$E$83,MATCH(Setup!$B$7&amp;"-"&amp;$C182,'Fixture Library'!$A$4:$A$83,0)),""))</f>
        <v/>
      </c>
      <c r="K182" s="19" t="str">
        <f>IF(OR($B182="",$C182&gt;Setup!$B$16),"",IFERROR(INDEX('Fixture Library'!$F$4:$F$83,MATCH(Setup!$B$7&amp;"-"&amp;$C182,'Fixture Library'!$A$4:$A$83,0)),""))</f>
        <v/>
      </c>
      <c r="L182" s="16">
        <f t="shared" si="22"/>
        <v>0</v>
      </c>
      <c r="M182" s="16">
        <f t="shared" si="23"/>
        <v>0</v>
      </c>
      <c r="N182" s="16">
        <f t="shared" si="24"/>
        <v>0</v>
      </c>
      <c r="O182" s="16">
        <f t="shared" si="25"/>
        <v>0</v>
      </c>
      <c r="P182" s="16">
        <f t="shared" si="29"/>
        <v>0</v>
      </c>
      <c r="Q182" s="16">
        <f t="shared" si="29"/>
        <v>0</v>
      </c>
      <c r="R182" s="16">
        <f t="shared" si="26"/>
        <v>0</v>
      </c>
    </row>
    <row r="183" spans="1:18">
      <c r="A183" s="16">
        <v>180</v>
      </c>
      <c r="B183" s="16" t="str">
        <f>IF(INT(($A183-1)/28)+1&lt;=Setup!$B$6,INDEX(Setup!$B$22:$B$29,INT(($A183-1)/28)+1),"")</f>
        <v/>
      </c>
      <c r="C183" s="16" t="str">
        <f t="shared" si="21"/>
        <v/>
      </c>
      <c r="D183" s="16" t="str">
        <f>IF(OR($B183="",$C183&gt;Setup!$B$16),"",IFERROR(INDEX('Fixture Library'!$D$4:$D$83,MATCH(Setup!$B$7&amp;"-"&amp;$C183,'Fixture Library'!$A$4:$A$83,0)),""))</f>
        <v/>
      </c>
      <c r="E183" s="17" t="str">
        <f>IF($J183="","",IFERROR(INDEX(Teams!$D$4:$D$67,MATCH($B183&amp;"-"&amp;$J183,Teams!$E$4:$E$67,0)),""))</f>
        <v/>
      </c>
      <c r="F183" s="16" t="str">
        <f>IF(OR($E183="",$G183="",$C183&gt;Setup!$B$16),"",IFERROR(INDEX(Results!$E$5:$E$228,INT(($A183-1)/28)*Setup!$B$16+$C183),""))</f>
        <v/>
      </c>
      <c r="G183" s="17" t="str">
        <f>IF($K183="","",IFERROR(INDEX(Teams!$D$4:$D$67,MATCH($B183&amp;"-"&amp;$K183,Teams!$E$4:$E$67,0)),""))</f>
        <v/>
      </c>
      <c r="H183" s="16" t="str">
        <f>IF(OR($E183="",$G183="",$C183&gt;Setup!$B$16),"",IFERROR(INDEX(Results!$F$5:$F$228,INT(($A183-1)/28)*Setup!$B$16+$C183),""))</f>
        <v/>
      </c>
      <c r="I183" s="18">
        <f t="shared" si="27"/>
        <v>0</v>
      </c>
      <c r="J183" s="19" t="str">
        <f>IF(OR($B183="",$C183&gt;Setup!$B$16),"",IFERROR(INDEX('Fixture Library'!$E$4:$E$83,MATCH(Setup!$B$7&amp;"-"&amp;$C183,'Fixture Library'!$A$4:$A$83,0)),""))</f>
        <v/>
      </c>
      <c r="K183" s="19" t="str">
        <f>IF(OR($B183="",$C183&gt;Setup!$B$16),"",IFERROR(INDEX('Fixture Library'!$F$4:$F$83,MATCH(Setup!$B$7&amp;"-"&amp;$C183,'Fixture Library'!$A$4:$A$83,0)),""))</f>
        <v/>
      </c>
      <c r="L183" s="16">
        <f t="shared" si="22"/>
        <v>0</v>
      </c>
      <c r="M183" s="16">
        <f t="shared" si="23"/>
        <v>0</v>
      </c>
      <c r="N183" s="16">
        <f t="shared" si="24"/>
        <v>0</v>
      </c>
      <c r="O183" s="16">
        <f t="shared" si="25"/>
        <v>0</v>
      </c>
      <c r="P183" s="16">
        <f t="shared" si="29"/>
        <v>0</v>
      </c>
      <c r="Q183" s="16">
        <f t="shared" si="29"/>
        <v>0</v>
      </c>
      <c r="R183" s="16">
        <f t="shared" si="26"/>
        <v>0</v>
      </c>
    </row>
    <row r="184" spans="1:18">
      <c r="A184" s="16">
        <v>181</v>
      </c>
      <c r="B184" s="16" t="str">
        <f>IF(INT(($A184-1)/28)+1&lt;=Setup!$B$6,INDEX(Setup!$B$22:$B$29,INT(($A184-1)/28)+1),"")</f>
        <v/>
      </c>
      <c r="C184" s="16" t="str">
        <f t="shared" si="21"/>
        <v/>
      </c>
      <c r="D184" s="16" t="str">
        <f>IF(OR($B184="",$C184&gt;Setup!$B$16),"",IFERROR(INDEX('Fixture Library'!$D$4:$D$83,MATCH(Setup!$B$7&amp;"-"&amp;$C184,'Fixture Library'!$A$4:$A$83,0)),""))</f>
        <v/>
      </c>
      <c r="E184" s="17" t="str">
        <f>IF($J184="","",IFERROR(INDEX(Teams!$D$4:$D$67,MATCH($B184&amp;"-"&amp;$J184,Teams!$E$4:$E$67,0)),""))</f>
        <v/>
      </c>
      <c r="F184" s="16" t="str">
        <f>IF(OR($E184="",$G184="",$C184&gt;Setup!$B$16),"",IFERROR(INDEX(Results!$E$5:$E$228,INT(($A184-1)/28)*Setup!$B$16+$C184),""))</f>
        <v/>
      </c>
      <c r="G184" s="17" t="str">
        <f>IF($K184="","",IFERROR(INDEX(Teams!$D$4:$D$67,MATCH($B184&amp;"-"&amp;$K184,Teams!$E$4:$E$67,0)),""))</f>
        <v/>
      </c>
      <c r="H184" s="16" t="str">
        <f>IF(OR($E184="",$G184="",$C184&gt;Setup!$B$16),"",IFERROR(INDEX(Results!$F$5:$F$228,INT(($A184-1)/28)*Setup!$B$16+$C184),""))</f>
        <v/>
      </c>
      <c r="I184" s="18">
        <f t="shared" si="27"/>
        <v>0</v>
      </c>
      <c r="J184" s="19" t="str">
        <f>IF(OR($B184="",$C184&gt;Setup!$B$16),"",IFERROR(INDEX('Fixture Library'!$E$4:$E$83,MATCH(Setup!$B$7&amp;"-"&amp;$C184,'Fixture Library'!$A$4:$A$83,0)),""))</f>
        <v/>
      </c>
      <c r="K184" s="19" t="str">
        <f>IF(OR($B184="",$C184&gt;Setup!$B$16),"",IFERROR(INDEX('Fixture Library'!$F$4:$F$83,MATCH(Setup!$B$7&amp;"-"&amp;$C184,'Fixture Library'!$A$4:$A$83,0)),""))</f>
        <v/>
      </c>
      <c r="L184" s="16">
        <f t="shared" si="22"/>
        <v>0</v>
      </c>
      <c r="M184" s="16">
        <f t="shared" si="23"/>
        <v>0</v>
      </c>
      <c r="N184" s="16">
        <f t="shared" si="24"/>
        <v>0</v>
      </c>
      <c r="O184" s="16">
        <f t="shared" si="25"/>
        <v>0</v>
      </c>
      <c r="P184" s="16">
        <f t="shared" ref="P184:Q203" si="30">IF($I184=1,$H184,0)</f>
        <v>0</v>
      </c>
      <c r="Q184" s="16">
        <f t="shared" si="30"/>
        <v>0</v>
      </c>
      <c r="R184" s="16">
        <f t="shared" si="26"/>
        <v>0</v>
      </c>
    </row>
    <row r="185" spans="1:18">
      <c r="A185" s="16">
        <v>182</v>
      </c>
      <c r="B185" s="16" t="str">
        <f>IF(INT(($A185-1)/28)+1&lt;=Setup!$B$6,INDEX(Setup!$B$22:$B$29,INT(($A185-1)/28)+1),"")</f>
        <v/>
      </c>
      <c r="C185" s="16" t="str">
        <f t="shared" si="21"/>
        <v/>
      </c>
      <c r="D185" s="16" t="str">
        <f>IF(OR($B185="",$C185&gt;Setup!$B$16),"",IFERROR(INDEX('Fixture Library'!$D$4:$D$83,MATCH(Setup!$B$7&amp;"-"&amp;$C185,'Fixture Library'!$A$4:$A$83,0)),""))</f>
        <v/>
      </c>
      <c r="E185" s="17" t="str">
        <f>IF($J185="","",IFERROR(INDEX(Teams!$D$4:$D$67,MATCH($B185&amp;"-"&amp;$J185,Teams!$E$4:$E$67,0)),""))</f>
        <v/>
      </c>
      <c r="F185" s="16" t="str">
        <f>IF(OR($E185="",$G185="",$C185&gt;Setup!$B$16),"",IFERROR(INDEX(Results!$E$5:$E$228,INT(($A185-1)/28)*Setup!$B$16+$C185),""))</f>
        <v/>
      </c>
      <c r="G185" s="17" t="str">
        <f>IF($K185="","",IFERROR(INDEX(Teams!$D$4:$D$67,MATCH($B185&amp;"-"&amp;$K185,Teams!$E$4:$E$67,0)),""))</f>
        <v/>
      </c>
      <c r="H185" s="16" t="str">
        <f>IF(OR($E185="",$G185="",$C185&gt;Setup!$B$16),"",IFERROR(INDEX(Results!$F$5:$F$228,INT(($A185-1)/28)*Setup!$B$16+$C185),""))</f>
        <v/>
      </c>
      <c r="I185" s="18">
        <f t="shared" si="27"/>
        <v>0</v>
      </c>
      <c r="J185" s="19" t="str">
        <f>IF(OR($B185="",$C185&gt;Setup!$B$16),"",IFERROR(INDEX('Fixture Library'!$E$4:$E$83,MATCH(Setup!$B$7&amp;"-"&amp;$C185,'Fixture Library'!$A$4:$A$83,0)),""))</f>
        <v/>
      </c>
      <c r="K185" s="19" t="str">
        <f>IF(OR($B185="",$C185&gt;Setup!$B$16),"",IFERROR(INDEX('Fixture Library'!$F$4:$F$83,MATCH(Setup!$B$7&amp;"-"&amp;$C185,'Fixture Library'!$A$4:$A$83,0)),""))</f>
        <v/>
      </c>
      <c r="L185" s="16">
        <f t="shared" si="22"/>
        <v>0</v>
      </c>
      <c r="M185" s="16">
        <f t="shared" si="23"/>
        <v>0</v>
      </c>
      <c r="N185" s="16">
        <f t="shared" si="24"/>
        <v>0</v>
      </c>
      <c r="O185" s="16">
        <f t="shared" si="25"/>
        <v>0</v>
      </c>
      <c r="P185" s="16">
        <f t="shared" si="30"/>
        <v>0</v>
      </c>
      <c r="Q185" s="16">
        <f t="shared" si="30"/>
        <v>0</v>
      </c>
      <c r="R185" s="16">
        <f t="shared" si="26"/>
        <v>0</v>
      </c>
    </row>
    <row r="186" spans="1:18">
      <c r="A186" s="16">
        <v>183</v>
      </c>
      <c r="B186" s="16" t="str">
        <f>IF(INT(($A186-1)/28)+1&lt;=Setup!$B$6,INDEX(Setup!$B$22:$B$29,INT(($A186-1)/28)+1),"")</f>
        <v/>
      </c>
      <c r="C186" s="16" t="str">
        <f t="shared" si="21"/>
        <v/>
      </c>
      <c r="D186" s="16" t="str">
        <f>IF(OR($B186="",$C186&gt;Setup!$B$16),"",IFERROR(INDEX('Fixture Library'!$D$4:$D$83,MATCH(Setup!$B$7&amp;"-"&amp;$C186,'Fixture Library'!$A$4:$A$83,0)),""))</f>
        <v/>
      </c>
      <c r="E186" s="17" t="str">
        <f>IF($J186="","",IFERROR(INDEX(Teams!$D$4:$D$67,MATCH($B186&amp;"-"&amp;$J186,Teams!$E$4:$E$67,0)),""))</f>
        <v/>
      </c>
      <c r="F186" s="16" t="str">
        <f>IF(OR($E186="",$G186="",$C186&gt;Setup!$B$16),"",IFERROR(INDEX(Results!$E$5:$E$228,INT(($A186-1)/28)*Setup!$B$16+$C186),""))</f>
        <v/>
      </c>
      <c r="G186" s="17" t="str">
        <f>IF($K186="","",IFERROR(INDEX(Teams!$D$4:$D$67,MATCH($B186&amp;"-"&amp;$K186,Teams!$E$4:$E$67,0)),""))</f>
        <v/>
      </c>
      <c r="H186" s="16" t="str">
        <f>IF(OR($E186="",$G186="",$C186&gt;Setup!$B$16),"",IFERROR(INDEX(Results!$F$5:$F$228,INT(($A186-1)/28)*Setup!$B$16+$C186),""))</f>
        <v/>
      </c>
      <c r="I186" s="18">
        <f t="shared" si="27"/>
        <v>0</v>
      </c>
      <c r="J186" s="19" t="str">
        <f>IF(OR($B186="",$C186&gt;Setup!$B$16),"",IFERROR(INDEX('Fixture Library'!$E$4:$E$83,MATCH(Setup!$B$7&amp;"-"&amp;$C186,'Fixture Library'!$A$4:$A$83,0)),""))</f>
        <v/>
      </c>
      <c r="K186" s="19" t="str">
        <f>IF(OR($B186="",$C186&gt;Setup!$B$16),"",IFERROR(INDEX('Fixture Library'!$F$4:$F$83,MATCH(Setup!$B$7&amp;"-"&amp;$C186,'Fixture Library'!$A$4:$A$83,0)),""))</f>
        <v/>
      </c>
      <c r="L186" s="16">
        <f t="shared" si="22"/>
        <v>0</v>
      </c>
      <c r="M186" s="16">
        <f t="shared" si="23"/>
        <v>0</v>
      </c>
      <c r="N186" s="16">
        <f t="shared" si="24"/>
        <v>0</v>
      </c>
      <c r="O186" s="16">
        <f t="shared" si="25"/>
        <v>0</v>
      </c>
      <c r="P186" s="16">
        <f t="shared" si="30"/>
        <v>0</v>
      </c>
      <c r="Q186" s="16">
        <f t="shared" si="30"/>
        <v>0</v>
      </c>
      <c r="R186" s="16">
        <f t="shared" si="26"/>
        <v>0</v>
      </c>
    </row>
    <row r="187" spans="1:18">
      <c r="A187" s="16">
        <v>184</v>
      </c>
      <c r="B187" s="16" t="str">
        <f>IF(INT(($A187-1)/28)+1&lt;=Setup!$B$6,INDEX(Setup!$B$22:$B$29,INT(($A187-1)/28)+1),"")</f>
        <v/>
      </c>
      <c r="C187" s="16" t="str">
        <f t="shared" si="21"/>
        <v/>
      </c>
      <c r="D187" s="16" t="str">
        <f>IF(OR($B187="",$C187&gt;Setup!$B$16),"",IFERROR(INDEX('Fixture Library'!$D$4:$D$83,MATCH(Setup!$B$7&amp;"-"&amp;$C187,'Fixture Library'!$A$4:$A$83,0)),""))</f>
        <v/>
      </c>
      <c r="E187" s="17" t="str">
        <f>IF($J187="","",IFERROR(INDEX(Teams!$D$4:$D$67,MATCH($B187&amp;"-"&amp;$J187,Teams!$E$4:$E$67,0)),""))</f>
        <v/>
      </c>
      <c r="F187" s="16" t="str">
        <f>IF(OR($E187="",$G187="",$C187&gt;Setup!$B$16),"",IFERROR(INDEX(Results!$E$5:$E$228,INT(($A187-1)/28)*Setup!$B$16+$C187),""))</f>
        <v/>
      </c>
      <c r="G187" s="17" t="str">
        <f>IF($K187="","",IFERROR(INDEX(Teams!$D$4:$D$67,MATCH($B187&amp;"-"&amp;$K187,Teams!$E$4:$E$67,0)),""))</f>
        <v/>
      </c>
      <c r="H187" s="16" t="str">
        <f>IF(OR($E187="",$G187="",$C187&gt;Setup!$B$16),"",IFERROR(INDEX(Results!$F$5:$F$228,INT(($A187-1)/28)*Setup!$B$16+$C187),""))</f>
        <v/>
      </c>
      <c r="I187" s="18">
        <f t="shared" si="27"/>
        <v>0</v>
      </c>
      <c r="J187" s="19" t="str">
        <f>IF(OR($B187="",$C187&gt;Setup!$B$16),"",IFERROR(INDEX('Fixture Library'!$E$4:$E$83,MATCH(Setup!$B$7&amp;"-"&amp;$C187,'Fixture Library'!$A$4:$A$83,0)),""))</f>
        <v/>
      </c>
      <c r="K187" s="19" t="str">
        <f>IF(OR($B187="",$C187&gt;Setup!$B$16),"",IFERROR(INDEX('Fixture Library'!$F$4:$F$83,MATCH(Setup!$B$7&amp;"-"&amp;$C187,'Fixture Library'!$A$4:$A$83,0)),""))</f>
        <v/>
      </c>
      <c r="L187" s="16">
        <f t="shared" si="22"/>
        <v>0</v>
      </c>
      <c r="M187" s="16">
        <f t="shared" si="23"/>
        <v>0</v>
      </c>
      <c r="N187" s="16">
        <f t="shared" si="24"/>
        <v>0</v>
      </c>
      <c r="O187" s="16">
        <f t="shared" si="25"/>
        <v>0</v>
      </c>
      <c r="P187" s="16">
        <f t="shared" si="30"/>
        <v>0</v>
      </c>
      <c r="Q187" s="16">
        <f t="shared" si="30"/>
        <v>0</v>
      </c>
      <c r="R187" s="16">
        <f t="shared" si="26"/>
        <v>0</v>
      </c>
    </row>
    <row r="188" spans="1:18">
      <c r="A188" s="16">
        <v>185</v>
      </c>
      <c r="B188" s="16" t="str">
        <f>IF(INT(($A188-1)/28)+1&lt;=Setup!$B$6,INDEX(Setup!$B$22:$B$29,INT(($A188-1)/28)+1),"")</f>
        <v/>
      </c>
      <c r="C188" s="16" t="str">
        <f t="shared" si="21"/>
        <v/>
      </c>
      <c r="D188" s="16" t="str">
        <f>IF(OR($B188="",$C188&gt;Setup!$B$16),"",IFERROR(INDEX('Fixture Library'!$D$4:$D$83,MATCH(Setup!$B$7&amp;"-"&amp;$C188,'Fixture Library'!$A$4:$A$83,0)),""))</f>
        <v/>
      </c>
      <c r="E188" s="17" t="str">
        <f>IF($J188="","",IFERROR(INDEX(Teams!$D$4:$D$67,MATCH($B188&amp;"-"&amp;$J188,Teams!$E$4:$E$67,0)),""))</f>
        <v/>
      </c>
      <c r="F188" s="16" t="str">
        <f>IF(OR($E188="",$G188="",$C188&gt;Setup!$B$16),"",IFERROR(INDEX(Results!$E$5:$E$228,INT(($A188-1)/28)*Setup!$B$16+$C188),""))</f>
        <v/>
      </c>
      <c r="G188" s="17" t="str">
        <f>IF($K188="","",IFERROR(INDEX(Teams!$D$4:$D$67,MATCH($B188&amp;"-"&amp;$K188,Teams!$E$4:$E$67,0)),""))</f>
        <v/>
      </c>
      <c r="H188" s="16" t="str">
        <f>IF(OR($E188="",$G188="",$C188&gt;Setup!$B$16),"",IFERROR(INDEX(Results!$F$5:$F$228,INT(($A188-1)/28)*Setup!$B$16+$C188),""))</f>
        <v/>
      </c>
      <c r="I188" s="18">
        <f t="shared" si="27"/>
        <v>0</v>
      </c>
      <c r="J188" s="19" t="str">
        <f>IF(OR($B188="",$C188&gt;Setup!$B$16),"",IFERROR(INDEX('Fixture Library'!$E$4:$E$83,MATCH(Setup!$B$7&amp;"-"&amp;$C188,'Fixture Library'!$A$4:$A$83,0)),""))</f>
        <v/>
      </c>
      <c r="K188" s="19" t="str">
        <f>IF(OR($B188="",$C188&gt;Setup!$B$16),"",IFERROR(INDEX('Fixture Library'!$F$4:$F$83,MATCH(Setup!$B$7&amp;"-"&amp;$C188,'Fixture Library'!$A$4:$A$83,0)),""))</f>
        <v/>
      </c>
      <c r="L188" s="16">
        <f t="shared" si="22"/>
        <v>0</v>
      </c>
      <c r="M188" s="16">
        <f t="shared" si="23"/>
        <v>0</v>
      </c>
      <c r="N188" s="16">
        <f t="shared" si="24"/>
        <v>0</v>
      </c>
      <c r="O188" s="16">
        <f t="shared" si="25"/>
        <v>0</v>
      </c>
      <c r="P188" s="16">
        <f t="shared" si="30"/>
        <v>0</v>
      </c>
      <c r="Q188" s="16">
        <f t="shared" si="30"/>
        <v>0</v>
      </c>
      <c r="R188" s="16">
        <f t="shared" si="26"/>
        <v>0</v>
      </c>
    </row>
    <row r="189" spans="1:18">
      <c r="A189" s="16">
        <v>186</v>
      </c>
      <c r="B189" s="16" t="str">
        <f>IF(INT(($A189-1)/28)+1&lt;=Setup!$B$6,INDEX(Setup!$B$22:$B$29,INT(($A189-1)/28)+1),"")</f>
        <v/>
      </c>
      <c r="C189" s="16" t="str">
        <f t="shared" si="21"/>
        <v/>
      </c>
      <c r="D189" s="16" t="str">
        <f>IF(OR($B189="",$C189&gt;Setup!$B$16),"",IFERROR(INDEX('Fixture Library'!$D$4:$D$83,MATCH(Setup!$B$7&amp;"-"&amp;$C189,'Fixture Library'!$A$4:$A$83,0)),""))</f>
        <v/>
      </c>
      <c r="E189" s="17" t="str">
        <f>IF($J189="","",IFERROR(INDEX(Teams!$D$4:$D$67,MATCH($B189&amp;"-"&amp;$J189,Teams!$E$4:$E$67,0)),""))</f>
        <v/>
      </c>
      <c r="F189" s="16" t="str">
        <f>IF(OR($E189="",$G189="",$C189&gt;Setup!$B$16),"",IFERROR(INDEX(Results!$E$5:$E$228,INT(($A189-1)/28)*Setup!$B$16+$C189),""))</f>
        <v/>
      </c>
      <c r="G189" s="17" t="str">
        <f>IF($K189="","",IFERROR(INDEX(Teams!$D$4:$D$67,MATCH($B189&amp;"-"&amp;$K189,Teams!$E$4:$E$67,0)),""))</f>
        <v/>
      </c>
      <c r="H189" s="16" t="str">
        <f>IF(OR($E189="",$G189="",$C189&gt;Setup!$B$16),"",IFERROR(INDEX(Results!$F$5:$F$228,INT(($A189-1)/28)*Setup!$B$16+$C189),""))</f>
        <v/>
      </c>
      <c r="I189" s="18">
        <f t="shared" si="27"/>
        <v>0</v>
      </c>
      <c r="J189" s="19" t="str">
        <f>IF(OR($B189="",$C189&gt;Setup!$B$16),"",IFERROR(INDEX('Fixture Library'!$E$4:$E$83,MATCH(Setup!$B$7&amp;"-"&amp;$C189,'Fixture Library'!$A$4:$A$83,0)),""))</f>
        <v/>
      </c>
      <c r="K189" s="19" t="str">
        <f>IF(OR($B189="",$C189&gt;Setup!$B$16),"",IFERROR(INDEX('Fixture Library'!$F$4:$F$83,MATCH(Setup!$B$7&amp;"-"&amp;$C189,'Fixture Library'!$A$4:$A$83,0)),""))</f>
        <v/>
      </c>
      <c r="L189" s="16">
        <f t="shared" si="22"/>
        <v>0</v>
      </c>
      <c r="M189" s="16">
        <f t="shared" si="23"/>
        <v>0</v>
      </c>
      <c r="N189" s="16">
        <f t="shared" si="24"/>
        <v>0</v>
      </c>
      <c r="O189" s="16">
        <f t="shared" si="25"/>
        <v>0</v>
      </c>
      <c r="P189" s="16">
        <f t="shared" si="30"/>
        <v>0</v>
      </c>
      <c r="Q189" s="16">
        <f t="shared" si="30"/>
        <v>0</v>
      </c>
      <c r="R189" s="16">
        <f t="shared" si="26"/>
        <v>0</v>
      </c>
    </row>
    <row r="190" spans="1:18">
      <c r="A190" s="16">
        <v>187</v>
      </c>
      <c r="B190" s="16" t="str">
        <f>IF(INT(($A190-1)/28)+1&lt;=Setup!$B$6,INDEX(Setup!$B$22:$B$29,INT(($A190-1)/28)+1),"")</f>
        <v/>
      </c>
      <c r="C190" s="16" t="str">
        <f t="shared" si="21"/>
        <v/>
      </c>
      <c r="D190" s="16" t="str">
        <f>IF(OR($B190="",$C190&gt;Setup!$B$16),"",IFERROR(INDEX('Fixture Library'!$D$4:$D$83,MATCH(Setup!$B$7&amp;"-"&amp;$C190,'Fixture Library'!$A$4:$A$83,0)),""))</f>
        <v/>
      </c>
      <c r="E190" s="17" t="str">
        <f>IF($J190="","",IFERROR(INDEX(Teams!$D$4:$D$67,MATCH($B190&amp;"-"&amp;$J190,Teams!$E$4:$E$67,0)),""))</f>
        <v/>
      </c>
      <c r="F190" s="16" t="str">
        <f>IF(OR($E190="",$G190="",$C190&gt;Setup!$B$16),"",IFERROR(INDEX(Results!$E$5:$E$228,INT(($A190-1)/28)*Setup!$B$16+$C190),""))</f>
        <v/>
      </c>
      <c r="G190" s="17" t="str">
        <f>IF($K190="","",IFERROR(INDEX(Teams!$D$4:$D$67,MATCH($B190&amp;"-"&amp;$K190,Teams!$E$4:$E$67,0)),""))</f>
        <v/>
      </c>
      <c r="H190" s="16" t="str">
        <f>IF(OR($E190="",$G190="",$C190&gt;Setup!$B$16),"",IFERROR(INDEX(Results!$F$5:$F$228,INT(($A190-1)/28)*Setup!$B$16+$C190),""))</f>
        <v/>
      </c>
      <c r="I190" s="18">
        <f t="shared" si="27"/>
        <v>0</v>
      </c>
      <c r="J190" s="19" t="str">
        <f>IF(OR($B190="",$C190&gt;Setup!$B$16),"",IFERROR(INDEX('Fixture Library'!$E$4:$E$83,MATCH(Setup!$B$7&amp;"-"&amp;$C190,'Fixture Library'!$A$4:$A$83,0)),""))</f>
        <v/>
      </c>
      <c r="K190" s="19" t="str">
        <f>IF(OR($B190="",$C190&gt;Setup!$B$16),"",IFERROR(INDEX('Fixture Library'!$F$4:$F$83,MATCH(Setup!$B$7&amp;"-"&amp;$C190,'Fixture Library'!$A$4:$A$83,0)),""))</f>
        <v/>
      </c>
      <c r="L190" s="16">
        <f t="shared" si="22"/>
        <v>0</v>
      </c>
      <c r="M190" s="16">
        <f t="shared" si="23"/>
        <v>0</v>
      </c>
      <c r="N190" s="16">
        <f t="shared" si="24"/>
        <v>0</v>
      </c>
      <c r="O190" s="16">
        <f t="shared" si="25"/>
        <v>0</v>
      </c>
      <c r="P190" s="16">
        <f t="shared" si="30"/>
        <v>0</v>
      </c>
      <c r="Q190" s="16">
        <f t="shared" si="30"/>
        <v>0</v>
      </c>
      <c r="R190" s="16">
        <f t="shared" si="26"/>
        <v>0</v>
      </c>
    </row>
    <row r="191" spans="1:18">
      <c r="A191" s="16">
        <v>188</v>
      </c>
      <c r="B191" s="16" t="str">
        <f>IF(INT(($A191-1)/28)+1&lt;=Setup!$B$6,INDEX(Setup!$B$22:$B$29,INT(($A191-1)/28)+1),"")</f>
        <v/>
      </c>
      <c r="C191" s="16" t="str">
        <f t="shared" si="21"/>
        <v/>
      </c>
      <c r="D191" s="16" t="str">
        <f>IF(OR($B191="",$C191&gt;Setup!$B$16),"",IFERROR(INDEX('Fixture Library'!$D$4:$D$83,MATCH(Setup!$B$7&amp;"-"&amp;$C191,'Fixture Library'!$A$4:$A$83,0)),""))</f>
        <v/>
      </c>
      <c r="E191" s="17" t="str">
        <f>IF($J191="","",IFERROR(INDEX(Teams!$D$4:$D$67,MATCH($B191&amp;"-"&amp;$J191,Teams!$E$4:$E$67,0)),""))</f>
        <v/>
      </c>
      <c r="F191" s="16" t="str">
        <f>IF(OR($E191="",$G191="",$C191&gt;Setup!$B$16),"",IFERROR(INDEX(Results!$E$5:$E$228,INT(($A191-1)/28)*Setup!$B$16+$C191),""))</f>
        <v/>
      </c>
      <c r="G191" s="17" t="str">
        <f>IF($K191="","",IFERROR(INDEX(Teams!$D$4:$D$67,MATCH($B191&amp;"-"&amp;$K191,Teams!$E$4:$E$67,0)),""))</f>
        <v/>
      </c>
      <c r="H191" s="16" t="str">
        <f>IF(OR($E191="",$G191="",$C191&gt;Setup!$B$16),"",IFERROR(INDEX(Results!$F$5:$F$228,INT(($A191-1)/28)*Setup!$B$16+$C191),""))</f>
        <v/>
      </c>
      <c r="I191" s="18">
        <f t="shared" si="27"/>
        <v>0</v>
      </c>
      <c r="J191" s="19" t="str">
        <f>IF(OR($B191="",$C191&gt;Setup!$B$16),"",IFERROR(INDEX('Fixture Library'!$E$4:$E$83,MATCH(Setup!$B$7&amp;"-"&amp;$C191,'Fixture Library'!$A$4:$A$83,0)),""))</f>
        <v/>
      </c>
      <c r="K191" s="19" t="str">
        <f>IF(OR($B191="",$C191&gt;Setup!$B$16),"",IFERROR(INDEX('Fixture Library'!$F$4:$F$83,MATCH(Setup!$B$7&amp;"-"&amp;$C191,'Fixture Library'!$A$4:$A$83,0)),""))</f>
        <v/>
      </c>
      <c r="L191" s="16">
        <f t="shared" si="22"/>
        <v>0</v>
      </c>
      <c r="M191" s="16">
        <f t="shared" si="23"/>
        <v>0</v>
      </c>
      <c r="N191" s="16">
        <f t="shared" si="24"/>
        <v>0</v>
      </c>
      <c r="O191" s="16">
        <f t="shared" si="25"/>
        <v>0</v>
      </c>
      <c r="P191" s="16">
        <f t="shared" si="30"/>
        <v>0</v>
      </c>
      <c r="Q191" s="16">
        <f t="shared" si="30"/>
        <v>0</v>
      </c>
      <c r="R191" s="16">
        <f t="shared" si="26"/>
        <v>0</v>
      </c>
    </row>
    <row r="192" spans="1:18">
      <c r="A192" s="16">
        <v>189</v>
      </c>
      <c r="B192" s="16" t="str">
        <f>IF(INT(($A192-1)/28)+1&lt;=Setup!$B$6,INDEX(Setup!$B$22:$B$29,INT(($A192-1)/28)+1),"")</f>
        <v/>
      </c>
      <c r="C192" s="16" t="str">
        <f t="shared" si="21"/>
        <v/>
      </c>
      <c r="D192" s="16" t="str">
        <f>IF(OR($B192="",$C192&gt;Setup!$B$16),"",IFERROR(INDEX('Fixture Library'!$D$4:$D$83,MATCH(Setup!$B$7&amp;"-"&amp;$C192,'Fixture Library'!$A$4:$A$83,0)),""))</f>
        <v/>
      </c>
      <c r="E192" s="17" t="str">
        <f>IF($J192="","",IFERROR(INDEX(Teams!$D$4:$D$67,MATCH($B192&amp;"-"&amp;$J192,Teams!$E$4:$E$67,0)),""))</f>
        <v/>
      </c>
      <c r="F192" s="16" t="str">
        <f>IF(OR($E192="",$G192="",$C192&gt;Setup!$B$16),"",IFERROR(INDEX(Results!$E$5:$E$228,INT(($A192-1)/28)*Setup!$B$16+$C192),""))</f>
        <v/>
      </c>
      <c r="G192" s="17" t="str">
        <f>IF($K192="","",IFERROR(INDEX(Teams!$D$4:$D$67,MATCH($B192&amp;"-"&amp;$K192,Teams!$E$4:$E$67,0)),""))</f>
        <v/>
      </c>
      <c r="H192" s="16" t="str">
        <f>IF(OR($E192="",$G192="",$C192&gt;Setup!$B$16),"",IFERROR(INDEX(Results!$F$5:$F$228,INT(($A192-1)/28)*Setup!$B$16+$C192),""))</f>
        <v/>
      </c>
      <c r="I192" s="18">
        <f t="shared" si="27"/>
        <v>0</v>
      </c>
      <c r="J192" s="19" t="str">
        <f>IF(OR($B192="",$C192&gt;Setup!$B$16),"",IFERROR(INDEX('Fixture Library'!$E$4:$E$83,MATCH(Setup!$B$7&amp;"-"&amp;$C192,'Fixture Library'!$A$4:$A$83,0)),""))</f>
        <v/>
      </c>
      <c r="K192" s="19" t="str">
        <f>IF(OR($B192="",$C192&gt;Setup!$B$16),"",IFERROR(INDEX('Fixture Library'!$F$4:$F$83,MATCH(Setup!$B$7&amp;"-"&amp;$C192,'Fixture Library'!$A$4:$A$83,0)),""))</f>
        <v/>
      </c>
      <c r="L192" s="16">
        <f t="shared" si="22"/>
        <v>0</v>
      </c>
      <c r="M192" s="16">
        <f t="shared" si="23"/>
        <v>0</v>
      </c>
      <c r="N192" s="16">
        <f t="shared" si="24"/>
        <v>0</v>
      </c>
      <c r="O192" s="16">
        <f t="shared" si="25"/>
        <v>0</v>
      </c>
      <c r="P192" s="16">
        <f t="shared" si="30"/>
        <v>0</v>
      </c>
      <c r="Q192" s="16">
        <f t="shared" si="30"/>
        <v>0</v>
      </c>
      <c r="R192" s="16">
        <f t="shared" si="26"/>
        <v>0</v>
      </c>
    </row>
    <row r="193" spans="1:18">
      <c r="A193" s="16">
        <v>190</v>
      </c>
      <c r="B193" s="16" t="str">
        <f>IF(INT(($A193-1)/28)+1&lt;=Setup!$B$6,INDEX(Setup!$B$22:$B$29,INT(($A193-1)/28)+1),"")</f>
        <v/>
      </c>
      <c r="C193" s="16" t="str">
        <f t="shared" si="21"/>
        <v/>
      </c>
      <c r="D193" s="16" t="str">
        <f>IF(OR($B193="",$C193&gt;Setup!$B$16),"",IFERROR(INDEX('Fixture Library'!$D$4:$D$83,MATCH(Setup!$B$7&amp;"-"&amp;$C193,'Fixture Library'!$A$4:$A$83,0)),""))</f>
        <v/>
      </c>
      <c r="E193" s="17" t="str">
        <f>IF($J193="","",IFERROR(INDEX(Teams!$D$4:$D$67,MATCH($B193&amp;"-"&amp;$J193,Teams!$E$4:$E$67,0)),""))</f>
        <v/>
      </c>
      <c r="F193" s="16" t="str">
        <f>IF(OR($E193="",$G193="",$C193&gt;Setup!$B$16),"",IFERROR(INDEX(Results!$E$5:$E$228,INT(($A193-1)/28)*Setup!$B$16+$C193),""))</f>
        <v/>
      </c>
      <c r="G193" s="17" t="str">
        <f>IF($K193="","",IFERROR(INDEX(Teams!$D$4:$D$67,MATCH($B193&amp;"-"&amp;$K193,Teams!$E$4:$E$67,0)),""))</f>
        <v/>
      </c>
      <c r="H193" s="16" t="str">
        <f>IF(OR($E193="",$G193="",$C193&gt;Setup!$B$16),"",IFERROR(INDEX(Results!$F$5:$F$228,INT(($A193-1)/28)*Setup!$B$16+$C193),""))</f>
        <v/>
      </c>
      <c r="I193" s="18">
        <f t="shared" si="27"/>
        <v>0</v>
      </c>
      <c r="J193" s="19" t="str">
        <f>IF(OR($B193="",$C193&gt;Setup!$B$16),"",IFERROR(INDEX('Fixture Library'!$E$4:$E$83,MATCH(Setup!$B$7&amp;"-"&amp;$C193,'Fixture Library'!$A$4:$A$83,0)),""))</f>
        <v/>
      </c>
      <c r="K193" s="19" t="str">
        <f>IF(OR($B193="",$C193&gt;Setup!$B$16),"",IFERROR(INDEX('Fixture Library'!$F$4:$F$83,MATCH(Setup!$B$7&amp;"-"&amp;$C193,'Fixture Library'!$A$4:$A$83,0)),""))</f>
        <v/>
      </c>
      <c r="L193" s="16">
        <f t="shared" si="22"/>
        <v>0</v>
      </c>
      <c r="M193" s="16">
        <f t="shared" si="23"/>
        <v>0</v>
      </c>
      <c r="N193" s="16">
        <f t="shared" si="24"/>
        <v>0</v>
      </c>
      <c r="O193" s="16">
        <f t="shared" si="25"/>
        <v>0</v>
      </c>
      <c r="P193" s="16">
        <f t="shared" si="30"/>
        <v>0</v>
      </c>
      <c r="Q193" s="16">
        <f t="shared" si="30"/>
        <v>0</v>
      </c>
      <c r="R193" s="16">
        <f t="shared" si="26"/>
        <v>0</v>
      </c>
    </row>
    <row r="194" spans="1:18">
      <c r="A194" s="16">
        <v>191</v>
      </c>
      <c r="B194" s="16" t="str">
        <f>IF(INT(($A194-1)/28)+1&lt;=Setup!$B$6,INDEX(Setup!$B$22:$B$29,INT(($A194-1)/28)+1),"")</f>
        <v/>
      </c>
      <c r="C194" s="16" t="str">
        <f t="shared" si="21"/>
        <v/>
      </c>
      <c r="D194" s="16" t="str">
        <f>IF(OR($B194="",$C194&gt;Setup!$B$16),"",IFERROR(INDEX('Fixture Library'!$D$4:$D$83,MATCH(Setup!$B$7&amp;"-"&amp;$C194,'Fixture Library'!$A$4:$A$83,0)),""))</f>
        <v/>
      </c>
      <c r="E194" s="17" t="str">
        <f>IF($J194="","",IFERROR(INDEX(Teams!$D$4:$D$67,MATCH($B194&amp;"-"&amp;$J194,Teams!$E$4:$E$67,0)),""))</f>
        <v/>
      </c>
      <c r="F194" s="16" t="str">
        <f>IF(OR($E194="",$G194="",$C194&gt;Setup!$B$16),"",IFERROR(INDEX(Results!$E$5:$E$228,INT(($A194-1)/28)*Setup!$B$16+$C194),""))</f>
        <v/>
      </c>
      <c r="G194" s="17" t="str">
        <f>IF($K194="","",IFERROR(INDEX(Teams!$D$4:$D$67,MATCH($B194&amp;"-"&amp;$K194,Teams!$E$4:$E$67,0)),""))</f>
        <v/>
      </c>
      <c r="H194" s="16" t="str">
        <f>IF(OR($E194="",$G194="",$C194&gt;Setup!$B$16),"",IFERROR(INDEX(Results!$F$5:$F$228,INT(($A194-1)/28)*Setup!$B$16+$C194),""))</f>
        <v/>
      </c>
      <c r="I194" s="18">
        <f t="shared" si="27"/>
        <v>0</v>
      </c>
      <c r="J194" s="19" t="str">
        <f>IF(OR($B194="",$C194&gt;Setup!$B$16),"",IFERROR(INDEX('Fixture Library'!$E$4:$E$83,MATCH(Setup!$B$7&amp;"-"&amp;$C194,'Fixture Library'!$A$4:$A$83,0)),""))</f>
        <v/>
      </c>
      <c r="K194" s="19" t="str">
        <f>IF(OR($B194="",$C194&gt;Setup!$B$16),"",IFERROR(INDEX('Fixture Library'!$F$4:$F$83,MATCH(Setup!$B$7&amp;"-"&amp;$C194,'Fixture Library'!$A$4:$A$83,0)),""))</f>
        <v/>
      </c>
      <c r="L194" s="16">
        <f t="shared" si="22"/>
        <v>0</v>
      </c>
      <c r="M194" s="16">
        <f t="shared" si="23"/>
        <v>0</v>
      </c>
      <c r="N194" s="16">
        <f t="shared" si="24"/>
        <v>0</v>
      </c>
      <c r="O194" s="16">
        <f t="shared" si="25"/>
        <v>0</v>
      </c>
      <c r="P194" s="16">
        <f t="shared" si="30"/>
        <v>0</v>
      </c>
      <c r="Q194" s="16">
        <f t="shared" si="30"/>
        <v>0</v>
      </c>
      <c r="R194" s="16">
        <f t="shared" si="26"/>
        <v>0</v>
      </c>
    </row>
    <row r="195" spans="1:18">
      <c r="A195" s="16">
        <v>192</v>
      </c>
      <c r="B195" s="16" t="str">
        <f>IF(INT(($A195-1)/28)+1&lt;=Setup!$B$6,INDEX(Setup!$B$22:$B$29,INT(($A195-1)/28)+1),"")</f>
        <v/>
      </c>
      <c r="C195" s="16" t="str">
        <f t="shared" si="21"/>
        <v/>
      </c>
      <c r="D195" s="16" t="str">
        <f>IF(OR($B195="",$C195&gt;Setup!$B$16),"",IFERROR(INDEX('Fixture Library'!$D$4:$D$83,MATCH(Setup!$B$7&amp;"-"&amp;$C195,'Fixture Library'!$A$4:$A$83,0)),""))</f>
        <v/>
      </c>
      <c r="E195" s="17" t="str">
        <f>IF($J195="","",IFERROR(INDEX(Teams!$D$4:$D$67,MATCH($B195&amp;"-"&amp;$J195,Teams!$E$4:$E$67,0)),""))</f>
        <v/>
      </c>
      <c r="F195" s="16" t="str">
        <f>IF(OR($E195="",$G195="",$C195&gt;Setup!$B$16),"",IFERROR(INDEX(Results!$E$5:$E$228,INT(($A195-1)/28)*Setup!$B$16+$C195),""))</f>
        <v/>
      </c>
      <c r="G195" s="17" t="str">
        <f>IF($K195="","",IFERROR(INDEX(Teams!$D$4:$D$67,MATCH($B195&amp;"-"&amp;$K195,Teams!$E$4:$E$67,0)),""))</f>
        <v/>
      </c>
      <c r="H195" s="16" t="str">
        <f>IF(OR($E195="",$G195="",$C195&gt;Setup!$B$16),"",IFERROR(INDEX(Results!$F$5:$F$228,INT(($A195-1)/28)*Setup!$B$16+$C195),""))</f>
        <v/>
      </c>
      <c r="I195" s="18">
        <f t="shared" si="27"/>
        <v>0</v>
      </c>
      <c r="J195" s="19" t="str">
        <f>IF(OR($B195="",$C195&gt;Setup!$B$16),"",IFERROR(INDEX('Fixture Library'!$E$4:$E$83,MATCH(Setup!$B$7&amp;"-"&amp;$C195,'Fixture Library'!$A$4:$A$83,0)),""))</f>
        <v/>
      </c>
      <c r="K195" s="19" t="str">
        <f>IF(OR($B195="",$C195&gt;Setup!$B$16),"",IFERROR(INDEX('Fixture Library'!$F$4:$F$83,MATCH(Setup!$B$7&amp;"-"&amp;$C195,'Fixture Library'!$A$4:$A$83,0)),""))</f>
        <v/>
      </c>
      <c r="L195" s="16">
        <f t="shared" si="22"/>
        <v>0</v>
      </c>
      <c r="M195" s="16">
        <f t="shared" si="23"/>
        <v>0</v>
      </c>
      <c r="N195" s="16">
        <f t="shared" si="24"/>
        <v>0</v>
      </c>
      <c r="O195" s="16">
        <f t="shared" si="25"/>
        <v>0</v>
      </c>
      <c r="P195" s="16">
        <f t="shared" si="30"/>
        <v>0</v>
      </c>
      <c r="Q195" s="16">
        <f t="shared" si="30"/>
        <v>0</v>
      </c>
      <c r="R195" s="16">
        <f t="shared" si="26"/>
        <v>0</v>
      </c>
    </row>
    <row r="196" spans="1:18">
      <c r="A196" s="16">
        <v>193</v>
      </c>
      <c r="B196" s="16" t="str">
        <f>IF(INT(($A196-1)/28)+1&lt;=Setup!$B$6,INDEX(Setup!$B$22:$B$29,INT(($A196-1)/28)+1),"")</f>
        <v/>
      </c>
      <c r="C196" s="16" t="str">
        <f t="shared" ref="C196:C227" si="31">IF($B196="","",MOD($A196-1,28)+1)</f>
        <v/>
      </c>
      <c r="D196" s="16" t="str">
        <f>IF(OR($B196="",$C196&gt;Setup!$B$16),"",IFERROR(INDEX('Fixture Library'!$D$4:$D$83,MATCH(Setup!$B$7&amp;"-"&amp;$C196,'Fixture Library'!$A$4:$A$83,0)),""))</f>
        <v/>
      </c>
      <c r="E196" s="17" t="str">
        <f>IF($J196="","",IFERROR(INDEX(Teams!$D$4:$D$67,MATCH($B196&amp;"-"&amp;$J196,Teams!$E$4:$E$67,0)),""))</f>
        <v/>
      </c>
      <c r="F196" s="16" t="str">
        <f>IF(OR($E196="",$G196="",$C196&gt;Setup!$B$16),"",IFERROR(INDEX(Results!$E$5:$E$228,INT(($A196-1)/28)*Setup!$B$16+$C196),""))</f>
        <v/>
      </c>
      <c r="G196" s="17" t="str">
        <f>IF($K196="","",IFERROR(INDEX(Teams!$D$4:$D$67,MATCH($B196&amp;"-"&amp;$K196,Teams!$E$4:$E$67,0)),""))</f>
        <v/>
      </c>
      <c r="H196" s="16" t="str">
        <f>IF(OR($E196="",$G196="",$C196&gt;Setup!$B$16),"",IFERROR(INDEX(Results!$F$5:$F$228,INT(($A196-1)/28)*Setup!$B$16+$C196),""))</f>
        <v/>
      </c>
      <c r="I196" s="18">
        <f t="shared" si="27"/>
        <v>0</v>
      </c>
      <c r="J196" s="19" t="str">
        <f>IF(OR($B196="",$C196&gt;Setup!$B$16),"",IFERROR(INDEX('Fixture Library'!$E$4:$E$83,MATCH(Setup!$B$7&amp;"-"&amp;$C196,'Fixture Library'!$A$4:$A$83,0)),""))</f>
        <v/>
      </c>
      <c r="K196" s="19" t="str">
        <f>IF(OR($B196="",$C196&gt;Setup!$B$16),"",IFERROR(INDEX('Fixture Library'!$F$4:$F$83,MATCH(Setup!$B$7&amp;"-"&amp;$C196,'Fixture Library'!$A$4:$A$83,0)),""))</f>
        <v/>
      </c>
      <c r="L196" s="16">
        <f t="shared" ref="L196:L227" si="32">IF($I196=1,IF($F196&gt;$H196,1,0),0)</f>
        <v>0</v>
      </c>
      <c r="M196" s="16">
        <f t="shared" ref="M196:M227" si="33">IF($I196=1,IF($H196&gt;$F196,1,0),0)</f>
        <v>0</v>
      </c>
      <c r="N196" s="16">
        <f t="shared" ref="N196:N227" si="34">IF($I196=1,IF($F196=$H196,1,0),0)</f>
        <v>0</v>
      </c>
      <c r="O196" s="16">
        <f t="shared" ref="O196:O227" si="35">IF($I196=1,$F196,0)</f>
        <v>0</v>
      </c>
      <c r="P196" s="16">
        <f t="shared" si="30"/>
        <v>0</v>
      </c>
      <c r="Q196" s="16">
        <f t="shared" si="30"/>
        <v>0</v>
      </c>
      <c r="R196" s="16">
        <f t="shared" ref="R196:R227" si="36">IF($I196=1,$F196,0)</f>
        <v>0</v>
      </c>
    </row>
    <row r="197" spans="1:18">
      <c r="A197" s="16">
        <v>194</v>
      </c>
      <c r="B197" s="16" t="str">
        <f>IF(INT(($A197-1)/28)+1&lt;=Setup!$B$6,INDEX(Setup!$B$22:$B$29,INT(($A197-1)/28)+1),"")</f>
        <v/>
      </c>
      <c r="C197" s="16" t="str">
        <f t="shared" si="31"/>
        <v/>
      </c>
      <c r="D197" s="16" t="str">
        <f>IF(OR($B197="",$C197&gt;Setup!$B$16),"",IFERROR(INDEX('Fixture Library'!$D$4:$D$83,MATCH(Setup!$B$7&amp;"-"&amp;$C197,'Fixture Library'!$A$4:$A$83,0)),""))</f>
        <v/>
      </c>
      <c r="E197" s="17" t="str">
        <f>IF($J197="","",IFERROR(INDEX(Teams!$D$4:$D$67,MATCH($B197&amp;"-"&amp;$J197,Teams!$E$4:$E$67,0)),""))</f>
        <v/>
      </c>
      <c r="F197" s="16" t="str">
        <f>IF(OR($E197="",$G197="",$C197&gt;Setup!$B$16),"",IFERROR(INDEX(Results!$E$5:$E$228,INT(($A197-1)/28)*Setup!$B$16+$C197),""))</f>
        <v/>
      </c>
      <c r="G197" s="17" t="str">
        <f>IF($K197="","",IFERROR(INDEX(Teams!$D$4:$D$67,MATCH($B197&amp;"-"&amp;$K197,Teams!$E$4:$E$67,0)),""))</f>
        <v/>
      </c>
      <c r="H197" s="16" t="str">
        <f>IF(OR($E197="",$G197="",$C197&gt;Setup!$B$16),"",IFERROR(INDEX(Results!$F$5:$F$228,INT(($A197-1)/28)*Setup!$B$16+$C197),""))</f>
        <v/>
      </c>
      <c r="I197" s="18">
        <f t="shared" ref="I197:I227" si="37">IF(AND($E197&lt;&gt;"",$G197&lt;&gt;"",ISNUMBER($F197),ISNUMBER($H197)),1,0)</f>
        <v>0</v>
      </c>
      <c r="J197" s="19" t="str">
        <f>IF(OR($B197="",$C197&gt;Setup!$B$16),"",IFERROR(INDEX('Fixture Library'!$E$4:$E$83,MATCH(Setup!$B$7&amp;"-"&amp;$C197,'Fixture Library'!$A$4:$A$83,0)),""))</f>
        <v/>
      </c>
      <c r="K197" s="19" t="str">
        <f>IF(OR($B197="",$C197&gt;Setup!$B$16),"",IFERROR(INDEX('Fixture Library'!$F$4:$F$83,MATCH(Setup!$B$7&amp;"-"&amp;$C197,'Fixture Library'!$A$4:$A$83,0)),""))</f>
        <v/>
      </c>
      <c r="L197" s="16">
        <f t="shared" si="32"/>
        <v>0</v>
      </c>
      <c r="M197" s="16">
        <f t="shared" si="33"/>
        <v>0</v>
      </c>
      <c r="N197" s="16">
        <f t="shared" si="34"/>
        <v>0</v>
      </c>
      <c r="O197" s="16">
        <f t="shared" si="35"/>
        <v>0</v>
      </c>
      <c r="P197" s="16">
        <f t="shared" si="30"/>
        <v>0</v>
      </c>
      <c r="Q197" s="16">
        <f t="shared" si="30"/>
        <v>0</v>
      </c>
      <c r="R197" s="16">
        <f t="shared" si="36"/>
        <v>0</v>
      </c>
    </row>
    <row r="198" spans="1:18">
      <c r="A198" s="16">
        <v>195</v>
      </c>
      <c r="B198" s="16" t="str">
        <f>IF(INT(($A198-1)/28)+1&lt;=Setup!$B$6,INDEX(Setup!$B$22:$B$29,INT(($A198-1)/28)+1),"")</f>
        <v/>
      </c>
      <c r="C198" s="16" t="str">
        <f t="shared" si="31"/>
        <v/>
      </c>
      <c r="D198" s="16" t="str">
        <f>IF(OR($B198="",$C198&gt;Setup!$B$16),"",IFERROR(INDEX('Fixture Library'!$D$4:$D$83,MATCH(Setup!$B$7&amp;"-"&amp;$C198,'Fixture Library'!$A$4:$A$83,0)),""))</f>
        <v/>
      </c>
      <c r="E198" s="17" t="str">
        <f>IF($J198="","",IFERROR(INDEX(Teams!$D$4:$D$67,MATCH($B198&amp;"-"&amp;$J198,Teams!$E$4:$E$67,0)),""))</f>
        <v/>
      </c>
      <c r="F198" s="16" t="str">
        <f>IF(OR($E198="",$G198="",$C198&gt;Setup!$B$16),"",IFERROR(INDEX(Results!$E$5:$E$228,INT(($A198-1)/28)*Setup!$B$16+$C198),""))</f>
        <v/>
      </c>
      <c r="G198" s="17" t="str">
        <f>IF($K198="","",IFERROR(INDEX(Teams!$D$4:$D$67,MATCH($B198&amp;"-"&amp;$K198,Teams!$E$4:$E$67,0)),""))</f>
        <v/>
      </c>
      <c r="H198" s="16" t="str">
        <f>IF(OR($E198="",$G198="",$C198&gt;Setup!$B$16),"",IFERROR(INDEX(Results!$F$5:$F$228,INT(($A198-1)/28)*Setup!$B$16+$C198),""))</f>
        <v/>
      </c>
      <c r="I198" s="18">
        <f t="shared" si="37"/>
        <v>0</v>
      </c>
      <c r="J198" s="19" t="str">
        <f>IF(OR($B198="",$C198&gt;Setup!$B$16),"",IFERROR(INDEX('Fixture Library'!$E$4:$E$83,MATCH(Setup!$B$7&amp;"-"&amp;$C198,'Fixture Library'!$A$4:$A$83,0)),""))</f>
        <v/>
      </c>
      <c r="K198" s="19" t="str">
        <f>IF(OR($B198="",$C198&gt;Setup!$B$16),"",IFERROR(INDEX('Fixture Library'!$F$4:$F$83,MATCH(Setup!$B$7&amp;"-"&amp;$C198,'Fixture Library'!$A$4:$A$83,0)),""))</f>
        <v/>
      </c>
      <c r="L198" s="16">
        <f t="shared" si="32"/>
        <v>0</v>
      </c>
      <c r="M198" s="16">
        <f t="shared" si="33"/>
        <v>0</v>
      </c>
      <c r="N198" s="16">
        <f t="shared" si="34"/>
        <v>0</v>
      </c>
      <c r="O198" s="16">
        <f t="shared" si="35"/>
        <v>0</v>
      </c>
      <c r="P198" s="16">
        <f t="shared" si="30"/>
        <v>0</v>
      </c>
      <c r="Q198" s="16">
        <f t="shared" si="30"/>
        <v>0</v>
      </c>
      <c r="R198" s="16">
        <f t="shared" si="36"/>
        <v>0</v>
      </c>
    </row>
    <row r="199" spans="1:18">
      <c r="A199" s="16">
        <v>196</v>
      </c>
      <c r="B199" s="16" t="str">
        <f>IF(INT(($A199-1)/28)+1&lt;=Setup!$B$6,INDEX(Setup!$B$22:$B$29,INT(($A199-1)/28)+1),"")</f>
        <v/>
      </c>
      <c r="C199" s="16" t="str">
        <f t="shared" si="31"/>
        <v/>
      </c>
      <c r="D199" s="16" t="str">
        <f>IF(OR($B199="",$C199&gt;Setup!$B$16),"",IFERROR(INDEX('Fixture Library'!$D$4:$D$83,MATCH(Setup!$B$7&amp;"-"&amp;$C199,'Fixture Library'!$A$4:$A$83,0)),""))</f>
        <v/>
      </c>
      <c r="E199" s="17" t="str">
        <f>IF($J199="","",IFERROR(INDEX(Teams!$D$4:$D$67,MATCH($B199&amp;"-"&amp;$J199,Teams!$E$4:$E$67,0)),""))</f>
        <v/>
      </c>
      <c r="F199" s="16" t="str">
        <f>IF(OR($E199="",$G199="",$C199&gt;Setup!$B$16),"",IFERROR(INDEX(Results!$E$5:$E$228,INT(($A199-1)/28)*Setup!$B$16+$C199),""))</f>
        <v/>
      </c>
      <c r="G199" s="17" t="str">
        <f>IF($K199="","",IFERROR(INDEX(Teams!$D$4:$D$67,MATCH($B199&amp;"-"&amp;$K199,Teams!$E$4:$E$67,0)),""))</f>
        <v/>
      </c>
      <c r="H199" s="16" t="str">
        <f>IF(OR($E199="",$G199="",$C199&gt;Setup!$B$16),"",IFERROR(INDEX(Results!$F$5:$F$228,INT(($A199-1)/28)*Setup!$B$16+$C199),""))</f>
        <v/>
      </c>
      <c r="I199" s="18">
        <f t="shared" si="37"/>
        <v>0</v>
      </c>
      <c r="J199" s="19" t="str">
        <f>IF(OR($B199="",$C199&gt;Setup!$B$16),"",IFERROR(INDEX('Fixture Library'!$E$4:$E$83,MATCH(Setup!$B$7&amp;"-"&amp;$C199,'Fixture Library'!$A$4:$A$83,0)),""))</f>
        <v/>
      </c>
      <c r="K199" s="19" t="str">
        <f>IF(OR($B199="",$C199&gt;Setup!$B$16),"",IFERROR(INDEX('Fixture Library'!$F$4:$F$83,MATCH(Setup!$B$7&amp;"-"&amp;$C199,'Fixture Library'!$A$4:$A$83,0)),""))</f>
        <v/>
      </c>
      <c r="L199" s="16">
        <f t="shared" si="32"/>
        <v>0</v>
      </c>
      <c r="M199" s="16">
        <f t="shared" si="33"/>
        <v>0</v>
      </c>
      <c r="N199" s="16">
        <f t="shared" si="34"/>
        <v>0</v>
      </c>
      <c r="O199" s="16">
        <f t="shared" si="35"/>
        <v>0</v>
      </c>
      <c r="P199" s="16">
        <f t="shared" si="30"/>
        <v>0</v>
      </c>
      <c r="Q199" s="16">
        <f t="shared" si="30"/>
        <v>0</v>
      </c>
      <c r="R199" s="16">
        <f t="shared" si="36"/>
        <v>0</v>
      </c>
    </row>
    <row r="200" spans="1:18">
      <c r="A200" s="16">
        <v>197</v>
      </c>
      <c r="B200" s="16" t="str">
        <f>IF(INT(($A200-1)/28)+1&lt;=Setup!$B$6,INDEX(Setup!$B$22:$B$29,INT(($A200-1)/28)+1),"")</f>
        <v/>
      </c>
      <c r="C200" s="16" t="str">
        <f t="shared" si="31"/>
        <v/>
      </c>
      <c r="D200" s="16" t="str">
        <f>IF(OR($B200="",$C200&gt;Setup!$B$16),"",IFERROR(INDEX('Fixture Library'!$D$4:$D$83,MATCH(Setup!$B$7&amp;"-"&amp;$C200,'Fixture Library'!$A$4:$A$83,0)),""))</f>
        <v/>
      </c>
      <c r="E200" s="17" t="str">
        <f>IF($J200="","",IFERROR(INDEX(Teams!$D$4:$D$67,MATCH($B200&amp;"-"&amp;$J200,Teams!$E$4:$E$67,0)),""))</f>
        <v/>
      </c>
      <c r="F200" s="16" t="str">
        <f>IF(OR($E200="",$G200="",$C200&gt;Setup!$B$16),"",IFERROR(INDEX(Results!$E$5:$E$228,INT(($A200-1)/28)*Setup!$B$16+$C200),""))</f>
        <v/>
      </c>
      <c r="G200" s="17" t="str">
        <f>IF($K200="","",IFERROR(INDEX(Teams!$D$4:$D$67,MATCH($B200&amp;"-"&amp;$K200,Teams!$E$4:$E$67,0)),""))</f>
        <v/>
      </c>
      <c r="H200" s="16" t="str">
        <f>IF(OR($E200="",$G200="",$C200&gt;Setup!$B$16),"",IFERROR(INDEX(Results!$F$5:$F$228,INT(($A200-1)/28)*Setup!$B$16+$C200),""))</f>
        <v/>
      </c>
      <c r="I200" s="18">
        <f t="shared" si="37"/>
        <v>0</v>
      </c>
      <c r="J200" s="19" t="str">
        <f>IF(OR($B200="",$C200&gt;Setup!$B$16),"",IFERROR(INDEX('Fixture Library'!$E$4:$E$83,MATCH(Setup!$B$7&amp;"-"&amp;$C200,'Fixture Library'!$A$4:$A$83,0)),""))</f>
        <v/>
      </c>
      <c r="K200" s="19" t="str">
        <f>IF(OR($B200="",$C200&gt;Setup!$B$16),"",IFERROR(INDEX('Fixture Library'!$F$4:$F$83,MATCH(Setup!$B$7&amp;"-"&amp;$C200,'Fixture Library'!$A$4:$A$83,0)),""))</f>
        <v/>
      </c>
      <c r="L200" s="16">
        <f t="shared" si="32"/>
        <v>0</v>
      </c>
      <c r="M200" s="16">
        <f t="shared" si="33"/>
        <v>0</v>
      </c>
      <c r="N200" s="16">
        <f t="shared" si="34"/>
        <v>0</v>
      </c>
      <c r="O200" s="16">
        <f t="shared" si="35"/>
        <v>0</v>
      </c>
      <c r="P200" s="16">
        <f t="shared" si="30"/>
        <v>0</v>
      </c>
      <c r="Q200" s="16">
        <f t="shared" si="30"/>
        <v>0</v>
      </c>
      <c r="R200" s="16">
        <f t="shared" si="36"/>
        <v>0</v>
      </c>
    </row>
    <row r="201" spans="1:18">
      <c r="A201" s="16">
        <v>198</v>
      </c>
      <c r="B201" s="16" t="str">
        <f>IF(INT(($A201-1)/28)+1&lt;=Setup!$B$6,INDEX(Setup!$B$22:$B$29,INT(($A201-1)/28)+1),"")</f>
        <v/>
      </c>
      <c r="C201" s="16" t="str">
        <f t="shared" si="31"/>
        <v/>
      </c>
      <c r="D201" s="16" t="str">
        <f>IF(OR($B201="",$C201&gt;Setup!$B$16),"",IFERROR(INDEX('Fixture Library'!$D$4:$D$83,MATCH(Setup!$B$7&amp;"-"&amp;$C201,'Fixture Library'!$A$4:$A$83,0)),""))</f>
        <v/>
      </c>
      <c r="E201" s="17" t="str">
        <f>IF($J201="","",IFERROR(INDEX(Teams!$D$4:$D$67,MATCH($B201&amp;"-"&amp;$J201,Teams!$E$4:$E$67,0)),""))</f>
        <v/>
      </c>
      <c r="F201" s="16" t="str">
        <f>IF(OR($E201="",$G201="",$C201&gt;Setup!$B$16),"",IFERROR(INDEX(Results!$E$5:$E$228,INT(($A201-1)/28)*Setup!$B$16+$C201),""))</f>
        <v/>
      </c>
      <c r="G201" s="17" t="str">
        <f>IF($K201="","",IFERROR(INDEX(Teams!$D$4:$D$67,MATCH($B201&amp;"-"&amp;$K201,Teams!$E$4:$E$67,0)),""))</f>
        <v/>
      </c>
      <c r="H201" s="16" t="str">
        <f>IF(OR($E201="",$G201="",$C201&gt;Setup!$B$16),"",IFERROR(INDEX(Results!$F$5:$F$228,INT(($A201-1)/28)*Setup!$B$16+$C201),""))</f>
        <v/>
      </c>
      <c r="I201" s="18">
        <f t="shared" si="37"/>
        <v>0</v>
      </c>
      <c r="J201" s="19" t="str">
        <f>IF(OR($B201="",$C201&gt;Setup!$B$16),"",IFERROR(INDEX('Fixture Library'!$E$4:$E$83,MATCH(Setup!$B$7&amp;"-"&amp;$C201,'Fixture Library'!$A$4:$A$83,0)),""))</f>
        <v/>
      </c>
      <c r="K201" s="19" t="str">
        <f>IF(OR($B201="",$C201&gt;Setup!$B$16),"",IFERROR(INDEX('Fixture Library'!$F$4:$F$83,MATCH(Setup!$B$7&amp;"-"&amp;$C201,'Fixture Library'!$A$4:$A$83,0)),""))</f>
        <v/>
      </c>
      <c r="L201" s="16">
        <f t="shared" si="32"/>
        <v>0</v>
      </c>
      <c r="M201" s="16">
        <f t="shared" si="33"/>
        <v>0</v>
      </c>
      <c r="N201" s="16">
        <f t="shared" si="34"/>
        <v>0</v>
      </c>
      <c r="O201" s="16">
        <f t="shared" si="35"/>
        <v>0</v>
      </c>
      <c r="P201" s="16">
        <f t="shared" si="30"/>
        <v>0</v>
      </c>
      <c r="Q201" s="16">
        <f t="shared" si="30"/>
        <v>0</v>
      </c>
      <c r="R201" s="16">
        <f t="shared" si="36"/>
        <v>0</v>
      </c>
    </row>
    <row r="202" spans="1:18">
      <c r="A202" s="16">
        <v>199</v>
      </c>
      <c r="B202" s="16" t="str">
        <f>IF(INT(($A202-1)/28)+1&lt;=Setup!$B$6,INDEX(Setup!$B$22:$B$29,INT(($A202-1)/28)+1),"")</f>
        <v/>
      </c>
      <c r="C202" s="16" t="str">
        <f t="shared" si="31"/>
        <v/>
      </c>
      <c r="D202" s="16" t="str">
        <f>IF(OR($B202="",$C202&gt;Setup!$B$16),"",IFERROR(INDEX('Fixture Library'!$D$4:$D$83,MATCH(Setup!$B$7&amp;"-"&amp;$C202,'Fixture Library'!$A$4:$A$83,0)),""))</f>
        <v/>
      </c>
      <c r="E202" s="17" t="str">
        <f>IF($J202="","",IFERROR(INDEX(Teams!$D$4:$D$67,MATCH($B202&amp;"-"&amp;$J202,Teams!$E$4:$E$67,0)),""))</f>
        <v/>
      </c>
      <c r="F202" s="16" t="str">
        <f>IF(OR($E202="",$G202="",$C202&gt;Setup!$B$16),"",IFERROR(INDEX(Results!$E$5:$E$228,INT(($A202-1)/28)*Setup!$B$16+$C202),""))</f>
        <v/>
      </c>
      <c r="G202" s="17" t="str">
        <f>IF($K202="","",IFERROR(INDEX(Teams!$D$4:$D$67,MATCH($B202&amp;"-"&amp;$K202,Teams!$E$4:$E$67,0)),""))</f>
        <v/>
      </c>
      <c r="H202" s="16" t="str">
        <f>IF(OR($E202="",$G202="",$C202&gt;Setup!$B$16),"",IFERROR(INDEX(Results!$F$5:$F$228,INT(($A202-1)/28)*Setup!$B$16+$C202),""))</f>
        <v/>
      </c>
      <c r="I202" s="18">
        <f t="shared" si="37"/>
        <v>0</v>
      </c>
      <c r="J202" s="19" t="str">
        <f>IF(OR($B202="",$C202&gt;Setup!$B$16),"",IFERROR(INDEX('Fixture Library'!$E$4:$E$83,MATCH(Setup!$B$7&amp;"-"&amp;$C202,'Fixture Library'!$A$4:$A$83,0)),""))</f>
        <v/>
      </c>
      <c r="K202" s="19" t="str">
        <f>IF(OR($B202="",$C202&gt;Setup!$B$16),"",IFERROR(INDEX('Fixture Library'!$F$4:$F$83,MATCH(Setup!$B$7&amp;"-"&amp;$C202,'Fixture Library'!$A$4:$A$83,0)),""))</f>
        <v/>
      </c>
      <c r="L202" s="16">
        <f t="shared" si="32"/>
        <v>0</v>
      </c>
      <c r="M202" s="16">
        <f t="shared" si="33"/>
        <v>0</v>
      </c>
      <c r="N202" s="16">
        <f t="shared" si="34"/>
        <v>0</v>
      </c>
      <c r="O202" s="16">
        <f t="shared" si="35"/>
        <v>0</v>
      </c>
      <c r="P202" s="16">
        <f t="shared" si="30"/>
        <v>0</v>
      </c>
      <c r="Q202" s="16">
        <f t="shared" si="30"/>
        <v>0</v>
      </c>
      <c r="R202" s="16">
        <f t="shared" si="36"/>
        <v>0</v>
      </c>
    </row>
    <row r="203" spans="1:18">
      <c r="A203" s="16">
        <v>200</v>
      </c>
      <c r="B203" s="16" t="str">
        <f>IF(INT(($A203-1)/28)+1&lt;=Setup!$B$6,INDEX(Setup!$B$22:$B$29,INT(($A203-1)/28)+1),"")</f>
        <v/>
      </c>
      <c r="C203" s="16" t="str">
        <f t="shared" si="31"/>
        <v/>
      </c>
      <c r="D203" s="16" t="str">
        <f>IF(OR($B203="",$C203&gt;Setup!$B$16),"",IFERROR(INDEX('Fixture Library'!$D$4:$D$83,MATCH(Setup!$B$7&amp;"-"&amp;$C203,'Fixture Library'!$A$4:$A$83,0)),""))</f>
        <v/>
      </c>
      <c r="E203" s="17" t="str">
        <f>IF($J203="","",IFERROR(INDEX(Teams!$D$4:$D$67,MATCH($B203&amp;"-"&amp;$J203,Teams!$E$4:$E$67,0)),""))</f>
        <v/>
      </c>
      <c r="F203" s="16" t="str">
        <f>IF(OR($E203="",$G203="",$C203&gt;Setup!$B$16),"",IFERROR(INDEX(Results!$E$5:$E$228,INT(($A203-1)/28)*Setup!$B$16+$C203),""))</f>
        <v/>
      </c>
      <c r="G203" s="17" t="str">
        <f>IF($K203="","",IFERROR(INDEX(Teams!$D$4:$D$67,MATCH($B203&amp;"-"&amp;$K203,Teams!$E$4:$E$67,0)),""))</f>
        <v/>
      </c>
      <c r="H203" s="16" t="str">
        <f>IF(OR($E203="",$G203="",$C203&gt;Setup!$B$16),"",IFERROR(INDEX(Results!$F$5:$F$228,INT(($A203-1)/28)*Setup!$B$16+$C203),""))</f>
        <v/>
      </c>
      <c r="I203" s="18">
        <f t="shared" si="37"/>
        <v>0</v>
      </c>
      <c r="J203" s="19" t="str">
        <f>IF(OR($B203="",$C203&gt;Setup!$B$16),"",IFERROR(INDEX('Fixture Library'!$E$4:$E$83,MATCH(Setup!$B$7&amp;"-"&amp;$C203,'Fixture Library'!$A$4:$A$83,0)),""))</f>
        <v/>
      </c>
      <c r="K203" s="19" t="str">
        <f>IF(OR($B203="",$C203&gt;Setup!$B$16),"",IFERROR(INDEX('Fixture Library'!$F$4:$F$83,MATCH(Setup!$B$7&amp;"-"&amp;$C203,'Fixture Library'!$A$4:$A$83,0)),""))</f>
        <v/>
      </c>
      <c r="L203" s="16">
        <f t="shared" si="32"/>
        <v>0</v>
      </c>
      <c r="M203" s="16">
        <f t="shared" si="33"/>
        <v>0</v>
      </c>
      <c r="N203" s="16">
        <f t="shared" si="34"/>
        <v>0</v>
      </c>
      <c r="O203" s="16">
        <f t="shared" si="35"/>
        <v>0</v>
      </c>
      <c r="P203" s="16">
        <f t="shared" si="30"/>
        <v>0</v>
      </c>
      <c r="Q203" s="16">
        <f t="shared" si="30"/>
        <v>0</v>
      </c>
      <c r="R203" s="16">
        <f t="shared" si="36"/>
        <v>0</v>
      </c>
    </row>
    <row r="204" spans="1:18">
      <c r="A204" s="16">
        <v>201</v>
      </c>
      <c r="B204" s="16" t="str">
        <f>IF(INT(($A204-1)/28)+1&lt;=Setup!$B$6,INDEX(Setup!$B$22:$B$29,INT(($A204-1)/28)+1),"")</f>
        <v/>
      </c>
      <c r="C204" s="16" t="str">
        <f t="shared" si="31"/>
        <v/>
      </c>
      <c r="D204" s="16" t="str">
        <f>IF(OR($B204="",$C204&gt;Setup!$B$16),"",IFERROR(INDEX('Fixture Library'!$D$4:$D$83,MATCH(Setup!$B$7&amp;"-"&amp;$C204,'Fixture Library'!$A$4:$A$83,0)),""))</f>
        <v/>
      </c>
      <c r="E204" s="17" t="str">
        <f>IF($J204="","",IFERROR(INDEX(Teams!$D$4:$D$67,MATCH($B204&amp;"-"&amp;$J204,Teams!$E$4:$E$67,0)),""))</f>
        <v/>
      </c>
      <c r="F204" s="16" t="str">
        <f>IF(OR($E204="",$G204="",$C204&gt;Setup!$B$16),"",IFERROR(INDEX(Results!$E$5:$E$228,INT(($A204-1)/28)*Setup!$B$16+$C204),""))</f>
        <v/>
      </c>
      <c r="G204" s="17" t="str">
        <f>IF($K204="","",IFERROR(INDEX(Teams!$D$4:$D$67,MATCH($B204&amp;"-"&amp;$K204,Teams!$E$4:$E$67,0)),""))</f>
        <v/>
      </c>
      <c r="H204" s="16" t="str">
        <f>IF(OR($E204="",$G204="",$C204&gt;Setup!$B$16),"",IFERROR(INDEX(Results!$F$5:$F$228,INT(($A204-1)/28)*Setup!$B$16+$C204),""))</f>
        <v/>
      </c>
      <c r="I204" s="18">
        <f t="shared" si="37"/>
        <v>0</v>
      </c>
      <c r="J204" s="19" t="str">
        <f>IF(OR($B204="",$C204&gt;Setup!$B$16),"",IFERROR(INDEX('Fixture Library'!$E$4:$E$83,MATCH(Setup!$B$7&amp;"-"&amp;$C204,'Fixture Library'!$A$4:$A$83,0)),""))</f>
        <v/>
      </c>
      <c r="K204" s="19" t="str">
        <f>IF(OR($B204="",$C204&gt;Setup!$B$16),"",IFERROR(INDEX('Fixture Library'!$F$4:$F$83,MATCH(Setup!$B$7&amp;"-"&amp;$C204,'Fixture Library'!$A$4:$A$83,0)),""))</f>
        <v/>
      </c>
      <c r="L204" s="16">
        <f t="shared" si="32"/>
        <v>0</v>
      </c>
      <c r="M204" s="16">
        <f t="shared" si="33"/>
        <v>0</v>
      </c>
      <c r="N204" s="16">
        <f t="shared" si="34"/>
        <v>0</v>
      </c>
      <c r="O204" s="16">
        <f t="shared" si="35"/>
        <v>0</v>
      </c>
      <c r="P204" s="16">
        <f t="shared" ref="P204:Q227" si="38">IF($I204=1,$H204,0)</f>
        <v>0</v>
      </c>
      <c r="Q204" s="16">
        <f t="shared" si="38"/>
        <v>0</v>
      </c>
      <c r="R204" s="16">
        <f t="shared" si="36"/>
        <v>0</v>
      </c>
    </row>
    <row r="205" spans="1:18">
      <c r="A205" s="16">
        <v>202</v>
      </c>
      <c r="B205" s="16" t="str">
        <f>IF(INT(($A205-1)/28)+1&lt;=Setup!$B$6,INDEX(Setup!$B$22:$B$29,INT(($A205-1)/28)+1),"")</f>
        <v/>
      </c>
      <c r="C205" s="16" t="str">
        <f t="shared" si="31"/>
        <v/>
      </c>
      <c r="D205" s="16" t="str">
        <f>IF(OR($B205="",$C205&gt;Setup!$B$16),"",IFERROR(INDEX('Fixture Library'!$D$4:$D$83,MATCH(Setup!$B$7&amp;"-"&amp;$C205,'Fixture Library'!$A$4:$A$83,0)),""))</f>
        <v/>
      </c>
      <c r="E205" s="17" t="str">
        <f>IF($J205="","",IFERROR(INDEX(Teams!$D$4:$D$67,MATCH($B205&amp;"-"&amp;$J205,Teams!$E$4:$E$67,0)),""))</f>
        <v/>
      </c>
      <c r="F205" s="16" t="str">
        <f>IF(OR($E205="",$G205="",$C205&gt;Setup!$B$16),"",IFERROR(INDEX(Results!$E$5:$E$228,INT(($A205-1)/28)*Setup!$B$16+$C205),""))</f>
        <v/>
      </c>
      <c r="G205" s="17" t="str">
        <f>IF($K205="","",IFERROR(INDEX(Teams!$D$4:$D$67,MATCH($B205&amp;"-"&amp;$K205,Teams!$E$4:$E$67,0)),""))</f>
        <v/>
      </c>
      <c r="H205" s="16" t="str">
        <f>IF(OR($E205="",$G205="",$C205&gt;Setup!$B$16),"",IFERROR(INDEX(Results!$F$5:$F$228,INT(($A205-1)/28)*Setup!$B$16+$C205),""))</f>
        <v/>
      </c>
      <c r="I205" s="18">
        <f t="shared" si="37"/>
        <v>0</v>
      </c>
      <c r="J205" s="19" t="str">
        <f>IF(OR($B205="",$C205&gt;Setup!$B$16),"",IFERROR(INDEX('Fixture Library'!$E$4:$E$83,MATCH(Setup!$B$7&amp;"-"&amp;$C205,'Fixture Library'!$A$4:$A$83,0)),""))</f>
        <v/>
      </c>
      <c r="K205" s="19" t="str">
        <f>IF(OR($B205="",$C205&gt;Setup!$B$16),"",IFERROR(INDEX('Fixture Library'!$F$4:$F$83,MATCH(Setup!$B$7&amp;"-"&amp;$C205,'Fixture Library'!$A$4:$A$83,0)),""))</f>
        <v/>
      </c>
      <c r="L205" s="16">
        <f t="shared" si="32"/>
        <v>0</v>
      </c>
      <c r="M205" s="16">
        <f t="shared" si="33"/>
        <v>0</v>
      </c>
      <c r="N205" s="16">
        <f t="shared" si="34"/>
        <v>0</v>
      </c>
      <c r="O205" s="16">
        <f t="shared" si="35"/>
        <v>0</v>
      </c>
      <c r="P205" s="16">
        <f t="shared" si="38"/>
        <v>0</v>
      </c>
      <c r="Q205" s="16">
        <f t="shared" si="38"/>
        <v>0</v>
      </c>
      <c r="R205" s="16">
        <f t="shared" si="36"/>
        <v>0</v>
      </c>
    </row>
    <row r="206" spans="1:18">
      <c r="A206" s="16">
        <v>203</v>
      </c>
      <c r="B206" s="16" t="str">
        <f>IF(INT(($A206-1)/28)+1&lt;=Setup!$B$6,INDEX(Setup!$B$22:$B$29,INT(($A206-1)/28)+1),"")</f>
        <v/>
      </c>
      <c r="C206" s="16" t="str">
        <f t="shared" si="31"/>
        <v/>
      </c>
      <c r="D206" s="16" t="str">
        <f>IF(OR($B206="",$C206&gt;Setup!$B$16),"",IFERROR(INDEX('Fixture Library'!$D$4:$D$83,MATCH(Setup!$B$7&amp;"-"&amp;$C206,'Fixture Library'!$A$4:$A$83,0)),""))</f>
        <v/>
      </c>
      <c r="E206" s="17" t="str">
        <f>IF($J206="","",IFERROR(INDEX(Teams!$D$4:$D$67,MATCH($B206&amp;"-"&amp;$J206,Teams!$E$4:$E$67,0)),""))</f>
        <v/>
      </c>
      <c r="F206" s="16" t="str">
        <f>IF(OR($E206="",$G206="",$C206&gt;Setup!$B$16),"",IFERROR(INDEX(Results!$E$5:$E$228,INT(($A206-1)/28)*Setup!$B$16+$C206),""))</f>
        <v/>
      </c>
      <c r="G206" s="17" t="str">
        <f>IF($K206="","",IFERROR(INDEX(Teams!$D$4:$D$67,MATCH($B206&amp;"-"&amp;$K206,Teams!$E$4:$E$67,0)),""))</f>
        <v/>
      </c>
      <c r="H206" s="16" t="str">
        <f>IF(OR($E206="",$G206="",$C206&gt;Setup!$B$16),"",IFERROR(INDEX(Results!$F$5:$F$228,INT(($A206-1)/28)*Setup!$B$16+$C206),""))</f>
        <v/>
      </c>
      <c r="I206" s="18">
        <f t="shared" si="37"/>
        <v>0</v>
      </c>
      <c r="J206" s="19" t="str">
        <f>IF(OR($B206="",$C206&gt;Setup!$B$16),"",IFERROR(INDEX('Fixture Library'!$E$4:$E$83,MATCH(Setup!$B$7&amp;"-"&amp;$C206,'Fixture Library'!$A$4:$A$83,0)),""))</f>
        <v/>
      </c>
      <c r="K206" s="19" t="str">
        <f>IF(OR($B206="",$C206&gt;Setup!$B$16),"",IFERROR(INDEX('Fixture Library'!$F$4:$F$83,MATCH(Setup!$B$7&amp;"-"&amp;$C206,'Fixture Library'!$A$4:$A$83,0)),""))</f>
        <v/>
      </c>
      <c r="L206" s="16">
        <f t="shared" si="32"/>
        <v>0</v>
      </c>
      <c r="M206" s="16">
        <f t="shared" si="33"/>
        <v>0</v>
      </c>
      <c r="N206" s="16">
        <f t="shared" si="34"/>
        <v>0</v>
      </c>
      <c r="O206" s="16">
        <f t="shared" si="35"/>
        <v>0</v>
      </c>
      <c r="P206" s="16">
        <f t="shared" si="38"/>
        <v>0</v>
      </c>
      <c r="Q206" s="16">
        <f t="shared" si="38"/>
        <v>0</v>
      </c>
      <c r="R206" s="16">
        <f t="shared" si="36"/>
        <v>0</v>
      </c>
    </row>
    <row r="207" spans="1:18">
      <c r="A207" s="16">
        <v>204</v>
      </c>
      <c r="B207" s="16" t="str">
        <f>IF(INT(($A207-1)/28)+1&lt;=Setup!$B$6,INDEX(Setup!$B$22:$B$29,INT(($A207-1)/28)+1),"")</f>
        <v/>
      </c>
      <c r="C207" s="16" t="str">
        <f t="shared" si="31"/>
        <v/>
      </c>
      <c r="D207" s="16" t="str">
        <f>IF(OR($B207="",$C207&gt;Setup!$B$16),"",IFERROR(INDEX('Fixture Library'!$D$4:$D$83,MATCH(Setup!$B$7&amp;"-"&amp;$C207,'Fixture Library'!$A$4:$A$83,0)),""))</f>
        <v/>
      </c>
      <c r="E207" s="17" t="str">
        <f>IF($J207="","",IFERROR(INDEX(Teams!$D$4:$D$67,MATCH($B207&amp;"-"&amp;$J207,Teams!$E$4:$E$67,0)),""))</f>
        <v/>
      </c>
      <c r="F207" s="16" t="str">
        <f>IF(OR($E207="",$G207="",$C207&gt;Setup!$B$16),"",IFERROR(INDEX(Results!$E$5:$E$228,INT(($A207-1)/28)*Setup!$B$16+$C207),""))</f>
        <v/>
      </c>
      <c r="G207" s="17" t="str">
        <f>IF($K207="","",IFERROR(INDEX(Teams!$D$4:$D$67,MATCH($B207&amp;"-"&amp;$K207,Teams!$E$4:$E$67,0)),""))</f>
        <v/>
      </c>
      <c r="H207" s="16" t="str">
        <f>IF(OR($E207="",$G207="",$C207&gt;Setup!$B$16),"",IFERROR(INDEX(Results!$F$5:$F$228,INT(($A207-1)/28)*Setup!$B$16+$C207),""))</f>
        <v/>
      </c>
      <c r="I207" s="18">
        <f t="shared" si="37"/>
        <v>0</v>
      </c>
      <c r="J207" s="19" t="str">
        <f>IF(OR($B207="",$C207&gt;Setup!$B$16),"",IFERROR(INDEX('Fixture Library'!$E$4:$E$83,MATCH(Setup!$B$7&amp;"-"&amp;$C207,'Fixture Library'!$A$4:$A$83,0)),""))</f>
        <v/>
      </c>
      <c r="K207" s="19" t="str">
        <f>IF(OR($B207="",$C207&gt;Setup!$B$16),"",IFERROR(INDEX('Fixture Library'!$F$4:$F$83,MATCH(Setup!$B$7&amp;"-"&amp;$C207,'Fixture Library'!$A$4:$A$83,0)),""))</f>
        <v/>
      </c>
      <c r="L207" s="16">
        <f t="shared" si="32"/>
        <v>0</v>
      </c>
      <c r="M207" s="16">
        <f t="shared" si="33"/>
        <v>0</v>
      </c>
      <c r="N207" s="16">
        <f t="shared" si="34"/>
        <v>0</v>
      </c>
      <c r="O207" s="16">
        <f t="shared" si="35"/>
        <v>0</v>
      </c>
      <c r="P207" s="16">
        <f t="shared" si="38"/>
        <v>0</v>
      </c>
      <c r="Q207" s="16">
        <f t="shared" si="38"/>
        <v>0</v>
      </c>
      <c r="R207" s="16">
        <f t="shared" si="36"/>
        <v>0</v>
      </c>
    </row>
    <row r="208" spans="1:18">
      <c r="A208" s="16">
        <v>205</v>
      </c>
      <c r="B208" s="16" t="str">
        <f>IF(INT(($A208-1)/28)+1&lt;=Setup!$B$6,INDEX(Setup!$B$22:$B$29,INT(($A208-1)/28)+1),"")</f>
        <v/>
      </c>
      <c r="C208" s="16" t="str">
        <f t="shared" si="31"/>
        <v/>
      </c>
      <c r="D208" s="16" t="str">
        <f>IF(OR($B208="",$C208&gt;Setup!$B$16),"",IFERROR(INDEX('Fixture Library'!$D$4:$D$83,MATCH(Setup!$B$7&amp;"-"&amp;$C208,'Fixture Library'!$A$4:$A$83,0)),""))</f>
        <v/>
      </c>
      <c r="E208" s="17" t="str">
        <f>IF($J208="","",IFERROR(INDEX(Teams!$D$4:$D$67,MATCH($B208&amp;"-"&amp;$J208,Teams!$E$4:$E$67,0)),""))</f>
        <v/>
      </c>
      <c r="F208" s="16" t="str">
        <f>IF(OR($E208="",$G208="",$C208&gt;Setup!$B$16),"",IFERROR(INDEX(Results!$E$5:$E$228,INT(($A208-1)/28)*Setup!$B$16+$C208),""))</f>
        <v/>
      </c>
      <c r="G208" s="17" t="str">
        <f>IF($K208="","",IFERROR(INDEX(Teams!$D$4:$D$67,MATCH($B208&amp;"-"&amp;$K208,Teams!$E$4:$E$67,0)),""))</f>
        <v/>
      </c>
      <c r="H208" s="16" t="str">
        <f>IF(OR($E208="",$G208="",$C208&gt;Setup!$B$16),"",IFERROR(INDEX(Results!$F$5:$F$228,INT(($A208-1)/28)*Setup!$B$16+$C208),""))</f>
        <v/>
      </c>
      <c r="I208" s="18">
        <f t="shared" si="37"/>
        <v>0</v>
      </c>
      <c r="J208" s="19" t="str">
        <f>IF(OR($B208="",$C208&gt;Setup!$B$16),"",IFERROR(INDEX('Fixture Library'!$E$4:$E$83,MATCH(Setup!$B$7&amp;"-"&amp;$C208,'Fixture Library'!$A$4:$A$83,0)),""))</f>
        <v/>
      </c>
      <c r="K208" s="19" t="str">
        <f>IF(OR($B208="",$C208&gt;Setup!$B$16),"",IFERROR(INDEX('Fixture Library'!$F$4:$F$83,MATCH(Setup!$B$7&amp;"-"&amp;$C208,'Fixture Library'!$A$4:$A$83,0)),""))</f>
        <v/>
      </c>
      <c r="L208" s="16">
        <f t="shared" si="32"/>
        <v>0</v>
      </c>
      <c r="M208" s="16">
        <f t="shared" si="33"/>
        <v>0</v>
      </c>
      <c r="N208" s="16">
        <f t="shared" si="34"/>
        <v>0</v>
      </c>
      <c r="O208" s="16">
        <f t="shared" si="35"/>
        <v>0</v>
      </c>
      <c r="P208" s="16">
        <f t="shared" si="38"/>
        <v>0</v>
      </c>
      <c r="Q208" s="16">
        <f t="shared" si="38"/>
        <v>0</v>
      </c>
      <c r="R208" s="16">
        <f t="shared" si="36"/>
        <v>0</v>
      </c>
    </row>
    <row r="209" spans="1:18">
      <c r="A209" s="16">
        <v>206</v>
      </c>
      <c r="B209" s="16" t="str">
        <f>IF(INT(($A209-1)/28)+1&lt;=Setup!$B$6,INDEX(Setup!$B$22:$B$29,INT(($A209-1)/28)+1),"")</f>
        <v/>
      </c>
      <c r="C209" s="16" t="str">
        <f t="shared" si="31"/>
        <v/>
      </c>
      <c r="D209" s="16" t="str">
        <f>IF(OR($B209="",$C209&gt;Setup!$B$16),"",IFERROR(INDEX('Fixture Library'!$D$4:$D$83,MATCH(Setup!$B$7&amp;"-"&amp;$C209,'Fixture Library'!$A$4:$A$83,0)),""))</f>
        <v/>
      </c>
      <c r="E209" s="17" t="str">
        <f>IF($J209="","",IFERROR(INDEX(Teams!$D$4:$D$67,MATCH($B209&amp;"-"&amp;$J209,Teams!$E$4:$E$67,0)),""))</f>
        <v/>
      </c>
      <c r="F209" s="16" t="str">
        <f>IF(OR($E209="",$G209="",$C209&gt;Setup!$B$16),"",IFERROR(INDEX(Results!$E$5:$E$228,INT(($A209-1)/28)*Setup!$B$16+$C209),""))</f>
        <v/>
      </c>
      <c r="G209" s="17" t="str">
        <f>IF($K209="","",IFERROR(INDEX(Teams!$D$4:$D$67,MATCH($B209&amp;"-"&amp;$K209,Teams!$E$4:$E$67,0)),""))</f>
        <v/>
      </c>
      <c r="H209" s="16" t="str">
        <f>IF(OR($E209="",$G209="",$C209&gt;Setup!$B$16),"",IFERROR(INDEX(Results!$F$5:$F$228,INT(($A209-1)/28)*Setup!$B$16+$C209),""))</f>
        <v/>
      </c>
      <c r="I209" s="18">
        <f t="shared" si="37"/>
        <v>0</v>
      </c>
      <c r="J209" s="19" t="str">
        <f>IF(OR($B209="",$C209&gt;Setup!$B$16),"",IFERROR(INDEX('Fixture Library'!$E$4:$E$83,MATCH(Setup!$B$7&amp;"-"&amp;$C209,'Fixture Library'!$A$4:$A$83,0)),""))</f>
        <v/>
      </c>
      <c r="K209" s="19" t="str">
        <f>IF(OR($B209="",$C209&gt;Setup!$B$16),"",IFERROR(INDEX('Fixture Library'!$F$4:$F$83,MATCH(Setup!$B$7&amp;"-"&amp;$C209,'Fixture Library'!$A$4:$A$83,0)),""))</f>
        <v/>
      </c>
      <c r="L209" s="16">
        <f t="shared" si="32"/>
        <v>0</v>
      </c>
      <c r="M209" s="16">
        <f t="shared" si="33"/>
        <v>0</v>
      </c>
      <c r="N209" s="16">
        <f t="shared" si="34"/>
        <v>0</v>
      </c>
      <c r="O209" s="16">
        <f t="shared" si="35"/>
        <v>0</v>
      </c>
      <c r="P209" s="16">
        <f t="shared" si="38"/>
        <v>0</v>
      </c>
      <c r="Q209" s="16">
        <f t="shared" si="38"/>
        <v>0</v>
      </c>
      <c r="R209" s="16">
        <f t="shared" si="36"/>
        <v>0</v>
      </c>
    </row>
    <row r="210" spans="1:18">
      <c r="A210" s="16">
        <v>207</v>
      </c>
      <c r="B210" s="16" t="str">
        <f>IF(INT(($A210-1)/28)+1&lt;=Setup!$B$6,INDEX(Setup!$B$22:$B$29,INT(($A210-1)/28)+1),"")</f>
        <v/>
      </c>
      <c r="C210" s="16" t="str">
        <f t="shared" si="31"/>
        <v/>
      </c>
      <c r="D210" s="16" t="str">
        <f>IF(OR($B210="",$C210&gt;Setup!$B$16),"",IFERROR(INDEX('Fixture Library'!$D$4:$D$83,MATCH(Setup!$B$7&amp;"-"&amp;$C210,'Fixture Library'!$A$4:$A$83,0)),""))</f>
        <v/>
      </c>
      <c r="E210" s="17" t="str">
        <f>IF($J210="","",IFERROR(INDEX(Teams!$D$4:$D$67,MATCH($B210&amp;"-"&amp;$J210,Teams!$E$4:$E$67,0)),""))</f>
        <v/>
      </c>
      <c r="F210" s="16" t="str">
        <f>IF(OR($E210="",$G210="",$C210&gt;Setup!$B$16),"",IFERROR(INDEX(Results!$E$5:$E$228,INT(($A210-1)/28)*Setup!$B$16+$C210),""))</f>
        <v/>
      </c>
      <c r="G210" s="17" t="str">
        <f>IF($K210="","",IFERROR(INDEX(Teams!$D$4:$D$67,MATCH($B210&amp;"-"&amp;$K210,Teams!$E$4:$E$67,0)),""))</f>
        <v/>
      </c>
      <c r="H210" s="16" t="str">
        <f>IF(OR($E210="",$G210="",$C210&gt;Setup!$B$16),"",IFERROR(INDEX(Results!$F$5:$F$228,INT(($A210-1)/28)*Setup!$B$16+$C210),""))</f>
        <v/>
      </c>
      <c r="I210" s="18">
        <f t="shared" si="37"/>
        <v>0</v>
      </c>
      <c r="J210" s="19" t="str">
        <f>IF(OR($B210="",$C210&gt;Setup!$B$16),"",IFERROR(INDEX('Fixture Library'!$E$4:$E$83,MATCH(Setup!$B$7&amp;"-"&amp;$C210,'Fixture Library'!$A$4:$A$83,0)),""))</f>
        <v/>
      </c>
      <c r="K210" s="19" t="str">
        <f>IF(OR($B210="",$C210&gt;Setup!$B$16),"",IFERROR(INDEX('Fixture Library'!$F$4:$F$83,MATCH(Setup!$B$7&amp;"-"&amp;$C210,'Fixture Library'!$A$4:$A$83,0)),""))</f>
        <v/>
      </c>
      <c r="L210" s="16">
        <f t="shared" si="32"/>
        <v>0</v>
      </c>
      <c r="M210" s="16">
        <f t="shared" si="33"/>
        <v>0</v>
      </c>
      <c r="N210" s="16">
        <f t="shared" si="34"/>
        <v>0</v>
      </c>
      <c r="O210" s="16">
        <f t="shared" si="35"/>
        <v>0</v>
      </c>
      <c r="P210" s="16">
        <f t="shared" si="38"/>
        <v>0</v>
      </c>
      <c r="Q210" s="16">
        <f t="shared" si="38"/>
        <v>0</v>
      </c>
      <c r="R210" s="16">
        <f t="shared" si="36"/>
        <v>0</v>
      </c>
    </row>
    <row r="211" spans="1:18">
      <c r="A211" s="16">
        <v>208</v>
      </c>
      <c r="B211" s="16" t="str">
        <f>IF(INT(($A211-1)/28)+1&lt;=Setup!$B$6,INDEX(Setup!$B$22:$B$29,INT(($A211-1)/28)+1),"")</f>
        <v/>
      </c>
      <c r="C211" s="16" t="str">
        <f t="shared" si="31"/>
        <v/>
      </c>
      <c r="D211" s="16" t="str">
        <f>IF(OR($B211="",$C211&gt;Setup!$B$16),"",IFERROR(INDEX('Fixture Library'!$D$4:$D$83,MATCH(Setup!$B$7&amp;"-"&amp;$C211,'Fixture Library'!$A$4:$A$83,0)),""))</f>
        <v/>
      </c>
      <c r="E211" s="17" t="str">
        <f>IF($J211="","",IFERROR(INDEX(Teams!$D$4:$D$67,MATCH($B211&amp;"-"&amp;$J211,Teams!$E$4:$E$67,0)),""))</f>
        <v/>
      </c>
      <c r="F211" s="16" t="str">
        <f>IF(OR($E211="",$G211="",$C211&gt;Setup!$B$16),"",IFERROR(INDEX(Results!$E$5:$E$228,INT(($A211-1)/28)*Setup!$B$16+$C211),""))</f>
        <v/>
      </c>
      <c r="G211" s="17" t="str">
        <f>IF($K211="","",IFERROR(INDEX(Teams!$D$4:$D$67,MATCH($B211&amp;"-"&amp;$K211,Teams!$E$4:$E$67,0)),""))</f>
        <v/>
      </c>
      <c r="H211" s="16" t="str">
        <f>IF(OR($E211="",$G211="",$C211&gt;Setup!$B$16),"",IFERROR(INDEX(Results!$F$5:$F$228,INT(($A211-1)/28)*Setup!$B$16+$C211),""))</f>
        <v/>
      </c>
      <c r="I211" s="18">
        <f t="shared" si="37"/>
        <v>0</v>
      </c>
      <c r="J211" s="19" t="str">
        <f>IF(OR($B211="",$C211&gt;Setup!$B$16),"",IFERROR(INDEX('Fixture Library'!$E$4:$E$83,MATCH(Setup!$B$7&amp;"-"&amp;$C211,'Fixture Library'!$A$4:$A$83,0)),""))</f>
        <v/>
      </c>
      <c r="K211" s="19" t="str">
        <f>IF(OR($B211="",$C211&gt;Setup!$B$16),"",IFERROR(INDEX('Fixture Library'!$F$4:$F$83,MATCH(Setup!$B$7&amp;"-"&amp;$C211,'Fixture Library'!$A$4:$A$83,0)),""))</f>
        <v/>
      </c>
      <c r="L211" s="16">
        <f t="shared" si="32"/>
        <v>0</v>
      </c>
      <c r="M211" s="16">
        <f t="shared" si="33"/>
        <v>0</v>
      </c>
      <c r="N211" s="16">
        <f t="shared" si="34"/>
        <v>0</v>
      </c>
      <c r="O211" s="16">
        <f t="shared" si="35"/>
        <v>0</v>
      </c>
      <c r="P211" s="16">
        <f t="shared" si="38"/>
        <v>0</v>
      </c>
      <c r="Q211" s="16">
        <f t="shared" si="38"/>
        <v>0</v>
      </c>
      <c r="R211" s="16">
        <f t="shared" si="36"/>
        <v>0</v>
      </c>
    </row>
    <row r="212" spans="1:18">
      <c r="A212" s="16">
        <v>209</v>
      </c>
      <c r="B212" s="16" t="str">
        <f>IF(INT(($A212-1)/28)+1&lt;=Setup!$B$6,INDEX(Setup!$B$22:$B$29,INT(($A212-1)/28)+1),"")</f>
        <v/>
      </c>
      <c r="C212" s="16" t="str">
        <f t="shared" si="31"/>
        <v/>
      </c>
      <c r="D212" s="16" t="str">
        <f>IF(OR($B212="",$C212&gt;Setup!$B$16),"",IFERROR(INDEX('Fixture Library'!$D$4:$D$83,MATCH(Setup!$B$7&amp;"-"&amp;$C212,'Fixture Library'!$A$4:$A$83,0)),""))</f>
        <v/>
      </c>
      <c r="E212" s="17" t="str">
        <f>IF($J212="","",IFERROR(INDEX(Teams!$D$4:$D$67,MATCH($B212&amp;"-"&amp;$J212,Teams!$E$4:$E$67,0)),""))</f>
        <v/>
      </c>
      <c r="F212" s="16" t="str">
        <f>IF(OR($E212="",$G212="",$C212&gt;Setup!$B$16),"",IFERROR(INDEX(Results!$E$5:$E$228,INT(($A212-1)/28)*Setup!$B$16+$C212),""))</f>
        <v/>
      </c>
      <c r="G212" s="17" t="str">
        <f>IF($K212="","",IFERROR(INDEX(Teams!$D$4:$D$67,MATCH($B212&amp;"-"&amp;$K212,Teams!$E$4:$E$67,0)),""))</f>
        <v/>
      </c>
      <c r="H212" s="16" t="str">
        <f>IF(OR($E212="",$G212="",$C212&gt;Setup!$B$16),"",IFERROR(INDEX(Results!$F$5:$F$228,INT(($A212-1)/28)*Setup!$B$16+$C212),""))</f>
        <v/>
      </c>
      <c r="I212" s="18">
        <f t="shared" si="37"/>
        <v>0</v>
      </c>
      <c r="J212" s="19" t="str">
        <f>IF(OR($B212="",$C212&gt;Setup!$B$16),"",IFERROR(INDEX('Fixture Library'!$E$4:$E$83,MATCH(Setup!$B$7&amp;"-"&amp;$C212,'Fixture Library'!$A$4:$A$83,0)),""))</f>
        <v/>
      </c>
      <c r="K212" s="19" t="str">
        <f>IF(OR($B212="",$C212&gt;Setup!$B$16),"",IFERROR(INDEX('Fixture Library'!$F$4:$F$83,MATCH(Setup!$B$7&amp;"-"&amp;$C212,'Fixture Library'!$A$4:$A$83,0)),""))</f>
        <v/>
      </c>
      <c r="L212" s="16">
        <f t="shared" si="32"/>
        <v>0</v>
      </c>
      <c r="M212" s="16">
        <f t="shared" si="33"/>
        <v>0</v>
      </c>
      <c r="N212" s="16">
        <f t="shared" si="34"/>
        <v>0</v>
      </c>
      <c r="O212" s="16">
        <f t="shared" si="35"/>
        <v>0</v>
      </c>
      <c r="P212" s="16">
        <f t="shared" si="38"/>
        <v>0</v>
      </c>
      <c r="Q212" s="16">
        <f t="shared" si="38"/>
        <v>0</v>
      </c>
      <c r="R212" s="16">
        <f t="shared" si="36"/>
        <v>0</v>
      </c>
    </row>
    <row r="213" spans="1:18">
      <c r="A213" s="16">
        <v>210</v>
      </c>
      <c r="B213" s="16" t="str">
        <f>IF(INT(($A213-1)/28)+1&lt;=Setup!$B$6,INDEX(Setup!$B$22:$B$29,INT(($A213-1)/28)+1),"")</f>
        <v/>
      </c>
      <c r="C213" s="16" t="str">
        <f t="shared" si="31"/>
        <v/>
      </c>
      <c r="D213" s="16" t="str">
        <f>IF(OR($B213="",$C213&gt;Setup!$B$16),"",IFERROR(INDEX('Fixture Library'!$D$4:$D$83,MATCH(Setup!$B$7&amp;"-"&amp;$C213,'Fixture Library'!$A$4:$A$83,0)),""))</f>
        <v/>
      </c>
      <c r="E213" s="17" t="str">
        <f>IF($J213="","",IFERROR(INDEX(Teams!$D$4:$D$67,MATCH($B213&amp;"-"&amp;$J213,Teams!$E$4:$E$67,0)),""))</f>
        <v/>
      </c>
      <c r="F213" s="16" t="str">
        <f>IF(OR($E213="",$G213="",$C213&gt;Setup!$B$16),"",IFERROR(INDEX(Results!$E$5:$E$228,INT(($A213-1)/28)*Setup!$B$16+$C213),""))</f>
        <v/>
      </c>
      <c r="G213" s="17" t="str">
        <f>IF($K213="","",IFERROR(INDEX(Teams!$D$4:$D$67,MATCH($B213&amp;"-"&amp;$K213,Teams!$E$4:$E$67,0)),""))</f>
        <v/>
      </c>
      <c r="H213" s="16" t="str">
        <f>IF(OR($E213="",$G213="",$C213&gt;Setup!$B$16),"",IFERROR(INDEX(Results!$F$5:$F$228,INT(($A213-1)/28)*Setup!$B$16+$C213),""))</f>
        <v/>
      </c>
      <c r="I213" s="18">
        <f t="shared" si="37"/>
        <v>0</v>
      </c>
      <c r="J213" s="19" t="str">
        <f>IF(OR($B213="",$C213&gt;Setup!$B$16),"",IFERROR(INDEX('Fixture Library'!$E$4:$E$83,MATCH(Setup!$B$7&amp;"-"&amp;$C213,'Fixture Library'!$A$4:$A$83,0)),""))</f>
        <v/>
      </c>
      <c r="K213" s="19" t="str">
        <f>IF(OR($B213="",$C213&gt;Setup!$B$16),"",IFERROR(INDEX('Fixture Library'!$F$4:$F$83,MATCH(Setup!$B$7&amp;"-"&amp;$C213,'Fixture Library'!$A$4:$A$83,0)),""))</f>
        <v/>
      </c>
      <c r="L213" s="16">
        <f t="shared" si="32"/>
        <v>0</v>
      </c>
      <c r="M213" s="16">
        <f t="shared" si="33"/>
        <v>0</v>
      </c>
      <c r="N213" s="16">
        <f t="shared" si="34"/>
        <v>0</v>
      </c>
      <c r="O213" s="16">
        <f t="shared" si="35"/>
        <v>0</v>
      </c>
      <c r="P213" s="16">
        <f t="shared" si="38"/>
        <v>0</v>
      </c>
      <c r="Q213" s="16">
        <f t="shared" si="38"/>
        <v>0</v>
      </c>
      <c r="R213" s="16">
        <f t="shared" si="36"/>
        <v>0</v>
      </c>
    </row>
    <row r="214" spans="1:18">
      <c r="A214" s="16">
        <v>211</v>
      </c>
      <c r="B214" s="16" t="str">
        <f>IF(INT(($A214-1)/28)+1&lt;=Setup!$B$6,INDEX(Setup!$B$22:$B$29,INT(($A214-1)/28)+1),"")</f>
        <v/>
      </c>
      <c r="C214" s="16" t="str">
        <f t="shared" si="31"/>
        <v/>
      </c>
      <c r="D214" s="16" t="str">
        <f>IF(OR($B214="",$C214&gt;Setup!$B$16),"",IFERROR(INDEX('Fixture Library'!$D$4:$D$83,MATCH(Setup!$B$7&amp;"-"&amp;$C214,'Fixture Library'!$A$4:$A$83,0)),""))</f>
        <v/>
      </c>
      <c r="E214" s="17" t="str">
        <f>IF($J214="","",IFERROR(INDEX(Teams!$D$4:$D$67,MATCH($B214&amp;"-"&amp;$J214,Teams!$E$4:$E$67,0)),""))</f>
        <v/>
      </c>
      <c r="F214" s="16" t="str">
        <f>IF(OR($E214="",$G214="",$C214&gt;Setup!$B$16),"",IFERROR(INDEX(Results!$E$5:$E$228,INT(($A214-1)/28)*Setup!$B$16+$C214),""))</f>
        <v/>
      </c>
      <c r="G214" s="17" t="str">
        <f>IF($K214="","",IFERROR(INDEX(Teams!$D$4:$D$67,MATCH($B214&amp;"-"&amp;$K214,Teams!$E$4:$E$67,0)),""))</f>
        <v/>
      </c>
      <c r="H214" s="16" t="str">
        <f>IF(OR($E214="",$G214="",$C214&gt;Setup!$B$16),"",IFERROR(INDEX(Results!$F$5:$F$228,INT(($A214-1)/28)*Setup!$B$16+$C214),""))</f>
        <v/>
      </c>
      <c r="I214" s="18">
        <f t="shared" si="37"/>
        <v>0</v>
      </c>
      <c r="J214" s="19" t="str">
        <f>IF(OR($B214="",$C214&gt;Setup!$B$16),"",IFERROR(INDEX('Fixture Library'!$E$4:$E$83,MATCH(Setup!$B$7&amp;"-"&amp;$C214,'Fixture Library'!$A$4:$A$83,0)),""))</f>
        <v/>
      </c>
      <c r="K214" s="19" t="str">
        <f>IF(OR($B214="",$C214&gt;Setup!$B$16),"",IFERROR(INDEX('Fixture Library'!$F$4:$F$83,MATCH(Setup!$B$7&amp;"-"&amp;$C214,'Fixture Library'!$A$4:$A$83,0)),""))</f>
        <v/>
      </c>
      <c r="L214" s="16">
        <f t="shared" si="32"/>
        <v>0</v>
      </c>
      <c r="M214" s="16">
        <f t="shared" si="33"/>
        <v>0</v>
      </c>
      <c r="N214" s="16">
        <f t="shared" si="34"/>
        <v>0</v>
      </c>
      <c r="O214" s="16">
        <f t="shared" si="35"/>
        <v>0</v>
      </c>
      <c r="P214" s="16">
        <f t="shared" si="38"/>
        <v>0</v>
      </c>
      <c r="Q214" s="16">
        <f t="shared" si="38"/>
        <v>0</v>
      </c>
      <c r="R214" s="16">
        <f t="shared" si="36"/>
        <v>0</v>
      </c>
    </row>
    <row r="215" spans="1:18">
      <c r="A215" s="16">
        <v>212</v>
      </c>
      <c r="B215" s="16" t="str">
        <f>IF(INT(($A215-1)/28)+1&lt;=Setup!$B$6,INDEX(Setup!$B$22:$B$29,INT(($A215-1)/28)+1),"")</f>
        <v/>
      </c>
      <c r="C215" s="16" t="str">
        <f t="shared" si="31"/>
        <v/>
      </c>
      <c r="D215" s="16" t="str">
        <f>IF(OR($B215="",$C215&gt;Setup!$B$16),"",IFERROR(INDEX('Fixture Library'!$D$4:$D$83,MATCH(Setup!$B$7&amp;"-"&amp;$C215,'Fixture Library'!$A$4:$A$83,0)),""))</f>
        <v/>
      </c>
      <c r="E215" s="17" t="str">
        <f>IF($J215="","",IFERROR(INDEX(Teams!$D$4:$D$67,MATCH($B215&amp;"-"&amp;$J215,Teams!$E$4:$E$67,0)),""))</f>
        <v/>
      </c>
      <c r="F215" s="16" t="str">
        <f>IF(OR($E215="",$G215="",$C215&gt;Setup!$B$16),"",IFERROR(INDEX(Results!$E$5:$E$228,INT(($A215-1)/28)*Setup!$B$16+$C215),""))</f>
        <v/>
      </c>
      <c r="G215" s="17" t="str">
        <f>IF($K215="","",IFERROR(INDEX(Teams!$D$4:$D$67,MATCH($B215&amp;"-"&amp;$K215,Teams!$E$4:$E$67,0)),""))</f>
        <v/>
      </c>
      <c r="H215" s="16" t="str">
        <f>IF(OR($E215="",$G215="",$C215&gt;Setup!$B$16),"",IFERROR(INDEX(Results!$F$5:$F$228,INT(($A215-1)/28)*Setup!$B$16+$C215),""))</f>
        <v/>
      </c>
      <c r="I215" s="18">
        <f t="shared" si="37"/>
        <v>0</v>
      </c>
      <c r="J215" s="19" t="str">
        <f>IF(OR($B215="",$C215&gt;Setup!$B$16),"",IFERROR(INDEX('Fixture Library'!$E$4:$E$83,MATCH(Setup!$B$7&amp;"-"&amp;$C215,'Fixture Library'!$A$4:$A$83,0)),""))</f>
        <v/>
      </c>
      <c r="K215" s="19" t="str">
        <f>IF(OR($B215="",$C215&gt;Setup!$B$16),"",IFERROR(INDEX('Fixture Library'!$F$4:$F$83,MATCH(Setup!$B$7&amp;"-"&amp;$C215,'Fixture Library'!$A$4:$A$83,0)),""))</f>
        <v/>
      </c>
      <c r="L215" s="16">
        <f t="shared" si="32"/>
        <v>0</v>
      </c>
      <c r="M215" s="16">
        <f t="shared" si="33"/>
        <v>0</v>
      </c>
      <c r="N215" s="16">
        <f t="shared" si="34"/>
        <v>0</v>
      </c>
      <c r="O215" s="16">
        <f t="shared" si="35"/>
        <v>0</v>
      </c>
      <c r="P215" s="16">
        <f t="shared" si="38"/>
        <v>0</v>
      </c>
      <c r="Q215" s="16">
        <f t="shared" si="38"/>
        <v>0</v>
      </c>
      <c r="R215" s="16">
        <f t="shared" si="36"/>
        <v>0</v>
      </c>
    </row>
    <row r="216" spans="1:18">
      <c r="A216" s="16">
        <v>213</v>
      </c>
      <c r="B216" s="16" t="str">
        <f>IF(INT(($A216-1)/28)+1&lt;=Setup!$B$6,INDEX(Setup!$B$22:$B$29,INT(($A216-1)/28)+1),"")</f>
        <v/>
      </c>
      <c r="C216" s="16" t="str">
        <f t="shared" si="31"/>
        <v/>
      </c>
      <c r="D216" s="16" t="str">
        <f>IF(OR($B216="",$C216&gt;Setup!$B$16),"",IFERROR(INDEX('Fixture Library'!$D$4:$D$83,MATCH(Setup!$B$7&amp;"-"&amp;$C216,'Fixture Library'!$A$4:$A$83,0)),""))</f>
        <v/>
      </c>
      <c r="E216" s="17" t="str">
        <f>IF($J216="","",IFERROR(INDEX(Teams!$D$4:$D$67,MATCH($B216&amp;"-"&amp;$J216,Teams!$E$4:$E$67,0)),""))</f>
        <v/>
      </c>
      <c r="F216" s="16" t="str">
        <f>IF(OR($E216="",$G216="",$C216&gt;Setup!$B$16),"",IFERROR(INDEX(Results!$E$5:$E$228,INT(($A216-1)/28)*Setup!$B$16+$C216),""))</f>
        <v/>
      </c>
      <c r="G216" s="17" t="str">
        <f>IF($K216="","",IFERROR(INDEX(Teams!$D$4:$D$67,MATCH($B216&amp;"-"&amp;$K216,Teams!$E$4:$E$67,0)),""))</f>
        <v/>
      </c>
      <c r="H216" s="16" t="str">
        <f>IF(OR($E216="",$G216="",$C216&gt;Setup!$B$16),"",IFERROR(INDEX(Results!$F$5:$F$228,INT(($A216-1)/28)*Setup!$B$16+$C216),""))</f>
        <v/>
      </c>
      <c r="I216" s="18">
        <f t="shared" si="37"/>
        <v>0</v>
      </c>
      <c r="J216" s="19" t="str">
        <f>IF(OR($B216="",$C216&gt;Setup!$B$16),"",IFERROR(INDEX('Fixture Library'!$E$4:$E$83,MATCH(Setup!$B$7&amp;"-"&amp;$C216,'Fixture Library'!$A$4:$A$83,0)),""))</f>
        <v/>
      </c>
      <c r="K216" s="19" t="str">
        <f>IF(OR($B216="",$C216&gt;Setup!$B$16),"",IFERROR(INDEX('Fixture Library'!$F$4:$F$83,MATCH(Setup!$B$7&amp;"-"&amp;$C216,'Fixture Library'!$A$4:$A$83,0)),""))</f>
        <v/>
      </c>
      <c r="L216" s="16">
        <f t="shared" si="32"/>
        <v>0</v>
      </c>
      <c r="M216" s="16">
        <f t="shared" si="33"/>
        <v>0</v>
      </c>
      <c r="N216" s="16">
        <f t="shared" si="34"/>
        <v>0</v>
      </c>
      <c r="O216" s="16">
        <f t="shared" si="35"/>
        <v>0</v>
      </c>
      <c r="P216" s="16">
        <f t="shared" si="38"/>
        <v>0</v>
      </c>
      <c r="Q216" s="16">
        <f t="shared" si="38"/>
        <v>0</v>
      </c>
      <c r="R216" s="16">
        <f t="shared" si="36"/>
        <v>0</v>
      </c>
    </row>
    <row r="217" spans="1:18">
      <c r="A217" s="16">
        <v>214</v>
      </c>
      <c r="B217" s="16" t="str">
        <f>IF(INT(($A217-1)/28)+1&lt;=Setup!$B$6,INDEX(Setup!$B$22:$B$29,INT(($A217-1)/28)+1),"")</f>
        <v/>
      </c>
      <c r="C217" s="16" t="str">
        <f t="shared" si="31"/>
        <v/>
      </c>
      <c r="D217" s="16" t="str">
        <f>IF(OR($B217="",$C217&gt;Setup!$B$16),"",IFERROR(INDEX('Fixture Library'!$D$4:$D$83,MATCH(Setup!$B$7&amp;"-"&amp;$C217,'Fixture Library'!$A$4:$A$83,0)),""))</f>
        <v/>
      </c>
      <c r="E217" s="17" t="str">
        <f>IF($J217="","",IFERROR(INDEX(Teams!$D$4:$D$67,MATCH($B217&amp;"-"&amp;$J217,Teams!$E$4:$E$67,0)),""))</f>
        <v/>
      </c>
      <c r="F217" s="16" t="str">
        <f>IF(OR($E217="",$G217="",$C217&gt;Setup!$B$16),"",IFERROR(INDEX(Results!$E$5:$E$228,INT(($A217-1)/28)*Setup!$B$16+$C217),""))</f>
        <v/>
      </c>
      <c r="G217" s="17" t="str">
        <f>IF($K217="","",IFERROR(INDEX(Teams!$D$4:$D$67,MATCH($B217&amp;"-"&amp;$K217,Teams!$E$4:$E$67,0)),""))</f>
        <v/>
      </c>
      <c r="H217" s="16" t="str">
        <f>IF(OR($E217="",$G217="",$C217&gt;Setup!$B$16),"",IFERROR(INDEX(Results!$F$5:$F$228,INT(($A217-1)/28)*Setup!$B$16+$C217),""))</f>
        <v/>
      </c>
      <c r="I217" s="18">
        <f t="shared" si="37"/>
        <v>0</v>
      </c>
      <c r="J217" s="19" t="str">
        <f>IF(OR($B217="",$C217&gt;Setup!$B$16),"",IFERROR(INDEX('Fixture Library'!$E$4:$E$83,MATCH(Setup!$B$7&amp;"-"&amp;$C217,'Fixture Library'!$A$4:$A$83,0)),""))</f>
        <v/>
      </c>
      <c r="K217" s="19" t="str">
        <f>IF(OR($B217="",$C217&gt;Setup!$B$16),"",IFERROR(INDEX('Fixture Library'!$F$4:$F$83,MATCH(Setup!$B$7&amp;"-"&amp;$C217,'Fixture Library'!$A$4:$A$83,0)),""))</f>
        <v/>
      </c>
      <c r="L217" s="16">
        <f t="shared" si="32"/>
        <v>0</v>
      </c>
      <c r="M217" s="16">
        <f t="shared" si="33"/>
        <v>0</v>
      </c>
      <c r="N217" s="16">
        <f t="shared" si="34"/>
        <v>0</v>
      </c>
      <c r="O217" s="16">
        <f t="shared" si="35"/>
        <v>0</v>
      </c>
      <c r="P217" s="16">
        <f t="shared" si="38"/>
        <v>0</v>
      </c>
      <c r="Q217" s="16">
        <f t="shared" si="38"/>
        <v>0</v>
      </c>
      <c r="R217" s="16">
        <f t="shared" si="36"/>
        <v>0</v>
      </c>
    </row>
    <row r="218" spans="1:18">
      <c r="A218" s="16">
        <v>215</v>
      </c>
      <c r="B218" s="16" t="str">
        <f>IF(INT(($A218-1)/28)+1&lt;=Setup!$B$6,INDEX(Setup!$B$22:$B$29,INT(($A218-1)/28)+1),"")</f>
        <v/>
      </c>
      <c r="C218" s="16" t="str">
        <f t="shared" si="31"/>
        <v/>
      </c>
      <c r="D218" s="16" t="str">
        <f>IF(OR($B218="",$C218&gt;Setup!$B$16),"",IFERROR(INDEX('Fixture Library'!$D$4:$D$83,MATCH(Setup!$B$7&amp;"-"&amp;$C218,'Fixture Library'!$A$4:$A$83,0)),""))</f>
        <v/>
      </c>
      <c r="E218" s="17" t="str">
        <f>IF($J218="","",IFERROR(INDEX(Teams!$D$4:$D$67,MATCH($B218&amp;"-"&amp;$J218,Teams!$E$4:$E$67,0)),""))</f>
        <v/>
      </c>
      <c r="F218" s="16" t="str">
        <f>IF(OR($E218="",$G218="",$C218&gt;Setup!$B$16),"",IFERROR(INDEX(Results!$E$5:$E$228,INT(($A218-1)/28)*Setup!$B$16+$C218),""))</f>
        <v/>
      </c>
      <c r="G218" s="17" t="str">
        <f>IF($K218="","",IFERROR(INDEX(Teams!$D$4:$D$67,MATCH($B218&amp;"-"&amp;$K218,Teams!$E$4:$E$67,0)),""))</f>
        <v/>
      </c>
      <c r="H218" s="16" t="str">
        <f>IF(OR($E218="",$G218="",$C218&gt;Setup!$B$16),"",IFERROR(INDEX(Results!$F$5:$F$228,INT(($A218-1)/28)*Setup!$B$16+$C218),""))</f>
        <v/>
      </c>
      <c r="I218" s="18">
        <f t="shared" si="37"/>
        <v>0</v>
      </c>
      <c r="J218" s="19" t="str">
        <f>IF(OR($B218="",$C218&gt;Setup!$B$16),"",IFERROR(INDEX('Fixture Library'!$E$4:$E$83,MATCH(Setup!$B$7&amp;"-"&amp;$C218,'Fixture Library'!$A$4:$A$83,0)),""))</f>
        <v/>
      </c>
      <c r="K218" s="19" t="str">
        <f>IF(OR($B218="",$C218&gt;Setup!$B$16),"",IFERROR(INDEX('Fixture Library'!$F$4:$F$83,MATCH(Setup!$B$7&amp;"-"&amp;$C218,'Fixture Library'!$A$4:$A$83,0)),""))</f>
        <v/>
      </c>
      <c r="L218" s="16">
        <f t="shared" si="32"/>
        <v>0</v>
      </c>
      <c r="M218" s="16">
        <f t="shared" si="33"/>
        <v>0</v>
      </c>
      <c r="N218" s="16">
        <f t="shared" si="34"/>
        <v>0</v>
      </c>
      <c r="O218" s="16">
        <f t="shared" si="35"/>
        <v>0</v>
      </c>
      <c r="P218" s="16">
        <f t="shared" si="38"/>
        <v>0</v>
      </c>
      <c r="Q218" s="16">
        <f t="shared" si="38"/>
        <v>0</v>
      </c>
      <c r="R218" s="16">
        <f t="shared" si="36"/>
        <v>0</v>
      </c>
    </row>
    <row r="219" spans="1:18">
      <c r="A219" s="16">
        <v>216</v>
      </c>
      <c r="B219" s="16" t="str">
        <f>IF(INT(($A219-1)/28)+1&lt;=Setup!$B$6,INDEX(Setup!$B$22:$B$29,INT(($A219-1)/28)+1),"")</f>
        <v/>
      </c>
      <c r="C219" s="16" t="str">
        <f t="shared" si="31"/>
        <v/>
      </c>
      <c r="D219" s="16" t="str">
        <f>IF(OR($B219="",$C219&gt;Setup!$B$16),"",IFERROR(INDEX('Fixture Library'!$D$4:$D$83,MATCH(Setup!$B$7&amp;"-"&amp;$C219,'Fixture Library'!$A$4:$A$83,0)),""))</f>
        <v/>
      </c>
      <c r="E219" s="17" t="str">
        <f>IF($J219="","",IFERROR(INDEX(Teams!$D$4:$D$67,MATCH($B219&amp;"-"&amp;$J219,Teams!$E$4:$E$67,0)),""))</f>
        <v/>
      </c>
      <c r="F219" s="16" t="str">
        <f>IF(OR($E219="",$G219="",$C219&gt;Setup!$B$16),"",IFERROR(INDEX(Results!$E$5:$E$228,INT(($A219-1)/28)*Setup!$B$16+$C219),""))</f>
        <v/>
      </c>
      <c r="G219" s="17" t="str">
        <f>IF($K219="","",IFERROR(INDEX(Teams!$D$4:$D$67,MATCH($B219&amp;"-"&amp;$K219,Teams!$E$4:$E$67,0)),""))</f>
        <v/>
      </c>
      <c r="H219" s="16" t="str">
        <f>IF(OR($E219="",$G219="",$C219&gt;Setup!$B$16),"",IFERROR(INDEX(Results!$F$5:$F$228,INT(($A219-1)/28)*Setup!$B$16+$C219),""))</f>
        <v/>
      </c>
      <c r="I219" s="18">
        <f t="shared" si="37"/>
        <v>0</v>
      </c>
      <c r="J219" s="19" t="str">
        <f>IF(OR($B219="",$C219&gt;Setup!$B$16),"",IFERROR(INDEX('Fixture Library'!$E$4:$E$83,MATCH(Setup!$B$7&amp;"-"&amp;$C219,'Fixture Library'!$A$4:$A$83,0)),""))</f>
        <v/>
      </c>
      <c r="K219" s="19" t="str">
        <f>IF(OR($B219="",$C219&gt;Setup!$B$16),"",IFERROR(INDEX('Fixture Library'!$F$4:$F$83,MATCH(Setup!$B$7&amp;"-"&amp;$C219,'Fixture Library'!$A$4:$A$83,0)),""))</f>
        <v/>
      </c>
      <c r="L219" s="16">
        <f t="shared" si="32"/>
        <v>0</v>
      </c>
      <c r="M219" s="16">
        <f t="shared" si="33"/>
        <v>0</v>
      </c>
      <c r="N219" s="16">
        <f t="shared" si="34"/>
        <v>0</v>
      </c>
      <c r="O219" s="16">
        <f t="shared" si="35"/>
        <v>0</v>
      </c>
      <c r="P219" s="16">
        <f t="shared" si="38"/>
        <v>0</v>
      </c>
      <c r="Q219" s="16">
        <f t="shared" si="38"/>
        <v>0</v>
      </c>
      <c r="R219" s="16">
        <f t="shared" si="36"/>
        <v>0</v>
      </c>
    </row>
    <row r="220" spans="1:18">
      <c r="A220" s="16">
        <v>217</v>
      </c>
      <c r="B220" s="16" t="str">
        <f>IF(INT(($A220-1)/28)+1&lt;=Setup!$B$6,INDEX(Setup!$B$22:$B$29,INT(($A220-1)/28)+1),"")</f>
        <v/>
      </c>
      <c r="C220" s="16" t="str">
        <f t="shared" si="31"/>
        <v/>
      </c>
      <c r="D220" s="16" t="str">
        <f>IF(OR($B220="",$C220&gt;Setup!$B$16),"",IFERROR(INDEX('Fixture Library'!$D$4:$D$83,MATCH(Setup!$B$7&amp;"-"&amp;$C220,'Fixture Library'!$A$4:$A$83,0)),""))</f>
        <v/>
      </c>
      <c r="E220" s="17" t="str">
        <f>IF($J220="","",IFERROR(INDEX(Teams!$D$4:$D$67,MATCH($B220&amp;"-"&amp;$J220,Teams!$E$4:$E$67,0)),""))</f>
        <v/>
      </c>
      <c r="F220" s="16" t="str">
        <f>IF(OR($E220="",$G220="",$C220&gt;Setup!$B$16),"",IFERROR(INDEX(Results!$E$5:$E$228,INT(($A220-1)/28)*Setup!$B$16+$C220),""))</f>
        <v/>
      </c>
      <c r="G220" s="17" t="str">
        <f>IF($K220="","",IFERROR(INDEX(Teams!$D$4:$D$67,MATCH($B220&amp;"-"&amp;$K220,Teams!$E$4:$E$67,0)),""))</f>
        <v/>
      </c>
      <c r="H220" s="16" t="str">
        <f>IF(OR($E220="",$G220="",$C220&gt;Setup!$B$16),"",IFERROR(INDEX(Results!$F$5:$F$228,INT(($A220-1)/28)*Setup!$B$16+$C220),""))</f>
        <v/>
      </c>
      <c r="I220" s="18">
        <f t="shared" si="37"/>
        <v>0</v>
      </c>
      <c r="J220" s="19" t="str">
        <f>IF(OR($B220="",$C220&gt;Setup!$B$16),"",IFERROR(INDEX('Fixture Library'!$E$4:$E$83,MATCH(Setup!$B$7&amp;"-"&amp;$C220,'Fixture Library'!$A$4:$A$83,0)),""))</f>
        <v/>
      </c>
      <c r="K220" s="19" t="str">
        <f>IF(OR($B220="",$C220&gt;Setup!$B$16),"",IFERROR(INDEX('Fixture Library'!$F$4:$F$83,MATCH(Setup!$B$7&amp;"-"&amp;$C220,'Fixture Library'!$A$4:$A$83,0)),""))</f>
        <v/>
      </c>
      <c r="L220" s="16">
        <f t="shared" si="32"/>
        <v>0</v>
      </c>
      <c r="M220" s="16">
        <f t="shared" si="33"/>
        <v>0</v>
      </c>
      <c r="N220" s="16">
        <f t="shared" si="34"/>
        <v>0</v>
      </c>
      <c r="O220" s="16">
        <f t="shared" si="35"/>
        <v>0</v>
      </c>
      <c r="P220" s="16">
        <f t="shared" si="38"/>
        <v>0</v>
      </c>
      <c r="Q220" s="16">
        <f t="shared" si="38"/>
        <v>0</v>
      </c>
      <c r="R220" s="16">
        <f t="shared" si="36"/>
        <v>0</v>
      </c>
    </row>
    <row r="221" spans="1:18">
      <c r="A221" s="16">
        <v>218</v>
      </c>
      <c r="B221" s="16" t="str">
        <f>IF(INT(($A221-1)/28)+1&lt;=Setup!$B$6,INDEX(Setup!$B$22:$B$29,INT(($A221-1)/28)+1),"")</f>
        <v/>
      </c>
      <c r="C221" s="16" t="str">
        <f t="shared" si="31"/>
        <v/>
      </c>
      <c r="D221" s="16" t="str">
        <f>IF(OR($B221="",$C221&gt;Setup!$B$16),"",IFERROR(INDEX('Fixture Library'!$D$4:$D$83,MATCH(Setup!$B$7&amp;"-"&amp;$C221,'Fixture Library'!$A$4:$A$83,0)),""))</f>
        <v/>
      </c>
      <c r="E221" s="17" t="str">
        <f>IF($J221="","",IFERROR(INDEX(Teams!$D$4:$D$67,MATCH($B221&amp;"-"&amp;$J221,Teams!$E$4:$E$67,0)),""))</f>
        <v/>
      </c>
      <c r="F221" s="16" t="str">
        <f>IF(OR($E221="",$G221="",$C221&gt;Setup!$B$16),"",IFERROR(INDEX(Results!$E$5:$E$228,INT(($A221-1)/28)*Setup!$B$16+$C221),""))</f>
        <v/>
      </c>
      <c r="G221" s="17" t="str">
        <f>IF($K221="","",IFERROR(INDEX(Teams!$D$4:$D$67,MATCH($B221&amp;"-"&amp;$K221,Teams!$E$4:$E$67,0)),""))</f>
        <v/>
      </c>
      <c r="H221" s="16" t="str">
        <f>IF(OR($E221="",$G221="",$C221&gt;Setup!$B$16),"",IFERROR(INDEX(Results!$F$5:$F$228,INT(($A221-1)/28)*Setup!$B$16+$C221),""))</f>
        <v/>
      </c>
      <c r="I221" s="18">
        <f t="shared" si="37"/>
        <v>0</v>
      </c>
      <c r="J221" s="19" t="str">
        <f>IF(OR($B221="",$C221&gt;Setup!$B$16),"",IFERROR(INDEX('Fixture Library'!$E$4:$E$83,MATCH(Setup!$B$7&amp;"-"&amp;$C221,'Fixture Library'!$A$4:$A$83,0)),""))</f>
        <v/>
      </c>
      <c r="K221" s="19" t="str">
        <f>IF(OR($B221="",$C221&gt;Setup!$B$16),"",IFERROR(INDEX('Fixture Library'!$F$4:$F$83,MATCH(Setup!$B$7&amp;"-"&amp;$C221,'Fixture Library'!$A$4:$A$83,0)),""))</f>
        <v/>
      </c>
      <c r="L221" s="16">
        <f t="shared" si="32"/>
        <v>0</v>
      </c>
      <c r="M221" s="16">
        <f t="shared" si="33"/>
        <v>0</v>
      </c>
      <c r="N221" s="16">
        <f t="shared" si="34"/>
        <v>0</v>
      </c>
      <c r="O221" s="16">
        <f t="shared" si="35"/>
        <v>0</v>
      </c>
      <c r="P221" s="16">
        <f t="shared" si="38"/>
        <v>0</v>
      </c>
      <c r="Q221" s="16">
        <f t="shared" si="38"/>
        <v>0</v>
      </c>
      <c r="R221" s="16">
        <f t="shared" si="36"/>
        <v>0</v>
      </c>
    </row>
    <row r="222" spans="1:18">
      <c r="A222" s="16">
        <v>219</v>
      </c>
      <c r="B222" s="16" t="str">
        <f>IF(INT(($A222-1)/28)+1&lt;=Setup!$B$6,INDEX(Setup!$B$22:$B$29,INT(($A222-1)/28)+1),"")</f>
        <v/>
      </c>
      <c r="C222" s="16" t="str">
        <f t="shared" si="31"/>
        <v/>
      </c>
      <c r="D222" s="16" t="str">
        <f>IF(OR($B222="",$C222&gt;Setup!$B$16),"",IFERROR(INDEX('Fixture Library'!$D$4:$D$83,MATCH(Setup!$B$7&amp;"-"&amp;$C222,'Fixture Library'!$A$4:$A$83,0)),""))</f>
        <v/>
      </c>
      <c r="E222" s="17" t="str">
        <f>IF($J222="","",IFERROR(INDEX(Teams!$D$4:$D$67,MATCH($B222&amp;"-"&amp;$J222,Teams!$E$4:$E$67,0)),""))</f>
        <v/>
      </c>
      <c r="F222" s="16" t="str">
        <f>IF(OR($E222="",$G222="",$C222&gt;Setup!$B$16),"",IFERROR(INDEX(Results!$E$5:$E$228,INT(($A222-1)/28)*Setup!$B$16+$C222),""))</f>
        <v/>
      </c>
      <c r="G222" s="17" t="str">
        <f>IF($K222="","",IFERROR(INDEX(Teams!$D$4:$D$67,MATCH($B222&amp;"-"&amp;$K222,Teams!$E$4:$E$67,0)),""))</f>
        <v/>
      </c>
      <c r="H222" s="16" t="str">
        <f>IF(OR($E222="",$G222="",$C222&gt;Setup!$B$16),"",IFERROR(INDEX(Results!$F$5:$F$228,INT(($A222-1)/28)*Setup!$B$16+$C222),""))</f>
        <v/>
      </c>
      <c r="I222" s="18">
        <f t="shared" si="37"/>
        <v>0</v>
      </c>
      <c r="J222" s="19" t="str">
        <f>IF(OR($B222="",$C222&gt;Setup!$B$16),"",IFERROR(INDEX('Fixture Library'!$E$4:$E$83,MATCH(Setup!$B$7&amp;"-"&amp;$C222,'Fixture Library'!$A$4:$A$83,0)),""))</f>
        <v/>
      </c>
      <c r="K222" s="19" t="str">
        <f>IF(OR($B222="",$C222&gt;Setup!$B$16),"",IFERROR(INDEX('Fixture Library'!$F$4:$F$83,MATCH(Setup!$B$7&amp;"-"&amp;$C222,'Fixture Library'!$A$4:$A$83,0)),""))</f>
        <v/>
      </c>
      <c r="L222" s="16">
        <f t="shared" si="32"/>
        <v>0</v>
      </c>
      <c r="M222" s="16">
        <f t="shared" si="33"/>
        <v>0</v>
      </c>
      <c r="N222" s="16">
        <f t="shared" si="34"/>
        <v>0</v>
      </c>
      <c r="O222" s="16">
        <f t="shared" si="35"/>
        <v>0</v>
      </c>
      <c r="P222" s="16">
        <f t="shared" si="38"/>
        <v>0</v>
      </c>
      <c r="Q222" s="16">
        <f t="shared" si="38"/>
        <v>0</v>
      </c>
      <c r="R222" s="16">
        <f t="shared" si="36"/>
        <v>0</v>
      </c>
    </row>
    <row r="223" spans="1:18">
      <c r="A223" s="16">
        <v>220</v>
      </c>
      <c r="B223" s="16" t="str">
        <f>IF(INT(($A223-1)/28)+1&lt;=Setup!$B$6,INDEX(Setup!$B$22:$B$29,INT(($A223-1)/28)+1),"")</f>
        <v/>
      </c>
      <c r="C223" s="16" t="str">
        <f t="shared" si="31"/>
        <v/>
      </c>
      <c r="D223" s="16" t="str">
        <f>IF(OR($B223="",$C223&gt;Setup!$B$16),"",IFERROR(INDEX('Fixture Library'!$D$4:$D$83,MATCH(Setup!$B$7&amp;"-"&amp;$C223,'Fixture Library'!$A$4:$A$83,0)),""))</f>
        <v/>
      </c>
      <c r="E223" s="17" t="str">
        <f>IF($J223="","",IFERROR(INDEX(Teams!$D$4:$D$67,MATCH($B223&amp;"-"&amp;$J223,Teams!$E$4:$E$67,0)),""))</f>
        <v/>
      </c>
      <c r="F223" s="16" t="str">
        <f>IF(OR($E223="",$G223="",$C223&gt;Setup!$B$16),"",IFERROR(INDEX(Results!$E$5:$E$228,INT(($A223-1)/28)*Setup!$B$16+$C223),""))</f>
        <v/>
      </c>
      <c r="G223" s="17" t="str">
        <f>IF($K223="","",IFERROR(INDEX(Teams!$D$4:$D$67,MATCH($B223&amp;"-"&amp;$K223,Teams!$E$4:$E$67,0)),""))</f>
        <v/>
      </c>
      <c r="H223" s="16" t="str">
        <f>IF(OR($E223="",$G223="",$C223&gt;Setup!$B$16),"",IFERROR(INDEX(Results!$F$5:$F$228,INT(($A223-1)/28)*Setup!$B$16+$C223),""))</f>
        <v/>
      </c>
      <c r="I223" s="18">
        <f t="shared" si="37"/>
        <v>0</v>
      </c>
      <c r="J223" s="19" t="str">
        <f>IF(OR($B223="",$C223&gt;Setup!$B$16),"",IFERROR(INDEX('Fixture Library'!$E$4:$E$83,MATCH(Setup!$B$7&amp;"-"&amp;$C223,'Fixture Library'!$A$4:$A$83,0)),""))</f>
        <v/>
      </c>
      <c r="K223" s="19" t="str">
        <f>IF(OR($B223="",$C223&gt;Setup!$B$16),"",IFERROR(INDEX('Fixture Library'!$F$4:$F$83,MATCH(Setup!$B$7&amp;"-"&amp;$C223,'Fixture Library'!$A$4:$A$83,0)),""))</f>
        <v/>
      </c>
      <c r="L223" s="16">
        <f t="shared" si="32"/>
        <v>0</v>
      </c>
      <c r="M223" s="16">
        <f t="shared" si="33"/>
        <v>0</v>
      </c>
      <c r="N223" s="16">
        <f t="shared" si="34"/>
        <v>0</v>
      </c>
      <c r="O223" s="16">
        <f t="shared" si="35"/>
        <v>0</v>
      </c>
      <c r="P223" s="16">
        <f t="shared" si="38"/>
        <v>0</v>
      </c>
      <c r="Q223" s="16">
        <f t="shared" si="38"/>
        <v>0</v>
      </c>
      <c r="R223" s="16">
        <f t="shared" si="36"/>
        <v>0</v>
      </c>
    </row>
    <row r="224" spans="1:18">
      <c r="A224" s="16">
        <v>221</v>
      </c>
      <c r="B224" s="16" t="str">
        <f>IF(INT(($A224-1)/28)+1&lt;=Setup!$B$6,INDEX(Setup!$B$22:$B$29,INT(($A224-1)/28)+1),"")</f>
        <v/>
      </c>
      <c r="C224" s="16" t="str">
        <f t="shared" si="31"/>
        <v/>
      </c>
      <c r="D224" s="16" t="str">
        <f>IF(OR($B224="",$C224&gt;Setup!$B$16),"",IFERROR(INDEX('Fixture Library'!$D$4:$D$83,MATCH(Setup!$B$7&amp;"-"&amp;$C224,'Fixture Library'!$A$4:$A$83,0)),""))</f>
        <v/>
      </c>
      <c r="E224" s="17" t="str">
        <f>IF($J224="","",IFERROR(INDEX(Teams!$D$4:$D$67,MATCH($B224&amp;"-"&amp;$J224,Teams!$E$4:$E$67,0)),""))</f>
        <v/>
      </c>
      <c r="F224" s="16" t="str">
        <f>IF(OR($E224="",$G224="",$C224&gt;Setup!$B$16),"",IFERROR(INDEX(Results!$E$5:$E$228,INT(($A224-1)/28)*Setup!$B$16+$C224),""))</f>
        <v/>
      </c>
      <c r="G224" s="17" t="str">
        <f>IF($K224="","",IFERROR(INDEX(Teams!$D$4:$D$67,MATCH($B224&amp;"-"&amp;$K224,Teams!$E$4:$E$67,0)),""))</f>
        <v/>
      </c>
      <c r="H224" s="16" t="str">
        <f>IF(OR($E224="",$G224="",$C224&gt;Setup!$B$16),"",IFERROR(INDEX(Results!$F$5:$F$228,INT(($A224-1)/28)*Setup!$B$16+$C224),""))</f>
        <v/>
      </c>
      <c r="I224" s="18">
        <f t="shared" si="37"/>
        <v>0</v>
      </c>
      <c r="J224" s="19" t="str">
        <f>IF(OR($B224="",$C224&gt;Setup!$B$16),"",IFERROR(INDEX('Fixture Library'!$E$4:$E$83,MATCH(Setup!$B$7&amp;"-"&amp;$C224,'Fixture Library'!$A$4:$A$83,0)),""))</f>
        <v/>
      </c>
      <c r="K224" s="19" t="str">
        <f>IF(OR($B224="",$C224&gt;Setup!$B$16),"",IFERROR(INDEX('Fixture Library'!$F$4:$F$83,MATCH(Setup!$B$7&amp;"-"&amp;$C224,'Fixture Library'!$A$4:$A$83,0)),""))</f>
        <v/>
      </c>
      <c r="L224" s="16">
        <f t="shared" si="32"/>
        <v>0</v>
      </c>
      <c r="M224" s="16">
        <f t="shared" si="33"/>
        <v>0</v>
      </c>
      <c r="N224" s="16">
        <f t="shared" si="34"/>
        <v>0</v>
      </c>
      <c r="O224" s="16">
        <f t="shared" si="35"/>
        <v>0</v>
      </c>
      <c r="P224" s="16">
        <f t="shared" si="38"/>
        <v>0</v>
      </c>
      <c r="Q224" s="16">
        <f t="shared" si="38"/>
        <v>0</v>
      </c>
      <c r="R224" s="16">
        <f t="shared" si="36"/>
        <v>0</v>
      </c>
    </row>
    <row r="225" spans="1:18">
      <c r="A225" s="16">
        <v>222</v>
      </c>
      <c r="B225" s="16" t="str">
        <f>IF(INT(($A225-1)/28)+1&lt;=Setup!$B$6,INDEX(Setup!$B$22:$B$29,INT(($A225-1)/28)+1),"")</f>
        <v/>
      </c>
      <c r="C225" s="16" t="str">
        <f t="shared" si="31"/>
        <v/>
      </c>
      <c r="D225" s="16" t="str">
        <f>IF(OR($B225="",$C225&gt;Setup!$B$16),"",IFERROR(INDEX('Fixture Library'!$D$4:$D$83,MATCH(Setup!$B$7&amp;"-"&amp;$C225,'Fixture Library'!$A$4:$A$83,0)),""))</f>
        <v/>
      </c>
      <c r="E225" s="17" t="str">
        <f>IF($J225="","",IFERROR(INDEX(Teams!$D$4:$D$67,MATCH($B225&amp;"-"&amp;$J225,Teams!$E$4:$E$67,0)),""))</f>
        <v/>
      </c>
      <c r="F225" s="16" t="str">
        <f>IF(OR($E225="",$G225="",$C225&gt;Setup!$B$16),"",IFERROR(INDEX(Results!$E$5:$E$228,INT(($A225-1)/28)*Setup!$B$16+$C225),""))</f>
        <v/>
      </c>
      <c r="G225" s="17" t="str">
        <f>IF($K225="","",IFERROR(INDEX(Teams!$D$4:$D$67,MATCH($B225&amp;"-"&amp;$K225,Teams!$E$4:$E$67,0)),""))</f>
        <v/>
      </c>
      <c r="H225" s="16" t="str">
        <f>IF(OR($E225="",$G225="",$C225&gt;Setup!$B$16),"",IFERROR(INDEX(Results!$F$5:$F$228,INT(($A225-1)/28)*Setup!$B$16+$C225),""))</f>
        <v/>
      </c>
      <c r="I225" s="18">
        <f t="shared" si="37"/>
        <v>0</v>
      </c>
      <c r="J225" s="19" t="str">
        <f>IF(OR($B225="",$C225&gt;Setup!$B$16),"",IFERROR(INDEX('Fixture Library'!$E$4:$E$83,MATCH(Setup!$B$7&amp;"-"&amp;$C225,'Fixture Library'!$A$4:$A$83,0)),""))</f>
        <v/>
      </c>
      <c r="K225" s="19" t="str">
        <f>IF(OR($B225="",$C225&gt;Setup!$B$16),"",IFERROR(INDEX('Fixture Library'!$F$4:$F$83,MATCH(Setup!$B$7&amp;"-"&amp;$C225,'Fixture Library'!$A$4:$A$83,0)),""))</f>
        <v/>
      </c>
      <c r="L225" s="16">
        <f t="shared" si="32"/>
        <v>0</v>
      </c>
      <c r="M225" s="16">
        <f t="shared" si="33"/>
        <v>0</v>
      </c>
      <c r="N225" s="16">
        <f t="shared" si="34"/>
        <v>0</v>
      </c>
      <c r="O225" s="16">
        <f t="shared" si="35"/>
        <v>0</v>
      </c>
      <c r="P225" s="16">
        <f t="shared" si="38"/>
        <v>0</v>
      </c>
      <c r="Q225" s="16">
        <f t="shared" si="38"/>
        <v>0</v>
      </c>
      <c r="R225" s="16">
        <f t="shared" si="36"/>
        <v>0</v>
      </c>
    </row>
    <row r="226" spans="1:18">
      <c r="A226" s="16">
        <v>223</v>
      </c>
      <c r="B226" s="16" t="str">
        <f>IF(INT(($A226-1)/28)+1&lt;=Setup!$B$6,INDEX(Setup!$B$22:$B$29,INT(($A226-1)/28)+1),"")</f>
        <v/>
      </c>
      <c r="C226" s="16" t="str">
        <f t="shared" si="31"/>
        <v/>
      </c>
      <c r="D226" s="16" t="str">
        <f>IF(OR($B226="",$C226&gt;Setup!$B$16),"",IFERROR(INDEX('Fixture Library'!$D$4:$D$83,MATCH(Setup!$B$7&amp;"-"&amp;$C226,'Fixture Library'!$A$4:$A$83,0)),""))</f>
        <v/>
      </c>
      <c r="E226" s="17" t="str">
        <f>IF($J226="","",IFERROR(INDEX(Teams!$D$4:$D$67,MATCH($B226&amp;"-"&amp;$J226,Teams!$E$4:$E$67,0)),""))</f>
        <v/>
      </c>
      <c r="F226" s="16" t="str">
        <f>IF(OR($E226="",$G226="",$C226&gt;Setup!$B$16),"",IFERROR(INDEX(Results!$E$5:$E$228,INT(($A226-1)/28)*Setup!$B$16+$C226),""))</f>
        <v/>
      </c>
      <c r="G226" s="17" t="str">
        <f>IF($K226="","",IFERROR(INDEX(Teams!$D$4:$D$67,MATCH($B226&amp;"-"&amp;$K226,Teams!$E$4:$E$67,0)),""))</f>
        <v/>
      </c>
      <c r="H226" s="16" t="str">
        <f>IF(OR($E226="",$G226="",$C226&gt;Setup!$B$16),"",IFERROR(INDEX(Results!$F$5:$F$228,INT(($A226-1)/28)*Setup!$B$16+$C226),""))</f>
        <v/>
      </c>
      <c r="I226" s="18">
        <f t="shared" si="37"/>
        <v>0</v>
      </c>
      <c r="J226" s="19" t="str">
        <f>IF(OR($B226="",$C226&gt;Setup!$B$16),"",IFERROR(INDEX('Fixture Library'!$E$4:$E$83,MATCH(Setup!$B$7&amp;"-"&amp;$C226,'Fixture Library'!$A$4:$A$83,0)),""))</f>
        <v/>
      </c>
      <c r="K226" s="19" t="str">
        <f>IF(OR($B226="",$C226&gt;Setup!$B$16),"",IFERROR(INDEX('Fixture Library'!$F$4:$F$83,MATCH(Setup!$B$7&amp;"-"&amp;$C226,'Fixture Library'!$A$4:$A$83,0)),""))</f>
        <v/>
      </c>
      <c r="L226" s="16">
        <f t="shared" si="32"/>
        <v>0</v>
      </c>
      <c r="M226" s="16">
        <f t="shared" si="33"/>
        <v>0</v>
      </c>
      <c r="N226" s="16">
        <f t="shared" si="34"/>
        <v>0</v>
      </c>
      <c r="O226" s="16">
        <f t="shared" si="35"/>
        <v>0</v>
      </c>
      <c r="P226" s="16">
        <f t="shared" si="38"/>
        <v>0</v>
      </c>
      <c r="Q226" s="16">
        <f t="shared" si="38"/>
        <v>0</v>
      </c>
      <c r="R226" s="16">
        <f t="shared" si="36"/>
        <v>0</v>
      </c>
    </row>
    <row r="227" spans="1:18">
      <c r="A227" s="16">
        <v>224</v>
      </c>
      <c r="B227" s="16" t="str">
        <f>IF(INT(($A227-1)/28)+1&lt;=Setup!$B$6,INDEX(Setup!$B$22:$B$29,INT(($A227-1)/28)+1),"")</f>
        <v/>
      </c>
      <c r="C227" s="16" t="str">
        <f t="shared" si="31"/>
        <v/>
      </c>
      <c r="D227" s="16" t="str">
        <f>IF(OR($B227="",$C227&gt;Setup!$B$16),"",IFERROR(INDEX('Fixture Library'!$D$4:$D$83,MATCH(Setup!$B$7&amp;"-"&amp;$C227,'Fixture Library'!$A$4:$A$83,0)),""))</f>
        <v/>
      </c>
      <c r="E227" s="17" t="str">
        <f>IF($J227="","",IFERROR(INDEX(Teams!$D$4:$D$67,MATCH($B227&amp;"-"&amp;$J227,Teams!$E$4:$E$67,0)),""))</f>
        <v/>
      </c>
      <c r="F227" s="16" t="str">
        <f>IF(OR($E227="",$G227="",$C227&gt;Setup!$B$16),"",IFERROR(INDEX(Results!$E$5:$E$228,INT(($A227-1)/28)*Setup!$B$16+$C227),""))</f>
        <v/>
      </c>
      <c r="G227" s="17" t="str">
        <f>IF($K227="","",IFERROR(INDEX(Teams!$D$4:$D$67,MATCH($B227&amp;"-"&amp;$K227,Teams!$E$4:$E$67,0)),""))</f>
        <v/>
      </c>
      <c r="H227" s="16" t="str">
        <f>IF(OR($E227="",$G227="",$C227&gt;Setup!$B$16),"",IFERROR(INDEX(Results!$F$5:$F$228,INT(($A227-1)/28)*Setup!$B$16+$C227),""))</f>
        <v/>
      </c>
      <c r="I227" s="18">
        <f t="shared" si="37"/>
        <v>0</v>
      </c>
      <c r="J227" s="19" t="str">
        <f>IF(OR($B227="",$C227&gt;Setup!$B$16),"",IFERROR(INDEX('Fixture Library'!$E$4:$E$83,MATCH(Setup!$B$7&amp;"-"&amp;$C227,'Fixture Library'!$A$4:$A$83,0)),""))</f>
        <v/>
      </c>
      <c r="K227" s="19" t="str">
        <f>IF(OR($B227="",$C227&gt;Setup!$B$16),"",IFERROR(INDEX('Fixture Library'!$F$4:$F$83,MATCH(Setup!$B$7&amp;"-"&amp;$C227,'Fixture Library'!$A$4:$A$83,0)),""))</f>
        <v/>
      </c>
      <c r="L227" s="16">
        <f t="shared" si="32"/>
        <v>0</v>
      </c>
      <c r="M227" s="16">
        <f t="shared" si="33"/>
        <v>0</v>
      </c>
      <c r="N227" s="16">
        <f t="shared" si="34"/>
        <v>0</v>
      </c>
      <c r="O227" s="16">
        <f t="shared" si="35"/>
        <v>0</v>
      </c>
      <c r="P227" s="16">
        <f t="shared" si="38"/>
        <v>0</v>
      </c>
      <c r="Q227" s="16">
        <f t="shared" si="38"/>
        <v>0</v>
      </c>
      <c r="R227" s="16">
        <f t="shared" si="36"/>
        <v>0</v>
      </c>
    </row>
  </sheetData>
  <mergeCells count="1">
    <mergeCell ref="A2:R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67"/>
  <sheetViews>
    <sheetView workbookViewId="0">
      <selection sqref="A1:O1"/>
    </sheetView>
  </sheetViews>
  <sheetFormatPr defaultRowHeight="14.25"/>
  <cols>
    <col min="1" max="1" width="37.75" customWidth="1"/>
    <col min="2" max="2" width="3.5" customWidth="1"/>
    <col min="3" max="3" width="24" customWidth="1"/>
    <col min="4" max="4" width="5.25" customWidth="1"/>
    <col min="5" max="5" width="1.5" customWidth="1"/>
    <col min="6" max="6" width="2.25" customWidth="1"/>
    <col min="7" max="7" width="1.75" customWidth="1"/>
    <col min="8" max="8" width="1.5" customWidth="1"/>
    <col min="9" max="9" width="3" customWidth="1"/>
    <col min="10" max="10" width="6.25" customWidth="1"/>
    <col min="11" max="11" width="3.25" customWidth="1"/>
    <col min="12" max="12" width="2.875" customWidth="1"/>
    <col min="13" max="13" width="8.25" customWidth="1"/>
    <col min="14" max="14" width="4.375" customWidth="1"/>
    <col min="15" max="15" width="7.5" customWidth="1"/>
  </cols>
  <sheetData>
    <row r="1" spans="1:15" ht="24" customHeight="1">
      <c r="A1" s="103" t="s">
        <v>236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</row>
    <row r="2" spans="1:1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5" ht="24">
      <c r="A3" s="14" t="s">
        <v>78</v>
      </c>
      <c r="B3" s="14" t="s">
        <v>79</v>
      </c>
      <c r="C3" s="14" t="s">
        <v>237</v>
      </c>
      <c r="D3" s="14" t="s">
        <v>83</v>
      </c>
      <c r="E3" s="14" t="s">
        <v>238</v>
      </c>
      <c r="F3" s="14" t="s">
        <v>239</v>
      </c>
      <c r="G3" s="14" t="s">
        <v>71</v>
      </c>
      <c r="H3" s="14" t="s">
        <v>240</v>
      </c>
      <c r="I3" s="14" t="s">
        <v>241</v>
      </c>
      <c r="J3" s="14" t="s">
        <v>242</v>
      </c>
      <c r="K3" s="14" t="s">
        <v>243</v>
      </c>
      <c r="L3" s="14" t="s">
        <v>244</v>
      </c>
      <c r="M3" s="14" t="s">
        <v>245</v>
      </c>
      <c r="N3" s="14" t="s">
        <v>246</v>
      </c>
      <c r="O3" s="14" t="s">
        <v>247</v>
      </c>
    </row>
    <row r="4" spans="1:15">
      <c r="A4" s="20" t="str">
        <f>Teams!A4</f>
        <v>A</v>
      </c>
      <c r="B4" s="20">
        <f>Teams!B4</f>
        <v>1</v>
      </c>
      <c r="C4" s="20">
        <f>Teams!D4</f>
        <v>0</v>
      </c>
      <c r="D4" s="20">
        <f>Teams!F4</f>
        <v>0</v>
      </c>
      <c r="E4" s="20" t="str">
        <f>IF($D4=0,"",SUMIFS(Scores!$I$4:$I$227,Scores!$B$4:$B$227,$A4,Scores!$J$4:$J$227,$B4)+SUMIFS(Scores!$I$4:$I$227,Scores!$B$4:$B$227,$A4,Scores!$K$4:$K$227,$B4))</f>
        <v/>
      </c>
      <c r="F4" s="20" t="str">
        <f>IF($D4=0,"",SUMIFS(Scores!$L$4:$L$227,Scores!$B$4:$B$227,$A4,Scores!$J$4:$J$227,$B4)+SUMIFS(Scores!$M$4:$M$227,Scores!$B$4:$B$227,$A4,Scores!$K$4:$K$227,$B4))</f>
        <v/>
      </c>
      <c r="G4" s="20" t="str">
        <f>IF($D4=0,"",SUMIFS(Scores!$N$4:$N$227,Scores!$B$4:$B$227,$A4,Scores!$J$4:$J$227,$B4)+SUMIFS(Scores!$N$4:$N$227,Scores!$B$4:$B$227,$A4,Scores!$K$4:$K$227,$B4))</f>
        <v/>
      </c>
      <c r="H4" s="20" t="str">
        <f t="shared" ref="H4:H35" si="0">IF($D4=0,"",$E4-$F4-$G4)</f>
        <v/>
      </c>
      <c r="I4" s="20" t="str">
        <f>IF($D4=0,"",SUMIFS(Scores!$O$4:$O$227,Scores!$B$4:$B$227,$A4,Scores!$J$4:$J$227,$B4)+SUMIFS(Scores!$Q$4:$Q$227,Scores!$B$4:$B$227,$A4,Scores!$K$4:$K$227,$B4))</f>
        <v/>
      </c>
      <c r="J4" s="20" t="str">
        <f>IF($D4=0,"",SUMIFS(Scores!$P$4:$P$227,Scores!$B$4:$B$227,$A4,Scores!$J$4:$J$227,$B4)+SUMIFS(Scores!$R$4:$R$227,Scores!$B$4:$B$227,$A4,Scores!$K$4:$K$227,$B4))</f>
        <v/>
      </c>
      <c r="K4" s="20" t="str">
        <f t="shared" ref="K4:K35" si="1">IF($D4=0,"",$I4-$J4)</f>
        <v/>
      </c>
      <c r="L4" s="20" t="str">
        <f>IF($D4=0,"",$F4*Setup!$B$11+$G4*Setup!$B$12+$H4*Setup!$B$13)</f>
        <v/>
      </c>
      <c r="M4" s="20" t="str">
        <f t="shared" ref="M4:M35" si="2">IF($D4=0,"",$L4*1000000000+$K4*1000000+$I4*1000+(100-$B4))</f>
        <v/>
      </c>
      <c r="N4" s="20" t="str">
        <f t="shared" ref="N4:N35" si="3">IF($D4=0,"",COUNTIFS($A$4:$A$67,$A4,$D$4:$D$67,1,$M$4:$M$67,"&gt;"&amp;$M4)+1)</f>
        <v/>
      </c>
      <c r="O4" s="20" t="str">
        <f t="shared" ref="O4:O35" si="4">IF($D4=0,"",$A4&amp;"-"&amp;$N4)</f>
        <v/>
      </c>
    </row>
    <row r="5" spans="1:15">
      <c r="A5" s="20" t="str">
        <f>Teams!A5</f>
        <v>A</v>
      </c>
      <c r="B5" s="20">
        <f>Teams!B5</f>
        <v>2</v>
      </c>
      <c r="C5" s="20">
        <f>Teams!D5</f>
        <v>0</v>
      </c>
      <c r="D5" s="20">
        <f>Teams!F5</f>
        <v>0</v>
      </c>
      <c r="E5" s="20" t="str">
        <f>IF($D5=0,"",SUMIFS(Scores!$I$4:$I$227,Scores!$B$4:$B$227,$A5,Scores!$J$4:$J$227,$B5)+SUMIFS(Scores!$I$4:$I$227,Scores!$B$4:$B$227,$A5,Scores!$K$4:$K$227,$B5))</f>
        <v/>
      </c>
      <c r="F5" s="20" t="str">
        <f>IF($D5=0,"",SUMIFS(Scores!$L$4:$L$227,Scores!$B$4:$B$227,$A5,Scores!$J$4:$J$227,$B5)+SUMIFS(Scores!$M$4:$M$227,Scores!$B$4:$B$227,$A5,Scores!$K$4:$K$227,$B5))</f>
        <v/>
      </c>
      <c r="G5" s="20" t="str">
        <f>IF($D5=0,"",SUMIFS(Scores!$N$4:$N$227,Scores!$B$4:$B$227,$A5,Scores!$J$4:$J$227,$B5)+SUMIFS(Scores!$N$4:$N$227,Scores!$B$4:$B$227,$A5,Scores!$K$4:$K$227,$B5))</f>
        <v/>
      </c>
      <c r="H5" s="20" t="str">
        <f t="shared" si="0"/>
        <v/>
      </c>
      <c r="I5" s="20" t="str">
        <f>IF($D5=0,"",SUMIFS(Scores!$O$4:$O$227,Scores!$B$4:$B$227,$A5,Scores!$J$4:$J$227,$B5)+SUMIFS(Scores!$Q$4:$Q$227,Scores!$B$4:$B$227,$A5,Scores!$K$4:$K$227,$B5))</f>
        <v/>
      </c>
      <c r="J5" s="20" t="str">
        <f>IF($D5=0,"",SUMIFS(Scores!$P$4:$P$227,Scores!$B$4:$B$227,$A5,Scores!$J$4:$J$227,$B5)+SUMIFS(Scores!$R$4:$R$227,Scores!$B$4:$B$227,$A5,Scores!$K$4:$K$227,$B5))</f>
        <v/>
      </c>
      <c r="K5" s="20" t="str">
        <f t="shared" si="1"/>
        <v/>
      </c>
      <c r="L5" s="20" t="str">
        <f>IF($D5=0,"",$F5*Setup!$B$11+$G5*Setup!$B$12+$H5*Setup!$B$13)</f>
        <v/>
      </c>
      <c r="M5" s="20" t="str">
        <f t="shared" si="2"/>
        <v/>
      </c>
      <c r="N5" s="20" t="str">
        <f t="shared" si="3"/>
        <v/>
      </c>
      <c r="O5" s="20" t="str">
        <f t="shared" si="4"/>
        <v/>
      </c>
    </row>
    <row r="6" spans="1:15">
      <c r="A6" s="20" t="str">
        <f>Teams!A6</f>
        <v>A</v>
      </c>
      <c r="B6" s="20">
        <f>Teams!B6</f>
        <v>3</v>
      </c>
      <c r="C6" s="20">
        <f>Teams!D6</f>
        <v>0</v>
      </c>
      <c r="D6" s="20">
        <f>Teams!F6</f>
        <v>0</v>
      </c>
      <c r="E6" s="20" t="str">
        <f>IF($D6=0,"",SUMIFS(Scores!$I$4:$I$227,Scores!$B$4:$B$227,$A6,Scores!$J$4:$J$227,$B6)+SUMIFS(Scores!$I$4:$I$227,Scores!$B$4:$B$227,$A6,Scores!$K$4:$K$227,$B6))</f>
        <v/>
      </c>
      <c r="F6" s="20" t="str">
        <f>IF($D6=0,"",SUMIFS(Scores!$L$4:$L$227,Scores!$B$4:$B$227,$A6,Scores!$J$4:$J$227,$B6)+SUMIFS(Scores!$M$4:$M$227,Scores!$B$4:$B$227,$A6,Scores!$K$4:$K$227,$B6))</f>
        <v/>
      </c>
      <c r="G6" s="20" t="str">
        <f>IF($D6=0,"",SUMIFS(Scores!$N$4:$N$227,Scores!$B$4:$B$227,$A6,Scores!$J$4:$J$227,$B6)+SUMIFS(Scores!$N$4:$N$227,Scores!$B$4:$B$227,$A6,Scores!$K$4:$K$227,$B6))</f>
        <v/>
      </c>
      <c r="H6" s="20" t="str">
        <f t="shared" si="0"/>
        <v/>
      </c>
      <c r="I6" s="20" t="str">
        <f>IF($D6=0,"",SUMIFS(Scores!$O$4:$O$227,Scores!$B$4:$B$227,$A6,Scores!$J$4:$J$227,$B6)+SUMIFS(Scores!$Q$4:$Q$227,Scores!$B$4:$B$227,$A6,Scores!$K$4:$K$227,$B6))</f>
        <v/>
      </c>
      <c r="J6" s="20" t="str">
        <f>IF($D6=0,"",SUMIFS(Scores!$P$4:$P$227,Scores!$B$4:$B$227,$A6,Scores!$J$4:$J$227,$B6)+SUMIFS(Scores!$R$4:$R$227,Scores!$B$4:$B$227,$A6,Scores!$K$4:$K$227,$B6))</f>
        <v/>
      </c>
      <c r="K6" s="20" t="str">
        <f t="shared" si="1"/>
        <v/>
      </c>
      <c r="L6" s="20" t="str">
        <f>IF($D6=0,"",$F6*Setup!$B$11+$G6*Setup!$B$12+$H6*Setup!$B$13)</f>
        <v/>
      </c>
      <c r="M6" s="20" t="str">
        <f t="shared" si="2"/>
        <v/>
      </c>
      <c r="N6" s="20" t="str">
        <f t="shared" si="3"/>
        <v/>
      </c>
      <c r="O6" s="20" t="str">
        <f t="shared" si="4"/>
        <v/>
      </c>
    </row>
    <row r="7" spans="1:15">
      <c r="A7" s="20" t="str">
        <f>Teams!A7</f>
        <v>A</v>
      </c>
      <c r="B7" s="20">
        <f>Teams!B7</f>
        <v>4</v>
      </c>
      <c r="C7" s="20">
        <f>Teams!D7</f>
        <v>0</v>
      </c>
      <c r="D7" s="20">
        <f>Teams!F7</f>
        <v>0</v>
      </c>
      <c r="E7" s="20" t="str">
        <f>IF($D7=0,"",SUMIFS(Scores!$I$4:$I$227,Scores!$B$4:$B$227,$A7,Scores!$J$4:$J$227,$B7)+SUMIFS(Scores!$I$4:$I$227,Scores!$B$4:$B$227,$A7,Scores!$K$4:$K$227,$B7))</f>
        <v/>
      </c>
      <c r="F7" s="20" t="str">
        <f>IF($D7=0,"",SUMIFS(Scores!$L$4:$L$227,Scores!$B$4:$B$227,$A7,Scores!$J$4:$J$227,$B7)+SUMIFS(Scores!$M$4:$M$227,Scores!$B$4:$B$227,$A7,Scores!$K$4:$K$227,$B7))</f>
        <v/>
      </c>
      <c r="G7" s="20" t="str">
        <f>IF($D7=0,"",SUMIFS(Scores!$N$4:$N$227,Scores!$B$4:$B$227,$A7,Scores!$J$4:$J$227,$B7)+SUMIFS(Scores!$N$4:$N$227,Scores!$B$4:$B$227,$A7,Scores!$K$4:$K$227,$B7))</f>
        <v/>
      </c>
      <c r="H7" s="20" t="str">
        <f t="shared" si="0"/>
        <v/>
      </c>
      <c r="I7" s="20" t="str">
        <f>IF($D7=0,"",SUMIFS(Scores!$O$4:$O$227,Scores!$B$4:$B$227,$A7,Scores!$J$4:$J$227,$B7)+SUMIFS(Scores!$Q$4:$Q$227,Scores!$B$4:$B$227,$A7,Scores!$K$4:$K$227,$B7))</f>
        <v/>
      </c>
      <c r="J7" s="20" t="str">
        <f>IF($D7=0,"",SUMIFS(Scores!$P$4:$P$227,Scores!$B$4:$B$227,$A7,Scores!$J$4:$J$227,$B7)+SUMIFS(Scores!$R$4:$R$227,Scores!$B$4:$B$227,$A7,Scores!$K$4:$K$227,$B7))</f>
        <v/>
      </c>
      <c r="K7" s="20" t="str">
        <f t="shared" si="1"/>
        <v/>
      </c>
      <c r="L7" s="20" t="str">
        <f>IF($D7=0,"",$F7*Setup!$B$11+$G7*Setup!$B$12+$H7*Setup!$B$13)</f>
        <v/>
      </c>
      <c r="M7" s="20" t="str">
        <f t="shared" si="2"/>
        <v/>
      </c>
      <c r="N7" s="20" t="str">
        <f t="shared" si="3"/>
        <v/>
      </c>
      <c r="O7" s="20" t="str">
        <f t="shared" si="4"/>
        <v/>
      </c>
    </row>
    <row r="8" spans="1:15">
      <c r="A8" s="20" t="str">
        <f>Teams!A8</f>
        <v>A</v>
      </c>
      <c r="B8" s="20">
        <f>Teams!B8</f>
        <v>5</v>
      </c>
      <c r="C8" s="20">
        <f>Teams!D8</f>
        <v>0</v>
      </c>
      <c r="D8" s="20">
        <f>Teams!F8</f>
        <v>0</v>
      </c>
      <c r="E8" s="20" t="str">
        <f>IF($D8=0,"",SUMIFS(Scores!$I$4:$I$227,Scores!$B$4:$B$227,$A8,Scores!$J$4:$J$227,$B8)+SUMIFS(Scores!$I$4:$I$227,Scores!$B$4:$B$227,$A8,Scores!$K$4:$K$227,$B8))</f>
        <v/>
      </c>
      <c r="F8" s="20" t="str">
        <f>IF($D8=0,"",SUMIFS(Scores!$L$4:$L$227,Scores!$B$4:$B$227,$A8,Scores!$J$4:$J$227,$B8)+SUMIFS(Scores!$M$4:$M$227,Scores!$B$4:$B$227,$A8,Scores!$K$4:$K$227,$B8))</f>
        <v/>
      </c>
      <c r="G8" s="20" t="str">
        <f>IF($D8=0,"",SUMIFS(Scores!$N$4:$N$227,Scores!$B$4:$B$227,$A8,Scores!$J$4:$J$227,$B8)+SUMIFS(Scores!$N$4:$N$227,Scores!$B$4:$B$227,$A8,Scores!$K$4:$K$227,$B8))</f>
        <v/>
      </c>
      <c r="H8" s="20" t="str">
        <f t="shared" si="0"/>
        <v/>
      </c>
      <c r="I8" s="20" t="str">
        <f>IF($D8=0,"",SUMIFS(Scores!$O$4:$O$227,Scores!$B$4:$B$227,$A8,Scores!$J$4:$J$227,$B8)+SUMIFS(Scores!$Q$4:$Q$227,Scores!$B$4:$B$227,$A8,Scores!$K$4:$K$227,$B8))</f>
        <v/>
      </c>
      <c r="J8" s="20" t="str">
        <f>IF($D8=0,"",SUMIFS(Scores!$P$4:$P$227,Scores!$B$4:$B$227,$A8,Scores!$J$4:$J$227,$B8)+SUMIFS(Scores!$R$4:$R$227,Scores!$B$4:$B$227,$A8,Scores!$K$4:$K$227,$B8))</f>
        <v/>
      </c>
      <c r="K8" s="20" t="str">
        <f t="shared" si="1"/>
        <v/>
      </c>
      <c r="L8" s="20" t="str">
        <f>IF($D8=0,"",$F8*Setup!$B$11+$G8*Setup!$B$12+$H8*Setup!$B$13)</f>
        <v/>
      </c>
      <c r="M8" s="20" t="str">
        <f t="shared" si="2"/>
        <v/>
      </c>
      <c r="N8" s="20" t="str">
        <f t="shared" si="3"/>
        <v/>
      </c>
      <c r="O8" s="20" t="str">
        <f t="shared" si="4"/>
        <v/>
      </c>
    </row>
    <row r="9" spans="1:15">
      <c r="A9" s="20" t="str">
        <f>Teams!A9</f>
        <v>A</v>
      </c>
      <c r="B9" s="20">
        <f>Teams!B9</f>
        <v>6</v>
      </c>
      <c r="C9" s="20">
        <f>Teams!D9</f>
        <v>0</v>
      </c>
      <c r="D9" s="20">
        <f>Teams!F9</f>
        <v>0</v>
      </c>
      <c r="E9" s="20" t="str">
        <f>IF($D9=0,"",SUMIFS(Scores!$I$4:$I$227,Scores!$B$4:$B$227,$A9,Scores!$J$4:$J$227,$B9)+SUMIFS(Scores!$I$4:$I$227,Scores!$B$4:$B$227,$A9,Scores!$K$4:$K$227,$B9))</f>
        <v/>
      </c>
      <c r="F9" s="20" t="str">
        <f>IF($D9=0,"",SUMIFS(Scores!$L$4:$L$227,Scores!$B$4:$B$227,$A9,Scores!$J$4:$J$227,$B9)+SUMIFS(Scores!$M$4:$M$227,Scores!$B$4:$B$227,$A9,Scores!$K$4:$K$227,$B9))</f>
        <v/>
      </c>
      <c r="G9" s="20" t="str">
        <f>IF($D9=0,"",SUMIFS(Scores!$N$4:$N$227,Scores!$B$4:$B$227,$A9,Scores!$J$4:$J$227,$B9)+SUMIFS(Scores!$N$4:$N$227,Scores!$B$4:$B$227,$A9,Scores!$K$4:$K$227,$B9))</f>
        <v/>
      </c>
      <c r="H9" s="20" t="str">
        <f t="shared" si="0"/>
        <v/>
      </c>
      <c r="I9" s="20" t="str">
        <f>IF($D9=0,"",SUMIFS(Scores!$O$4:$O$227,Scores!$B$4:$B$227,$A9,Scores!$J$4:$J$227,$B9)+SUMIFS(Scores!$Q$4:$Q$227,Scores!$B$4:$B$227,$A9,Scores!$K$4:$K$227,$B9))</f>
        <v/>
      </c>
      <c r="J9" s="20" t="str">
        <f>IF($D9=0,"",SUMIFS(Scores!$P$4:$P$227,Scores!$B$4:$B$227,$A9,Scores!$J$4:$J$227,$B9)+SUMIFS(Scores!$R$4:$R$227,Scores!$B$4:$B$227,$A9,Scores!$K$4:$K$227,$B9))</f>
        <v/>
      </c>
      <c r="K9" s="20" t="str">
        <f t="shared" si="1"/>
        <v/>
      </c>
      <c r="L9" s="20" t="str">
        <f>IF($D9=0,"",$F9*Setup!$B$11+$G9*Setup!$B$12+$H9*Setup!$B$13)</f>
        <v/>
      </c>
      <c r="M9" s="20" t="str">
        <f t="shared" si="2"/>
        <v/>
      </c>
      <c r="N9" s="20" t="str">
        <f t="shared" si="3"/>
        <v/>
      </c>
      <c r="O9" s="20" t="str">
        <f t="shared" si="4"/>
        <v/>
      </c>
    </row>
    <row r="10" spans="1:15">
      <c r="A10" s="20" t="str">
        <f>Teams!A10</f>
        <v>A</v>
      </c>
      <c r="B10" s="20">
        <f>Teams!B10</f>
        <v>7</v>
      </c>
      <c r="C10" s="20">
        <f>Teams!D10</f>
        <v>0</v>
      </c>
      <c r="D10" s="20">
        <f>Teams!F10</f>
        <v>0</v>
      </c>
      <c r="E10" s="20" t="str">
        <f>IF($D10=0,"",SUMIFS(Scores!$I$4:$I$227,Scores!$B$4:$B$227,$A10,Scores!$J$4:$J$227,$B10)+SUMIFS(Scores!$I$4:$I$227,Scores!$B$4:$B$227,$A10,Scores!$K$4:$K$227,$B10))</f>
        <v/>
      </c>
      <c r="F10" s="20" t="str">
        <f>IF($D10=0,"",SUMIFS(Scores!$L$4:$L$227,Scores!$B$4:$B$227,$A10,Scores!$J$4:$J$227,$B10)+SUMIFS(Scores!$M$4:$M$227,Scores!$B$4:$B$227,$A10,Scores!$K$4:$K$227,$B10))</f>
        <v/>
      </c>
      <c r="G10" s="20" t="str">
        <f>IF($D10=0,"",SUMIFS(Scores!$N$4:$N$227,Scores!$B$4:$B$227,$A10,Scores!$J$4:$J$227,$B10)+SUMIFS(Scores!$N$4:$N$227,Scores!$B$4:$B$227,$A10,Scores!$K$4:$K$227,$B10))</f>
        <v/>
      </c>
      <c r="H10" s="20" t="str">
        <f t="shared" si="0"/>
        <v/>
      </c>
      <c r="I10" s="20" t="str">
        <f>IF($D10=0,"",SUMIFS(Scores!$O$4:$O$227,Scores!$B$4:$B$227,$A10,Scores!$J$4:$J$227,$B10)+SUMIFS(Scores!$Q$4:$Q$227,Scores!$B$4:$B$227,$A10,Scores!$K$4:$K$227,$B10))</f>
        <v/>
      </c>
      <c r="J10" s="20" t="str">
        <f>IF($D10=0,"",SUMIFS(Scores!$P$4:$P$227,Scores!$B$4:$B$227,$A10,Scores!$J$4:$J$227,$B10)+SUMIFS(Scores!$R$4:$R$227,Scores!$B$4:$B$227,$A10,Scores!$K$4:$K$227,$B10))</f>
        <v/>
      </c>
      <c r="K10" s="20" t="str">
        <f t="shared" si="1"/>
        <v/>
      </c>
      <c r="L10" s="20" t="str">
        <f>IF($D10=0,"",$F10*Setup!$B$11+$G10*Setup!$B$12+$H10*Setup!$B$13)</f>
        <v/>
      </c>
      <c r="M10" s="20" t="str">
        <f t="shared" si="2"/>
        <v/>
      </c>
      <c r="N10" s="20" t="str">
        <f t="shared" si="3"/>
        <v/>
      </c>
      <c r="O10" s="20" t="str">
        <f t="shared" si="4"/>
        <v/>
      </c>
    </row>
    <row r="11" spans="1:15">
      <c r="A11" s="20" t="str">
        <f>Teams!A11</f>
        <v>A</v>
      </c>
      <c r="B11" s="20">
        <f>Teams!B11</f>
        <v>8</v>
      </c>
      <c r="C11" s="20">
        <f>Teams!D11</f>
        <v>0</v>
      </c>
      <c r="D11" s="20">
        <f>Teams!F11</f>
        <v>0</v>
      </c>
      <c r="E11" s="20" t="str">
        <f>IF($D11=0,"",SUMIFS(Scores!$I$4:$I$227,Scores!$B$4:$B$227,$A11,Scores!$J$4:$J$227,$B11)+SUMIFS(Scores!$I$4:$I$227,Scores!$B$4:$B$227,$A11,Scores!$K$4:$K$227,$B11))</f>
        <v/>
      </c>
      <c r="F11" s="20" t="str">
        <f>IF($D11=0,"",SUMIFS(Scores!$L$4:$L$227,Scores!$B$4:$B$227,$A11,Scores!$J$4:$J$227,$B11)+SUMIFS(Scores!$M$4:$M$227,Scores!$B$4:$B$227,$A11,Scores!$K$4:$K$227,$B11))</f>
        <v/>
      </c>
      <c r="G11" s="20" t="str">
        <f>IF($D11=0,"",SUMIFS(Scores!$N$4:$N$227,Scores!$B$4:$B$227,$A11,Scores!$J$4:$J$227,$B11)+SUMIFS(Scores!$N$4:$N$227,Scores!$B$4:$B$227,$A11,Scores!$K$4:$K$227,$B11))</f>
        <v/>
      </c>
      <c r="H11" s="20" t="str">
        <f t="shared" si="0"/>
        <v/>
      </c>
      <c r="I11" s="20" t="str">
        <f>IF($D11=0,"",SUMIFS(Scores!$O$4:$O$227,Scores!$B$4:$B$227,$A11,Scores!$J$4:$J$227,$B11)+SUMIFS(Scores!$Q$4:$Q$227,Scores!$B$4:$B$227,$A11,Scores!$K$4:$K$227,$B11))</f>
        <v/>
      </c>
      <c r="J11" s="20" t="str">
        <f>IF($D11=0,"",SUMIFS(Scores!$P$4:$P$227,Scores!$B$4:$B$227,$A11,Scores!$J$4:$J$227,$B11)+SUMIFS(Scores!$R$4:$R$227,Scores!$B$4:$B$227,$A11,Scores!$K$4:$K$227,$B11))</f>
        <v/>
      </c>
      <c r="K11" s="20" t="str">
        <f t="shared" si="1"/>
        <v/>
      </c>
      <c r="L11" s="20" t="str">
        <f>IF($D11=0,"",$F11*Setup!$B$11+$G11*Setup!$B$12+$H11*Setup!$B$13)</f>
        <v/>
      </c>
      <c r="M11" s="20" t="str">
        <f t="shared" si="2"/>
        <v/>
      </c>
      <c r="N11" s="20" t="str">
        <f t="shared" si="3"/>
        <v/>
      </c>
      <c r="O11" s="20" t="str">
        <f t="shared" si="4"/>
        <v/>
      </c>
    </row>
    <row r="12" spans="1:15">
      <c r="A12" s="20" t="str">
        <f>Teams!A12</f>
        <v>B</v>
      </c>
      <c r="B12" s="20">
        <f>Teams!B12</f>
        <v>1</v>
      </c>
      <c r="C12" s="20">
        <f>Teams!D12</f>
        <v>0</v>
      </c>
      <c r="D12" s="20">
        <f>Teams!F12</f>
        <v>0</v>
      </c>
      <c r="E12" s="20" t="str">
        <f>IF($D12=0,"",SUMIFS(Scores!$I$4:$I$227,Scores!$B$4:$B$227,$A12,Scores!$J$4:$J$227,$B12)+SUMIFS(Scores!$I$4:$I$227,Scores!$B$4:$B$227,$A12,Scores!$K$4:$K$227,$B12))</f>
        <v/>
      </c>
      <c r="F12" s="20" t="str">
        <f>IF($D12=0,"",SUMIFS(Scores!$L$4:$L$227,Scores!$B$4:$B$227,$A12,Scores!$J$4:$J$227,$B12)+SUMIFS(Scores!$M$4:$M$227,Scores!$B$4:$B$227,$A12,Scores!$K$4:$K$227,$B12))</f>
        <v/>
      </c>
      <c r="G12" s="20" t="str">
        <f>IF($D12=0,"",SUMIFS(Scores!$N$4:$N$227,Scores!$B$4:$B$227,$A12,Scores!$J$4:$J$227,$B12)+SUMIFS(Scores!$N$4:$N$227,Scores!$B$4:$B$227,$A12,Scores!$K$4:$K$227,$B12))</f>
        <v/>
      </c>
      <c r="H12" s="20" t="str">
        <f t="shared" si="0"/>
        <v/>
      </c>
      <c r="I12" s="20" t="str">
        <f>IF($D12=0,"",SUMIFS(Scores!$O$4:$O$227,Scores!$B$4:$B$227,$A12,Scores!$J$4:$J$227,$B12)+SUMIFS(Scores!$Q$4:$Q$227,Scores!$B$4:$B$227,$A12,Scores!$K$4:$K$227,$B12))</f>
        <v/>
      </c>
      <c r="J12" s="20" t="str">
        <f>IF($D12=0,"",SUMIFS(Scores!$P$4:$P$227,Scores!$B$4:$B$227,$A12,Scores!$J$4:$J$227,$B12)+SUMIFS(Scores!$R$4:$R$227,Scores!$B$4:$B$227,$A12,Scores!$K$4:$K$227,$B12))</f>
        <v/>
      </c>
      <c r="K12" s="20" t="str">
        <f t="shared" si="1"/>
        <v/>
      </c>
      <c r="L12" s="20" t="str">
        <f>IF($D12=0,"",$F12*Setup!$B$11+$G12*Setup!$B$12+$H12*Setup!$B$13)</f>
        <v/>
      </c>
      <c r="M12" s="20" t="str">
        <f t="shared" si="2"/>
        <v/>
      </c>
      <c r="N12" s="20" t="str">
        <f t="shared" si="3"/>
        <v/>
      </c>
      <c r="O12" s="20" t="str">
        <f t="shared" si="4"/>
        <v/>
      </c>
    </row>
    <row r="13" spans="1:15">
      <c r="A13" s="20" t="str">
        <f>Teams!A13</f>
        <v>B</v>
      </c>
      <c r="B13" s="20">
        <f>Teams!B13</f>
        <v>2</v>
      </c>
      <c r="C13" s="20">
        <f>Teams!D13</f>
        <v>0</v>
      </c>
      <c r="D13" s="20">
        <f>Teams!F13</f>
        <v>0</v>
      </c>
      <c r="E13" s="20" t="str">
        <f>IF($D13=0,"",SUMIFS(Scores!$I$4:$I$227,Scores!$B$4:$B$227,$A13,Scores!$J$4:$J$227,$B13)+SUMIFS(Scores!$I$4:$I$227,Scores!$B$4:$B$227,$A13,Scores!$K$4:$K$227,$B13))</f>
        <v/>
      </c>
      <c r="F13" s="20" t="str">
        <f>IF($D13=0,"",SUMIFS(Scores!$L$4:$L$227,Scores!$B$4:$B$227,$A13,Scores!$J$4:$J$227,$B13)+SUMIFS(Scores!$M$4:$M$227,Scores!$B$4:$B$227,$A13,Scores!$K$4:$K$227,$B13))</f>
        <v/>
      </c>
      <c r="G13" s="20" t="str">
        <f>IF($D13=0,"",SUMIFS(Scores!$N$4:$N$227,Scores!$B$4:$B$227,$A13,Scores!$J$4:$J$227,$B13)+SUMIFS(Scores!$N$4:$N$227,Scores!$B$4:$B$227,$A13,Scores!$K$4:$K$227,$B13))</f>
        <v/>
      </c>
      <c r="H13" s="20" t="str">
        <f t="shared" si="0"/>
        <v/>
      </c>
      <c r="I13" s="20" t="str">
        <f>IF($D13=0,"",SUMIFS(Scores!$O$4:$O$227,Scores!$B$4:$B$227,$A13,Scores!$J$4:$J$227,$B13)+SUMIFS(Scores!$Q$4:$Q$227,Scores!$B$4:$B$227,$A13,Scores!$K$4:$K$227,$B13))</f>
        <v/>
      </c>
      <c r="J13" s="20" t="str">
        <f>IF($D13=0,"",SUMIFS(Scores!$P$4:$P$227,Scores!$B$4:$B$227,$A13,Scores!$J$4:$J$227,$B13)+SUMIFS(Scores!$R$4:$R$227,Scores!$B$4:$B$227,$A13,Scores!$K$4:$K$227,$B13))</f>
        <v/>
      </c>
      <c r="K13" s="20" t="str">
        <f t="shared" si="1"/>
        <v/>
      </c>
      <c r="L13" s="20" t="str">
        <f>IF($D13=0,"",$F13*Setup!$B$11+$G13*Setup!$B$12+$H13*Setup!$B$13)</f>
        <v/>
      </c>
      <c r="M13" s="20" t="str">
        <f t="shared" si="2"/>
        <v/>
      </c>
      <c r="N13" s="20" t="str">
        <f t="shared" si="3"/>
        <v/>
      </c>
      <c r="O13" s="20" t="str">
        <f t="shared" si="4"/>
        <v/>
      </c>
    </row>
    <row r="14" spans="1:15">
      <c r="A14" s="20" t="str">
        <f>Teams!A14</f>
        <v>B</v>
      </c>
      <c r="B14" s="20">
        <f>Teams!B14</f>
        <v>3</v>
      </c>
      <c r="C14" s="20">
        <f>Teams!D14</f>
        <v>0</v>
      </c>
      <c r="D14" s="20">
        <f>Teams!F14</f>
        <v>0</v>
      </c>
      <c r="E14" s="20" t="str">
        <f>IF($D14=0,"",SUMIFS(Scores!$I$4:$I$227,Scores!$B$4:$B$227,$A14,Scores!$J$4:$J$227,$B14)+SUMIFS(Scores!$I$4:$I$227,Scores!$B$4:$B$227,$A14,Scores!$K$4:$K$227,$B14))</f>
        <v/>
      </c>
      <c r="F14" s="20" t="str">
        <f>IF($D14=0,"",SUMIFS(Scores!$L$4:$L$227,Scores!$B$4:$B$227,$A14,Scores!$J$4:$J$227,$B14)+SUMIFS(Scores!$M$4:$M$227,Scores!$B$4:$B$227,$A14,Scores!$K$4:$K$227,$B14))</f>
        <v/>
      </c>
      <c r="G14" s="20" t="str">
        <f>IF($D14=0,"",SUMIFS(Scores!$N$4:$N$227,Scores!$B$4:$B$227,$A14,Scores!$J$4:$J$227,$B14)+SUMIFS(Scores!$N$4:$N$227,Scores!$B$4:$B$227,$A14,Scores!$K$4:$K$227,$B14))</f>
        <v/>
      </c>
      <c r="H14" s="20" t="str">
        <f t="shared" si="0"/>
        <v/>
      </c>
      <c r="I14" s="20" t="str">
        <f>IF($D14=0,"",SUMIFS(Scores!$O$4:$O$227,Scores!$B$4:$B$227,$A14,Scores!$J$4:$J$227,$B14)+SUMIFS(Scores!$Q$4:$Q$227,Scores!$B$4:$B$227,$A14,Scores!$K$4:$K$227,$B14))</f>
        <v/>
      </c>
      <c r="J14" s="20" t="str">
        <f>IF($D14=0,"",SUMIFS(Scores!$P$4:$P$227,Scores!$B$4:$B$227,$A14,Scores!$J$4:$J$227,$B14)+SUMIFS(Scores!$R$4:$R$227,Scores!$B$4:$B$227,$A14,Scores!$K$4:$K$227,$B14))</f>
        <v/>
      </c>
      <c r="K14" s="20" t="str">
        <f t="shared" si="1"/>
        <v/>
      </c>
      <c r="L14" s="20" t="str">
        <f>IF($D14=0,"",$F14*Setup!$B$11+$G14*Setup!$B$12+$H14*Setup!$B$13)</f>
        <v/>
      </c>
      <c r="M14" s="20" t="str">
        <f t="shared" si="2"/>
        <v/>
      </c>
      <c r="N14" s="20" t="str">
        <f t="shared" si="3"/>
        <v/>
      </c>
      <c r="O14" s="20" t="str">
        <f t="shared" si="4"/>
        <v/>
      </c>
    </row>
    <row r="15" spans="1:15">
      <c r="A15" s="20" t="str">
        <f>Teams!A15</f>
        <v>B</v>
      </c>
      <c r="B15" s="20">
        <f>Teams!B15</f>
        <v>4</v>
      </c>
      <c r="C15" s="20">
        <f>Teams!D15</f>
        <v>0</v>
      </c>
      <c r="D15" s="20">
        <f>Teams!F15</f>
        <v>0</v>
      </c>
      <c r="E15" s="20" t="str">
        <f>IF($D15=0,"",SUMIFS(Scores!$I$4:$I$227,Scores!$B$4:$B$227,$A15,Scores!$J$4:$J$227,$B15)+SUMIFS(Scores!$I$4:$I$227,Scores!$B$4:$B$227,$A15,Scores!$K$4:$K$227,$B15))</f>
        <v/>
      </c>
      <c r="F15" s="20" t="str">
        <f>IF($D15=0,"",SUMIFS(Scores!$L$4:$L$227,Scores!$B$4:$B$227,$A15,Scores!$J$4:$J$227,$B15)+SUMIFS(Scores!$M$4:$M$227,Scores!$B$4:$B$227,$A15,Scores!$K$4:$K$227,$B15))</f>
        <v/>
      </c>
      <c r="G15" s="20" t="str">
        <f>IF($D15=0,"",SUMIFS(Scores!$N$4:$N$227,Scores!$B$4:$B$227,$A15,Scores!$J$4:$J$227,$B15)+SUMIFS(Scores!$N$4:$N$227,Scores!$B$4:$B$227,$A15,Scores!$K$4:$K$227,$B15))</f>
        <v/>
      </c>
      <c r="H15" s="20" t="str">
        <f t="shared" si="0"/>
        <v/>
      </c>
      <c r="I15" s="20" t="str">
        <f>IF($D15=0,"",SUMIFS(Scores!$O$4:$O$227,Scores!$B$4:$B$227,$A15,Scores!$J$4:$J$227,$B15)+SUMIFS(Scores!$Q$4:$Q$227,Scores!$B$4:$B$227,$A15,Scores!$K$4:$K$227,$B15))</f>
        <v/>
      </c>
      <c r="J15" s="20" t="str">
        <f>IF($D15=0,"",SUMIFS(Scores!$P$4:$P$227,Scores!$B$4:$B$227,$A15,Scores!$J$4:$J$227,$B15)+SUMIFS(Scores!$R$4:$R$227,Scores!$B$4:$B$227,$A15,Scores!$K$4:$K$227,$B15))</f>
        <v/>
      </c>
      <c r="K15" s="20" t="str">
        <f t="shared" si="1"/>
        <v/>
      </c>
      <c r="L15" s="20" t="str">
        <f>IF($D15=0,"",$F15*Setup!$B$11+$G15*Setup!$B$12+$H15*Setup!$B$13)</f>
        <v/>
      </c>
      <c r="M15" s="20" t="str">
        <f t="shared" si="2"/>
        <v/>
      </c>
      <c r="N15" s="20" t="str">
        <f t="shared" si="3"/>
        <v/>
      </c>
      <c r="O15" s="20" t="str">
        <f t="shared" si="4"/>
        <v/>
      </c>
    </row>
    <row r="16" spans="1:15">
      <c r="A16" s="20" t="str">
        <f>Teams!A16</f>
        <v>B</v>
      </c>
      <c r="B16" s="20">
        <f>Teams!B16</f>
        <v>5</v>
      </c>
      <c r="C16" s="20">
        <f>Teams!D16</f>
        <v>0</v>
      </c>
      <c r="D16" s="20">
        <f>Teams!F16</f>
        <v>0</v>
      </c>
      <c r="E16" s="20" t="str">
        <f>IF($D16=0,"",SUMIFS(Scores!$I$4:$I$227,Scores!$B$4:$B$227,$A16,Scores!$J$4:$J$227,$B16)+SUMIFS(Scores!$I$4:$I$227,Scores!$B$4:$B$227,$A16,Scores!$K$4:$K$227,$B16))</f>
        <v/>
      </c>
      <c r="F16" s="20" t="str">
        <f>IF($D16=0,"",SUMIFS(Scores!$L$4:$L$227,Scores!$B$4:$B$227,$A16,Scores!$J$4:$J$227,$B16)+SUMIFS(Scores!$M$4:$M$227,Scores!$B$4:$B$227,$A16,Scores!$K$4:$K$227,$B16))</f>
        <v/>
      </c>
      <c r="G16" s="20" t="str">
        <f>IF($D16=0,"",SUMIFS(Scores!$N$4:$N$227,Scores!$B$4:$B$227,$A16,Scores!$J$4:$J$227,$B16)+SUMIFS(Scores!$N$4:$N$227,Scores!$B$4:$B$227,$A16,Scores!$K$4:$K$227,$B16))</f>
        <v/>
      </c>
      <c r="H16" s="20" t="str">
        <f t="shared" si="0"/>
        <v/>
      </c>
      <c r="I16" s="20" t="str">
        <f>IF($D16=0,"",SUMIFS(Scores!$O$4:$O$227,Scores!$B$4:$B$227,$A16,Scores!$J$4:$J$227,$B16)+SUMIFS(Scores!$Q$4:$Q$227,Scores!$B$4:$B$227,$A16,Scores!$K$4:$K$227,$B16))</f>
        <v/>
      </c>
      <c r="J16" s="20" t="str">
        <f>IF($D16=0,"",SUMIFS(Scores!$P$4:$P$227,Scores!$B$4:$B$227,$A16,Scores!$J$4:$J$227,$B16)+SUMIFS(Scores!$R$4:$R$227,Scores!$B$4:$B$227,$A16,Scores!$K$4:$K$227,$B16))</f>
        <v/>
      </c>
      <c r="K16" s="20" t="str">
        <f t="shared" si="1"/>
        <v/>
      </c>
      <c r="L16" s="20" t="str">
        <f>IF($D16=0,"",$F16*Setup!$B$11+$G16*Setup!$B$12+$H16*Setup!$B$13)</f>
        <v/>
      </c>
      <c r="M16" s="20" t="str">
        <f t="shared" si="2"/>
        <v/>
      </c>
      <c r="N16" s="20" t="str">
        <f t="shared" si="3"/>
        <v/>
      </c>
      <c r="O16" s="20" t="str">
        <f t="shared" si="4"/>
        <v/>
      </c>
    </row>
    <row r="17" spans="1:15">
      <c r="A17" s="20" t="str">
        <f>Teams!A17</f>
        <v>B</v>
      </c>
      <c r="B17" s="20">
        <f>Teams!B17</f>
        <v>6</v>
      </c>
      <c r="C17" s="20">
        <f>Teams!D17</f>
        <v>0</v>
      </c>
      <c r="D17" s="20">
        <f>Teams!F17</f>
        <v>0</v>
      </c>
      <c r="E17" s="20" t="str">
        <f>IF($D17=0,"",SUMIFS(Scores!$I$4:$I$227,Scores!$B$4:$B$227,$A17,Scores!$J$4:$J$227,$B17)+SUMIFS(Scores!$I$4:$I$227,Scores!$B$4:$B$227,$A17,Scores!$K$4:$K$227,$B17))</f>
        <v/>
      </c>
      <c r="F17" s="20" t="str">
        <f>IF($D17=0,"",SUMIFS(Scores!$L$4:$L$227,Scores!$B$4:$B$227,$A17,Scores!$J$4:$J$227,$B17)+SUMIFS(Scores!$M$4:$M$227,Scores!$B$4:$B$227,$A17,Scores!$K$4:$K$227,$B17))</f>
        <v/>
      </c>
      <c r="G17" s="20" t="str">
        <f>IF($D17=0,"",SUMIFS(Scores!$N$4:$N$227,Scores!$B$4:$B$227,$A17,Scores!$J$4:$J$227,$B17)+SUMIFS(Scores!$N$4:$N$227,Scores!$B$4:$B$227,$A17,Scores!$K$4:$K$227,$B17))</f>
        <v/>
      </c>
      <c r="H17" s="20" t="str">
        <f t="shared" si="0"/>
        <v/>
      </c>
      <c r="I17" s="20" t="str">
        <f>IF($D17=0,"",SUMIFS(Scores!$O$4:$O$227,Scores!$B$4:$B$227,$A17,Scores!$J$4:$J$227,$B17)+SUMIFS(Scores!$Q$4:$Q$227,Scores!$B$4:$B$227,$A17,Scores!$K$4:$K$227,$B17))</f>
        <v/>
      </c>
      <c r="J17" s="20" t="str">
        <f>IF($D17=0,"",SUMIFS(Scores!$P$4:$P$227,Scores!$B$4:$B$227,$A17,Scores!$J$4:$J$227,$B17)+SUMIFS(Scores!$R$4:$R$227,Scores!$B$4:$B$227,$A17,Scores!$K$4:$K$227,$B17))</f>
        <v/>
      </c>
      <c r="K17" s="20" t="str">
        <f t="shared" si="1"/>
        <v/>
      </c>
      <c r="L17" s="20" t="str">
        <f>IF($D17=0,"",$F17*Setup!$B$11+$G17*Setup!$B$12+$H17*Setup!$B$13)</f>
        <v/>
      </c>
      <c r="M17" s="20" t="str">
        <f t="shared" si="2"/>
        <v/>
      </c>
      <c r="N17" s="20" t="str">
        <f t="shared" si="3"/>
        <v/>
      </c>
      <c r="O17" s="20" t="str">
        <f t="shared" si="4"/>
        <v/>
      </c>
    </row>
    <row r="18" spans="1:15">
      <c r="A18" s="20" t="str">
        <f>Teams!A18</f>
        <v>B</v>
      </c>
      <c r="B18" s="20">
        <f>Teams!B18</f>
        <v>7</v>
      </c>
      <c r="C18" s="20">
        <f>Teams!D18</f>
        <v>0</v>
      </c>
      <c r="D18" s="20">
        <f>Teams!F18</f>
        <v>0</v>
      </c>
      <c r="E18" s="20" t="str">
        <f>IF($D18=0,"",SUMIFS(Scores!$I$4:$I$227,Scores!$B$4:$B$227,$A18,Scores!$J$4:$J$227,$B18)+SUMIFS(Scores!$I$4:$I$227,Scores!$B$4:$B$227,$A18,Scores!$K$4:$K$227,$B18))</f>
        <v/>
      </c>
      <c r="F18" s="20" t="str">
        <f>IF($D18=0,"",SUMIFS(Scores!$L$4:$L$227,Scores!$B$4:$B$227,$A18,Scores!$J$4:$J$227,$B18)+SUMIFS(Scores!$M$4:$M$227,Scores!$B$4:$B$227,$A18,Scores!$K$4:$K$227,$B18))</f>
        <v/>
      </c>
      <c r="G18" s="20" t="str">
        <f>IF($D18=0,"",SUMIFS(Scores!$N$4:$N$227,Scores!$B$4:$B$227,$A18,Scores!$J$4:$J$227,$B18)+SUMIFS(Scores!$N$4:$N$227,Scores!$B$4:$B$227,$A18,Scores!$K$4:$K$227,$B18))</f>
        <v/>
      </c>
      <c r="H18" s="20" t="str">
        <f t="shared" si="0"/>
        <v/>
      </c>
      <c r="I18" s="20" t="str">
        <f>IF($D18=0,"",SUMIFS(Scores!$O$4:$O$227,Scores!$B$4:$B$227,$A18,Scores!$J$4:$J$227,$B18)+SUMIFS(Scores!$Q$4:$Q$227,Scores!$B$4:$B$227,$A18,Scores!$K$4:$K$227,$B18))</f>
        <v/>
      </c>
      <c r="J18" s="20" t="str">
        <f>IF($D18=0,"",SUMIFS(Scores!$P$4:$P$227,Scores!$B$4:$B$227,$A18,Scores!$J$4:$J$227,$B18)+SUMIFS(Scores!$R$4:$R$227,Scores!$B$4:$B$227,$A18,Scores!$K$4:$K$227,$B18))</f>
        <v/>
      </c>
      <c r="K18" s="20" t="str">
        <f t="shared" si="1"/>
        <v/>
      </c>
      <c r="L18" s="20" t="str">
        <f>IF($D18=0,"",$F18*Setup!$B$11+$G18*Setup!$B$12+$H18*Setup!$B$13)</f>
        <v/>
      </c>
      <c r="M18" s="20" t="str">
        <f t="shared" si="2"/>
        <v/>
      </c>
      <c r="N18" s="20" t="str">
        <f t="shared" si="3"/>
        <v/>
      </c>
      <c r="O18" s="20" t="str">
        <f t="shared" si="4"/>
        <v/>
      </c>
    </row>
    <row r="19" spans="1:15">
      <c r="A19" s="20" t="str">
        <f>Teams!A19</f>
        <v>B</v>
      </c>
      <c r="B19" s="20">
        <f>Teams!B19</f>
        <v>8</v>
      </c>
      <c r="C19" s="20">
        <f>Teams!D19</f>
        <v>0</v>
      </c>
      <c r="D19" s="20">
        <f>Teams!F19</f>
        <v>0</v>
      </c>
      <c r="E19" s="20" t="str">
        <f>IF($D19=0,"",SUMIFS(Scores!$I$4:$I$227,Scores!$B$4:$B$227,$A19,Scores!$J$4:$J$227,$B19)+SUMIFS(Scores!$I$4:$I$227,Scores!$B$4:$B$227,$A19,Scores!$K$4:$K$227,$B19))</f>
        <v/>
      </c>
      <c r="F19" s="20" t="str">
        <f>IF($D19=0,"",SUMIFS(Scores!$L$4:$L$227,Scores!$B$4:$B$227,$A19,Scores!$J$4:$J$227,$B19)+SUMIFS(Scores!$M$4:$M$227,Scores!$B$4:$B$227,$A19,Scores!$K$4:$K$227,$B19))</f>
        <v/>
      </c>
      <c r="G19" s="20" t="str">
        <f>IF($D19=0,"",SUMIFS(Scores!$N$4:$N$227,Scores!$B$4:$B$227,$A19,Scores!$J$4:$J$227,$B19)+SUMIFS(Scores!$N$4:$N$227,Scores!$B$4:$B$227,$A19,Scores!$K$4:$K$227,$B19))</f>
        <v/>
      </c>
      <c r="H19" s="20" t="str">
        <f t="shared" si="0"/>
        <v/>
      </c>
      <c r="I19" s="20" t="str">
        <f>IF($D19=0,"",SUMIFS(Scores!$O$4:$O$227,Scores!$B$4:$B$227,$A19,Scores!$J$4:$J$227,$B19)+SUMIFS(Scores!$Q$4:$Q$227,Scores!$B$4:$B$227,$A19,Scores!$K$4:$K$227,$B19))</f>
        <v/>
      </c>
      <c r="J19" s="20" t="str">
        <f>IF($D19=0,"",SUMIFS(Scores!$P$4:$P$227,Scores!$B$4:$B$227,$A19,Scores!$J$4:$J$227,$B19)+SUMIFS(Scores!$R$4:$R$227,Scores!$B$4:$B$227,$A19,Scores!$K$4:$K$227,$B19))</f>
        <v/>
      </c>
      <c r="K19" s="20" t="str">
        <f t="shared" si="1"/>
        <v/>
      </c>
      <c r="L19" s="20" t="str">
        <f>IF($D19=0,"",$F19*Setup!$B$11+$G19*Setup!$B$12+$H19*Setup!$B$13)</f>
        <v/>
      </c>
      <c r="M19" s="20" t="str">
        <f t="shared" si="2"/>
        <v/>
      </c>
      <c r="N19" s="20" t="str">
        <f t="shared" si="3"/>
        <v/>
      </c>
      <c r="O19" s="20" t="str">
        <f t="shared" si="4"/>
        <v/>
      </c>
    </row>
    <row r="20" spans="1:15">
      <c r="A20" s="20" t="str">
        <f>Teams!A20</f>
        <v>C</v>
      </c>
      <c r="B20" s="20">
        <f>Teams!B20</f>
        <v>1</v>
      </c>
      <c r="C20" s="20">
        <f>Teams!D20</f>
        <v>0</v>
      </c>
      <c r="D20" s="20">
        <f>Teams!F20</f>
        <v>0</v>
      </c>
      <c r="E20" s="20" t="str">
        <f>IF($D20=0,"",SUMIFS(Scores!$I$4:$I$227,Scores!$B$4:$B$227,$A20,Scores!$J$4:$J$227,$B20)+SUMIFS(Scores!$I$4:$I$227,Scores!$B$4:$B$227,$A20,Scores!$K$4:$K$227,$B20))</f>
        <v/>
      </c>
      <c r="F20" s="20" t="str">
        <f>IF($D20=0,"",SUMIFS(Scores!$L$4:$L$227,Scores!$B$4:$B$227,$A20,Scores!$J$4:$J$227,$B20)+SUMIFS(Scores!$M$4:$M$227,Scores!$B$4:$B$227,$A20,Scores!$K$4:$K$227,$B20))</f>
        <v/>
      </c>
      <c r="G20" s="20" t="str">
        <f>IF($D20=0,"",SUMIFS(Scores!$N$4:$N$227,Scores!$B$4:$B$227,$A20,Scores!$J$4:$J$227,$B20)+SUMIFS(Scores!$N$4:$N$227,Scores!$B$4:$B$227,$A20,Scores!$K$4:$K$227,$B20))</f>
        <v/>
      </c>
      <c r="H20" s="20" t="str">
        <f t="shared" si="0"/>
        <v/>
      </c>
      <c r="I20" s="20" t="str">
        <f>IF($D20=0,"",SUMIFS(Scores!$O$4:$O$227,Scores!$B$4:$B$227,$A20,Scores!$J$4:$J$227,$B20)+SUMIFS(Scores!$Q$4:$Q$227,Scores!$B$4:$B$227,$A20,Scores!$K$4:$K$227,$B20))</f>
        <v/>
      </c>
      <c r="J20" s="20" t="str">
        <f>IF($D20=0,"",SUMIFS(Scores!$P$4:$P$227,Scores!$B$4:$B$227,$A20,Scores!$J$4:$J$227,$B20)+SUMIFS(Scores!$R$4:$R$227,Scores!$B$4:$B$227,$A20,Scores!$K$4:$K$227,$B20))</f>
        <v/>
      </c>
      <c r="K20" s="20" t="str">
        <f t="shared" si="1"/>
        <v/>
      </c>
      <c r="L20" s="20" t="str">
        <f>IF($D20=0,"",$F20*Setup!$B$11+$G20*Setup!$B$12+$H20*Setup!$B$13)</f>
        <v/>
      </c>
      <c r="M20" s="20" t="str">
        <f t="shared" si="2"/>
        <v/>
      </c>
      <c r="N20" s="20" t="str">
        <f t="shared" si="3"/>
        <v/>
      </c>
      <c r="O20" s="20" t="str">
        <f t="shared" si="4"/>
        <v/>
      </c>
    </row>
    <row r="21" spans="1:15">
      <c r="A21" s="20" t="str">
        <f>Teams!A21</f>
        <v>C</v>
      </c>
      <c r="B21" s="20">
        <f>Teams!B21</f>
        <v>2</v>
      </c>
      <c r="C21" s="20">
        <f>Teams!D21</f>
        <v>0</v>
      </c>
      <c r="D21" s="20">
        <f>Teams!F21</f>
        <v>0</v>
      </c>
      <c r="E21" s="20" t="str">
        <f>IF($D21=0,"",SUMIFS(Scores!$I$4:$I$227,Scores!$B$4:$B$227,$A21,Scores!$J$4:$J$227,$B21)+SUMIFS(Scores!$I$4:$I$227,Scores!$B$4:$B$227,$A21,Scores!$K$4:$K$227,$B21))</f>
        <v/>
      </c>
      <c r="F21" s="20" t="str">
        <f>IF($D21=0,"",SUMIFS(Scores!$L$4:$L$227,Scores!$B$4:$B$227,$A21,Scores!$J$4:$J$227,$B21)+SUMIFS(Scores!$M$4:$M$227,Scores!$B$4:$B$227,$A21,Scores!$K$4:$K$227,$B21))</f>
        <v/>
      </c>
      <c r="G21" s="20" t="str">
        <f>IF($D21=0,"",SUMIFS(Scores!$N$4:$N$227,Scores!$B$4:$B$227,$A21,Scores!$J$4:$J$227,$B21)+SUMIFS(Scores!$N$4:$N$227,Scores!$B$4:$B$227,$A21,Scores!$K$4:$K$227,$B21))</f>
        <v/>
      </c>
      <c r="H21" s="20" t="str">
        <f t="shared" si="0"/>
        <v/>
      </c>
      <c r="I21" s="20" t="str">
        <f>IF($D21=0,"",SUMIFS(Scores!$O$4:$O$227,Scores!$B$4:$B$227,$A21,Scores!$J$4:$J$227,$B21)+SUMIFS(Scores!$Q$4:$Q$227,Scores!$B$4:$B$227,$A21,Scores!$K$4:$K$227,$B21))</f>
        <v/>
      </c>
      <c r="J21" s="20" t="str">
        <f>IF($D21=0,"",SUMIFS(Scores!$P$4:$P$227,Scores!$B$4:$B$227,$A21,Scores!$J$4:$J$227,$B21)+SUMIFS(Scores!$R$4:$R$227,Scores!$B$4:$B$227,$A21,Scores!$K$4:$K$227,$B21))</f>
        <v/>
      </c>
      <c r="K21" s="20" t="str">
        <f t="shared" si="1"/>
        <v/>
      </c>
      <c r="L21" s="20" t="str">
        <f>IF($D21=0,"",$F21*Setup!$B$11+$G21*Setup!$B$12+$H21*Setup!$B$13)</f>
        <v/>
      </c>
      <c r="M21" s="20" t="str">
        <f t="shared" si="2"/>
        <v/>
      </c>
      <c r="N21" s="20" t="str">
        <f t="shared" si="3"/>
        <v/>
      </c>
      <c r="O21" s="20" t="str">
        <f t="shared" si="4"/>
        <v/>
      </c>
    </row>
    <row r="22" spans="1:15">
      <c r="A22" s="20" t="str">
        <f>Teams!A22</f>
        <v>C</v>
      </c>
      <c r="B22" s="20">
        <f>Teams!B22</f>
        <v>3</v>
      </c>
      <c r="C22" s="20">
        <f>Teams!D22</f>
        <v>0</v>
      </c>
      <c r="D22" s="20">
        <f>Teams!F22</f>
        <v>0</v>
      </c>
      <c r="E22" s="20" t="str">
        <f>IF($D22=0,"",SUMIFS(Scores!$I$4:$I$227,Scores!$B$4:$B$227,$A22,Scores!$J$4:$J$227,$B22)+SUMIFS(Scores!$I$4:$I$227,Scores!$B$4:$B$227,$A22,Scores!$K$4:$K$227,$B22))</f>
        <v/>
      </c>
      <c r="F22" s="20" t="str">
        <f>IF($D22=0,"",SUMIFS(Scores!$L$4:$L$227,Scores!$B$4:$B$227,$A22,Scores!$J$4:$J$227,$B22)+SUMIFS(Scores!$M$4:$M$227,Scores!$B$4:$B$227,$A22,Scores!$K$4:$K$227,$B22))</f>
        <v/>
      </c>
      <c r="G22" s="20" t="str">
        <f>IF($D22=0,"",SUMIFS(Scores!$N$4:$N$227,Scores!$B$4:$B$227,$A22,Scores!$J$4:$J$227,$B22)+SUMIFS(Scores!$N$4:$N$227,Scores!$B$4:$B$227,$A22,Scores!$K$4:$K$227,$B22))</f>
        <v/>
      </c>
      <c r="H22" s="20" t="str">
        <f t="shared" si="0"/>
        <v/>
      </c>
      <c r="I22" s="20" t="str">
        <f>IF($D22=0,"",SUMIFS(Scores!$O$4:$O$227,Scores!$B$4:$B$227,$A22,Scores!$J$4:$J$227,$B22)+SUMIFS(Scores!$Q$4:$Q$227,Scores!$B$4:$B$227,$A22,Scores!$K$4:$K$227,$B22))</f>
        <v/>
      </c>
      <c r="J22" s="20" t="str">
        <f>IF($D22=0,"",SUMIFS(Scores!$P$4:$P$227,Scores!$B$4:$B$227,$A22,Scores!$J$4:$J$227,$B22)+SUMIFS(Scores!$R$4:$R$227,Scores!$B$4:$B$227,$A22,Scores!$K$4:$K$227,$B22))</f>
        <v/>
      </c>
      <c r="K22" s="20" t="str">
        <f t="shared" si="1"/>
        <v/>
      </c>
      <c r="L22" s="20" t="str">
        <f>IF($D22=0,"",$F22*Setup!$B$11+$G22*Setup!$B$12+$H22*Setup!$B$13)</f>
        <v/>
      </c>
      <c r="M22" s="20" t="str">
        <f t="shared" si="2"/>
        <v/>
      </c>
      <c r="N22" s="20" t="str">
        <f t="shared" si="3"/>
        <v/>
      </c>
      <c r="O22" s="20" t="str">
        <f t="shared" si="4"/>
        <v/>
      </c>
    </row>
    <row r="23" spans="1:15">
      <c r="A23" s="20" t="str">
        <f>Teams!A23</f>
        <v>C</v>
      </c>
      <c r="B23" s="20">
        <f>Teams!B23</f>
        <v>4</v>
      </c>
      <c r="C23" s="20">
        <f>Teams!D23</f>
        <v>0</v>
      </c>
      <c r="D23" s="20">
        <f>Teams!F23</f>
        <v>0</v>
      </c>
      <c r="E23" s="20" t="str">
        <f>IF($D23=0,"",SUMIFS(Scores!$I$4:$I$227,Scores!$B$4:$B$227,$A23,Scores!$J$4:$J$227,$B23)+SUMIFS(Scores!$I$4:$I$227,Scores!$B$4:$B$227,$A23,Scores!$K$4:$K$227,$B23))</f>
        <v/>
      </c>
      <c r="F23" s="20" t="str">
        <f>IF($D23=0,"",SUMIFS(Scores!$L$4:$L$227,Scores!$B$4:$B$227,$A23,Scores!$J$4:$J$227,$B23)+SUMIFS(Scores!$M$4:$M$227,Scores!$B$4:$B$227,$A23,Scores!$K$4:$K$227,$B23))</f>
        <v/>
      </c>
      <c r="G23" s="20" t="str">
        <f>IF($D23=0,"",SUMIFS(Scores!$N$4:$N$227,Scores!$B$4:$B$227,$A23,Scores!$J$4:$J$227,$B23)+SUMIFS(Scores!$N$4:$N$227,Scores!$B$4:$B$227,$A23,Scores!$K$4:$K$227,$B23))</f>
        <v/>
      </c>
      <c r="H23" s="20" t="str">
        <f t="shared" si="0"/>
        <v/>
      </c>
      <c r="I23" s="20" t="str">
        <f>IF($D23=0,"",SUMIFS(Scores!$O$4:$O$227,Scores!$B$4:$B$227,$A23,Scores!$J$4:$J$227,$B23)+SUMIFS(Scores!$Q$4:$Q$227,Scores!$B$4:$B$227,$A23,Scores!$K$4:$K$227,$B23))</f>
        <v/>
      </c>
      <c r="J23" s="20" t="str">
        <f>IF($D23=0,"",SUMIFS(Scores!$P$4:$P$227,Scores!$B$4:$B$227,$A23,Scores!$J$4:$J$227,$B23)+SUMIFS(Scores!$R$4:$R$227,Scores!$B$4:$B$227,$A23,Scores!$K$4:$K$227,$B23))</f>
        <v/>
      </c>
      <c r="K23" s="20" t="str">
        <f t="shared" si="1"/>
        <v/>
      </c>
      <c r="L23" s="20" t="str">
        <f>IF($D23=0,"",$F23*Setup!$B$11+$G23*Setup!$B$12+$H23*Setup!$B$13)</f>
        <v/>
      </c>
      <c r="M23" s="20" t="str">
        <f t="shared" si="2"/>
        <v/>
      </c>
      <c r="N23" s="20" t="str">
        <f t="shared" si="3"/>
        <v/>
      </c>
      <c r="O23" s="20" t="str">
        <f t="shared" si="4"/>
        <v/>
      </c>
    </row>
    <row r="24" spans="1:15">
      <c r="A24" s="20" t="str">
        <f>Teams!A24</f>
        <v>C</v>
      </c>
      <c r="B24" s="20">
        <f>Teams!B24</f>
        <v>5</v>
      </c>
      <c r="C24" s="20">
        <f>Teams!D24</f>
        <v>0</v>
      </c>
      <c r="D24" s="20">
        <f>Teams!F24</f>
        <v>0</v>
      </c>
      <c r="E24" s="20" t="str">
        <f>IF($D24=0,"",SUMIFS(Scores!$I$4:$I$227,Scores!$B$4:$B$227,$A24,Scores!$J$4:$J$227,$B24)+SUMIFS(Scores!$I$4:$I$227,Scores!$B$4:$B$227,$A24,Scores!$K$4:$K$227,$B24))</f>
        <v/>
      </c>
      <c r="F24" s="20" t="str">
        <f>IF($D24=0,"",SUMIFS(Scores!$L$4:$L$227,Scores!$B$4:$B$227,$A24,Scores!$J$4:$J$227,$B24)+SUMIFS(Scores!$M$4:$M$227,Scores!$B$4:$B$227,$A24,Scores!$K$4:$K$227,$B24))</f>
        <v/>
      </c>
      <c r="G24" s="20" t="str">
        <f>IF($D24=0,"",SUMIFS(Scores!$N$4:$N$227,Scores!$B$4:$B$227,$A24,Scores!$J$4:$J$227,$B24)+SUMIFS(Scores!$N$4:$N$227,Scores!$B$4:$B$227,$A24,Scores!$K$4:$K$227,$B24))</f>
        <v/>
      </c>
      <c r="H24" s="20" t="str">
        <f t="shared" si="0"/>
        <v/>
      </c>
      <c r="I24" s="20" t="str">
        <f>IF($D24=0,"",SUMIFS(Scores!$O$4:$O$227,Scores!$B$4:$B$227,$A24,Scores!$J$4:$J$227,$B24)+SUMIFS(Scores!$Q$4:$Q$227,Scores!$B$4:$B$227,$A24,Scores!$K$4:$K$227,$B24))</f>
        <v/>
      </c>
      <c r="J24" s="20" t="str">
        <f>IF($D24=0,"",SUMIFS(Scores!$P$4:$P$227,Scores!$B$4:$B$227,$A24,Scores!$J$4:$J$227,$B24)+SUMIFS(Scores!$R$4:$R$227,Scores!$B$4:$B$227,$A24,Scores!$K$4:$K$227,$B24))</f>
        <v/>
      </c>
      <c r="K24" s="20" t="str">
        <f t="shared" si="1"/>
        <v/>
      </c>
      <c r="L24" s="20" t="str">
        <f>IF($D24=0,"",$F24*Setup!$B$11+$G24*Setup!$B$12+$H24*Setup!$B$13)</f>
        <v/>
      </c>
      <c r="M24" s="20" t="str">
        <f t="shared" si="2"/>
        <v/>
      </c>
      <c r="N24" s="20" t="str">
        <f t="shared" si="3"/>
        <v/>
      </c>
      <c r="O24" s="20" t="str">
        <f t="shared" si="4"/>
        <v/>
      </c>
    </row>
    <row r="25" spans="1:15">
      <c r="A25" s="20" t="str">
        <f>Teams!A25</f>
        <v>C</v>
      </c>
      <c r="B25" s="20">
        <f>Teams!B25</f>
        <v>6</v>
      </c>
      <c r="C25" s="20">
        <f>Teams!D25</f>
        <v>0</v>
      </c>
      <c r="D25" s="20">
        <f>Teams!F25</f>
        <v>0</v>
      </c>
      <c r="E25" s="20" t="str">
        <f>IF($D25=0,"",SUMIFS(Scores!$I$4:$I$227,Scores!$B$4:$B$227,$A25,Scores!$J$4:$J$227,$B25)+SUMIFS(Scores!$I$4:$I$227,Scores!$B$4:$B$227,$A25,Scores!$K$4:$K$227,$B25))</f>
        <v/>
      </c>
      <c r="F25" s="20" t="str">
        <f>IF($D25=0,"",SUMIFS(Scores!$L$4:$L$227,Scores!$B$4:$B$227,$A25,Scores!$J$4:$J$227,$B25)+SUMIFS(Scores!$M$4:$M$227,Scores!$B$4:$B$227,$A25,Scores!$K$4:$K$227,$B25))</f>
        <v/>
      </c>
      <c r="G25" s="20" t="str">
        <f>IF($D25=0,"",SUMIFS(Scores!$N$4:$N$227,Scores!$B$4:$B$227,$A25,Scores!$J$4:$J$227,$B25)+SUMIFS(Scores!$N$4:$N$227,Scores!$B$4:$B$227,$A25,Scores!$K$4:$K$227,$B25))</f>
        <v/>
      </c>
      <c r="H25" s="20" t="str">
        <f t="shared" si="0"/>
        <v/>
      </c>
      <c r="I25" s="20" t="str">
        <f>IF($D25=0,"",SUMIFS(Scores!$O$4:$O$227,Scores!$B$4:$B$227,$A25,Scores!$J$4:$J$227,$B25)+SUMIFS(Scores!$Q$4:$Q$227,Scores!$B$4:$B$227,$A25,Scores!$K$4:$K$227,$B25))</f>
        <v/>
      </c>
      <c r="J25" s="20" t="str">
        <f>IF($D25=0,"",SUMIFS(Scores!$P$4:$P$227,Scores!$B$4:$B$227,$A25,Scores!$J$4:$J$227,$B25)+SUMIFS(Scores!$R$4:$R$227,Scores!$B$4:$B$227,$A25,Scores!$K$4:$K$227,$B25))</f>
        <v/>
      </c>
      <c r="K25" s="20" t="str">
        <f t="shared" si="1"/>
        <v/>
      </c>
      <c r="L25" s="20" t="str">
        <f>IF($D25=0,"",$F25*Setup!$B$11+$G25*Setup!$B$12+$H25*Setup!$B$13)</f>
        <v/>
      </c>
      <c r="M25" s="20" t="str">
        <f t="shared" si="2"/>
        <v/>
      </c>
      <c r="N25" s="20" t="str">
        <f t="shared" si="3"/>
        <v/>
      </c>
      <c r="O25" s="20" t="str">
        <f t="shared" si="4"/>
        <v/>
      </c>
    </row>
    <row r="26" spans="1:15">
      <c r="A26" s="20" t="str">
        <f>Teams!A26</f>
        <v>C</v>
      </c>
      <c r="B26" s="20">
        <f>Teams!B26</f>
        <v>7</v>
      </c>
      <c r="C26" s="20">
        <f>Teams!D26</f>
        <v>0</v>
      </c>
      <c r="D26" s="20">
        <f>Teams!F26</f>
        <v>0</v>
      </c>
      <c r="E26" s="20" t="str">
        <f>IF($D26=0,"",SUMIFS(Scores!$I$4:$I$227,Scores!$B$4:$B$227,$A26,Scores!$J$4:$J$227,$B26)+SUMIFS(Scores!$I$4:$I$227,Scores!$B$4:$B$227,$A26,Scores!$K$4:$K$227,$B26))</f>
        <v/>
      </c>
      <c r="F26" s="20" t="str">
        <f>IF($D26=0,"",SUMIFS(Scores!$L$4:$L$227,Scores!$B$4:$B$227,$A26,Scores!$J$4:$J$227,$B26)+SUMIFS(Scores!$M$4:$M$227,Scores!$B$4:$B$227,$A26,Scores!$K$4:$K$227,$B26))</f>
        <v/>
      </c>
      <c r="G26" s="20" t="str">
        <f>IF($D26=0,"",SUMIFS(Scores!$N$4:$N$227,Scores!$B$4:$B$227,$A26,Scores!$J$4:$J$227,$B26)+SUMIFS(Scores!$N$4:$N$227,Scores!$B$4:$B$227,$A26,Scores!$K$4:$K$227,$B26))</f>
        <v/>
      </c>
      <c r="H26" s="20" t="str">
        <f t="shared" si="0"/>
        <v/>
      </c>
      <c r="I26" s="20" t="str">
        <f>IF($D26=0,"",SUMIFS(Scores!$O$4:$O$227,Scores!$B$4:$B$227,$A26,Scores!$J$4:$J$227,$B26)+SUMIFS(Scores!$Q$4:$Q$227,Scores!$B$4:$B$227,$A26,Scores!$K$4:$K$227,$B26))</f>
        <v/>
      </c>
      <c r="J26" s="20" t="str">
        <f>IF($D26=0,"",SUMIFS(Scores!$P$4:$P$227,Scores!$B$4:$B$227,$A26,Scores!$J$4:$J$227,$B26)+SUMIFS(Scores!$R$4:$R$227,Scores!$B$4:$B$227,$A26,Scores!$K$4:$K$227,$B26))</f>
        <v/>
      </c>
      <c r="K26" s="20" t="str">
        <f t="shared" si="1"/>
        <v/>
      </c>
      <c r="L26" s="20" t="str">
        <f>IF($D26=0,"",$F26*Setup!$B$11+$G26*Setup!$B$12+$H26*Setup!$B$13)</f>
        <v/>
      </c>
      <c r="M26" s="20" t="str">
        <f t="shared" si="2"/>
        <v/>
      </c>
      <c r="N26" s="20" t="str">
        <f t="shared" si="3"/>
        <v/>
      </c>
      <c r="O26" s="20" t="str">
        <f t="shared" si="4"/>
        <v/>
      </c>
    </row>
    <row r="27" spans="1:15">
      <c r="A27" s="20" t="str">
        <f>Teams!A27</f>
        <v>C</v>
      </c>
      <c r="B27" s="20">
        <f>Teams!B27</f>
        <v>8</v>
      </c>
      <c r="C27" s="20">
        <f>Teams!D27</f>
        <v>0</v>
      </c>
      <c r="D27" s="20">
        <f>Teams!F27</f>
        <v>0</v>
      </c>
      <c r="E27" s="20" t="str">
        <f>IF($D27=0,"",SUMIFS(Scores!$I$4:$I$227,Scores!$B$4:$B$227,$A27,Scores!$J$4:$J$227,$B27)+SUMIFS(Scores!$I$4:$I$227,Scores!$B$4:$B$227,$A27,Scores!$K$4:$K$227,$B27))</f>
        <v/>
      </c>
      <c r="F27" s="20" t="str">
        <f>IF($D27=0,"",SUMIFS(Scores!$L$4:$L$227,Scores!$B$4:$B$227,$A27,Scores!$J$4:$J$227,$B27)+SUMIFS(Scores!$M$4:$M$227,Scores!$B$4:$B$227,$A27,Scores!$K$4:$K$227,$B27))</f>
        <v/>
      </c>
      <c r="G27" s="20" t="str">
        <f>IF($D27=0,"",SUMIFS(Scores!$N$4:$N$227,Scores!$B$4:$B$227,$A27,Scores!$J$4:$J$227,$B27)+SUMIFS(Scores!$N$4:$N$227,Scores!$B$4:$B$227,$A27,Scores!$K$4:$K$227,$B27))</f>
        <v/>
      </c>
      <c r="H27" s="20" t="str">
        <f t="shared" si="0"/>
        <v/>
      </c>
      <c r="I27" s="20" t="str">
        <f>IF($D27=0,"",SUMIFS(Scores!$O$4:$O$227,Scores!$B$4:$B$227,$A27,Scores!$J$4:$J$227,$B27)+SUMIFS(Scores!$Q$4:$Q$227,Scores!$B$4:$B$227,$A27,Scores!$K$4:$K$227,$B27))</f>
        <v/>
      </c>
      <c r="J27" s="20" t="str">
        <f>IF($D27=0,"",SUMIFS(Scores!$P$4:$P$227,Scores!$B$4:$B$227,$A27,Scores!$J$4:$J$227,$B27)+SUMIFS(Scores!$R$4:$R$227,Scores!$B$4:$B$227,$A27,Scores!$K$4:$K$227,$B27))</f>
        <v/>
      </c>
      <c r="K27" s="20" t="str">
        <f t="shared" si="1"/>
        <v/>
      </c>
      <c r="L27" s="20" t="str">
        <f>IF($D27=0,"",$F27*Setup!$B$11+$G27*Setup!$B$12+$H27*Setup!$B$13)</f>
        <v/>
      </c>
      <c r="M27" s="20" t="str">
        <f t="shared" si="2"/>
        <v/>
      </c>
      <c r="N27" s="20" t="str">
        <f t="shared" si="3"/>
        <v/>
      </c>
      <c r="O27" s="20" t="str">
        <f t="shared" si="4"/>
        <v/>
      </c>
    </row>
    <row r="28" spans="1:15">
      <c r="A28" s="20" t="str">
        <f>Teams!A28</f>
        <v>D</v>
      </c>
      <c r="B28" s="20">
        <f>Teams!B28</f>
        <v>1</v>
      </c>
      <c r="C28" s="20">
        <f>Teams!D28</f>
        <v>0</v>
      </c>
      <c r="D28" s="20">
        <f>Teams!F28</f>
        <v>0</v>
      </c>
      <c r="E28" s="20" t="str">
        <f>IF($D28=0,"",SUMIFS(Scores!$I$4:$I$227,Scores!$B$4:$B$227,$A28,Scores!$J$4:$J$227,$B28)+SUMIFS(Scores!$I$4:$I$227,Scores!$B$4:$B$227,$A28,Scores!$K$4:$K$227,$B28))</f>
        <v/>
      </c>
      <c r="F28" s="20" t="str">
        <f>IF($D28=0,"",SUMIFS(Scores!$L$4:$L$227,Scores!$B$4:$B$227,$A28,Scores!$J$4:$J$227,$B28)+SUMIFS(Scores!$M$4:$M$227,Scores!$B$4:$B$227,$A28,Scores!$K$4:$K$227,$B28))</f>
        <v/>
      </c>
      <c r="G28" s="20" t="str">
        <f>IF($D28=0,"",SUMIFS(Scores!$N$4:$N$227,Scores!$B$4:$B$227,$A28,Scores!$J$4:$J$227,$B28)+SUMIFS(Scores!$N$4:$N$227,Scores!$B$4:$B$227,$A28,Scores!$K$4:$K$227,$B28))</f>
        <v/>
      </c>
      <c r="H28" s="20" t="str">
        <f t="shared" si="0"/>
        <v/>
      </c>
      <c r="I28" s="20" t="str">
        <f>IF($D28=0,"",SUMIFS(Scores!$O$4:$O$227,Scores!$B$4:$B$227,$A28,Scores!$J$4:$J$227,$B28)+SUMIFS(Scores!$Q$4:$Q$227,Scores!$B$4:$B$227,$A28,Scores!$K$4:$K$227,$B28))</f>
        <v/>
      </c>
      <c r="J28" s="20" t="str">
        <f>IF($D28=0,"",SUMIFS(Scores!$P$4:$P$227,Scores!$B$4:$B$227,$A28,Scores!$J$4:$J$227,$B28)+SUMIFS(Scores!$R$4:$R$227,Scores!$B$4:$B$227,$A28,Scores!$K$4:$K$227,$B28))</f>
        <v/>
      </c>
      <c r="K28" s="20" t="str">
        <f t="shared" si="1"/>
        <v/>
      </c>
      <c r="L28" s="20" t="str">
        <f>IF($D28=0,"",$F28*Setup!$B$11+$G28*Setup!$B$12+$H28*Setup!$B$13)</f>
        <v/>
      </c>
      <c r="M28" s="20" t="str">
        <f t="shared" si="2"/>
        <v/>
      </c>
      <c r="N28" s="20" t="str">
        <f t="shared" si="3"/>
        <v/>
      </c>
      <c r="O28" s="20" t="str">
        <f t="shared" si="4"/>
        <v/>
      </c>
    </row>
    <row r="29" spans="1:15">
      <c r="A29" s="20" t="str">
        <f>Teams!A29</f>
        <v>D</v>
      </c>
      <c r="B29" s="20">
        <f>Teams!B29</f>
        <v>2</v>
      </c>
      <c r="C29" s="20">
        <f>Teams!D29</f>
        <v>0</v>
      </c>
      <c r="D29" s="20">
        <f>Teams!F29</f>
        <v>0</v>
      </c>
      <c r="E29" s="20" t="str">
        <f>IF($D29=0,"",SUMIFS(Scores!$I$4:$I$227,Scores!$B$4:$B$227,$A29,Scores!$J$4:$J$227,$B29)+SUMIFS(Scores!$I$4:$I$227,Scores!$B$4:$B$227,$A29,Scores!$K$4:$K$227,$B29))</f>
        <v/>
      </c>
      <c r="F29" s="20" t="str">
        <f>IF($D29=0,"",SUMIFS(Scores!$L$4:$L$227,Scores!$B$4:$B$227,$A29,Scores!$J$4:$J$227,$B29)+SUMIFS(Scores!$M$4:$M$227,Scores!$B$4:$B$227,$A29,Scores!$K$4:$K$227,$B29))</f>
        <v/>
      </c>
      <c r="G29" s="20" t="str">
        <f>IF($D29=0,"",SUMIFS(Scores!$N$4:$N$227,Scores!$B$4:$B$227,$A29,Scores!$J$4:$J$227,$B29)+SUMIFS(Scores!$N$4:$N$227,Scores!$B$4:$B$227,$A29,Scores!$K$4:$K$227,$B29))</f>
        <v/>
      </c>
      <c r="H29" s="20" t="str">
        <f t="shared" si="0"/>
        <v/>
      </c>
      <c r="I29" s="20" t="str">
        <f>IF($D29=0,"",SUMIFS(Scores!$O$4:$O$227,Scores!$B$4:$B$227,$A29,Scores!$J$4:$J$227,$B29)+SUMIFS(Scores!$Q$4:$Q$227,Scores!$B$4:$B$227,$A29,Scores!$K$4:$K$227,$B29))</f>
        <v/>
      </c>
      <c r="J29" s="20" t="str">
        <f>IF($D29=0,"",SUMIFS(Scores!$P$4:$P$227,Scores!$B$4:$B$227,$A29,Scores!$J$4:$J$227,$B29)+SUMIFS(Scores!$R$4:$R$227,Scores!$B$4:$B$227,$A29,Scores!$K$4:$K$227,$B29))</f>
        <v/>
      </c>
      <c r="K29" s="20" t="str">
        <f t="shared" si="1"/>
        <v/>
      </c>
      <c r="L29" s="20" t="str">
        <f>IF($D29=0,"",$F29*Setup!$B$11+$G29*Setup!$B$12+$H29*Setup!$B$13)</f>
        <v/>
      </c>
      <c r="M29" s="20" t="str">
        <f t="shared" si="2"/>
        <v/>
      </c>
      <c r="N29" s="20" t="str">
        <f t="shared" si="3"/>
        <v/>
      </c>
      <c r="O29" s="20" t="str">
        <f t="shared" si="4"/>
        <v/>
      </c>
    </row>
    <row r="30" spans="1:15">
      <c r="A30" s="20" t="str">
        <f>Teams!A30</f>
        <v>D</v>
      </c>
      <c r="B30" s="20">
        <f>Teams!B30</f>
        <v>3</v>
      </c>
      <c r="C30" s="20">
        <f>Teams!D30</f>
        <v>0</v>
      </c>
      <c r="D30" s="20">
        <f>Teams!F30</f>
        <v>0</v>
      </c>
      <c r="E30" s="20" t="str">
        <f>IF($D30=0,"",SUMIFS(Scores!$I$4:$I$227,Scores!$B$4:$B$227,$A30,Scores!$J$4:$J$227,$B30)+SUMIFS(Scores!$I$4:$I$227,Scores!$B$4:$B$227,$A30,Scores!$K$4:$K$227,$B30))</f>
        <v/>
      </c>
      <c r="F30" s="20" t="str">
        <f>IF($D30=0,"",SUMIFS(Scores!$L$4:$L$227,Scores!$B$4:$B$227,$A30,Scores!$J$4:$J$227,$B30)+SUMIFS(Scores!$M$4:$M$227,Scores!$B$4:$B$227,$A30,Scores!$K$4:$K$227,$B30))</f>
        <v/>
      </c>
      <c r="G30" s="20" t="str">
        <f>IF($D30=0,"",SUMIFS(Scores!$N$4:$N$227,Scores!$B$4:$B$227,$A30,Scores!$J$4:$J$227,$B30)+SUMIFS(Scores!$N$4:$N$227,Scores!$B$4:$B$227,$A30,Scores!$K$4:$K$227,$B30))</f>
        <v/>
      </c>
      <c r="H30" s="20" t="str">
        <f t="shared" si="0"/>
        <v/>
      </c>
      <c r="I30" s="20" t="str">
        <f>IF($D30=0,"",SUMIFS(Scores!$O$4:$O$227,Scores!$B$4:$B$227,$A30,Scores!$J$4:$J$227,$B30)+SUMIFS(Scores!$Q$4:$Q$227,Scores!$B$4:$B$227,$A30,Scores!$K$4:$K$227,$B30))</f>
        <v/>
      </c>
      <c r="J30" s="20" t="str">
        <f>IF($D30=0,"",SUMIFS(Scores!$P$4:$P$227,Scores!$B$4:$B$227,$A30,Scores!$J$4:$J$227,$B30)+SUMIFS(Scores!$R$4:$R$227,Scores!$B$4:$B$227,$A30,Scores!$K$4:$K$227,$B30))</f>
        <v/>
      </c>
      <c r="K30" s="20" t="str">
        <f t="shared" si="1"/>
        <v/>
      </c>
      <c r="L30" s="20" t="str">
        <f>IF($D30=0,"",$F30*Setup!$B$11+$G30*Setup!$B$12+$H30*Setup!$B$13)</f>
        <v/>
      </c>
      <c r="M30" s="20" t="str">
        <f t="shared" si="2"/>
        <v/>
      </c>
      <c r="N30" s="20" t="str">
        <f t="shared" si="3"/>
        <v/>
      </c>
      <c r="O30" s="20" t="str">
        <f t="shared" si="4"/>
        <v/>
      </c>
    </row>
    <row r="31" spans="1:15">
      <c r="A31" s="20" t="str">
        <f>Teams!A31</f>
        <v>D</v>
      </c>
      <c r="B31" s="20">
        <f>Teams!B31</f>
        <v>4</v>
      </c>
      <c r="C31" s="20">
        <f>Teams!D31</f>
        <v>0</v>
      </c>
      <c r="D31" s="20">
        <f>Teams!F31</f>
        <v>0</v>
      </c>
      <c r="E31" s="20" t="str">
        <f>IF($D31=0,"",SUMIFS(Scores!$I$4:$I$227,Scores!$B$4:$B$227,$A31,Scores!$J$4:$J$227,$B31)+SUMIFS(Scores!$I$4:$I$227,Scores!$B$4:$B$227,$A31,Scores!$K$4:$K$227,$B31))</f>
        <v/>
      </c>
      <c r="F31" s="20" t="str">
        <f>IF($D31=0,"",SUMIFS(Scores!$L$4:$L$227,Scores!$B$4:$B$227,$A31,Scores!$J$4:$J$227,$B31)+SUMIFS(Scores!$M$4:$M$227,Scores!$B$4:$B$227,$A31,Scores!$K$4:$K$227,$B31))</f>
        <v/>
      </c>
      <c r="G31" s="20" t="str">
        <f>IF($D31=0,"",SUMIFS(Scores!$N$4:$N$227,Scores!$B$4:$B$227,$A31,Scores!$J$4:$J$227,$B31)+SUMIFS(Scores!$N$4:$N$227,Scores!$B$4:$B$227,$A31,Scores!$K$4:$K$227,$B31))</f>
        <v/>
      </c>
      <c r="H31" s="20" t="str">
        <f t="shared" si="0"/>
        <v/>
      </c>
      <c r="I31" s="20" t="str">
        <f>IF($D31=0,"",SUMIFS(Scores!$O$4:$O$227,Scores!$B$4:$B$227,$A31,Scores!$J$4:$J$227,$B31)+SUMIFS(Scores!$Q$4:$Q$227,Scores!$B$4:$B$227,$A31,Scores!$K$4:$K$227,$B31))</f>
        <v/>
      </c>
      <c r="J31" s="20" t="str">
        <f>IF($D31=0,"",SUMIFS(Scores!$P$4:$P$227,Scores!$B$4:$B$227,$A31,Scores!$J$4:$J$227,$B31)+SUMIFS(Scores!$R$4:$R$227,Scores!$B$4:$B$227,$A31,Scores!$K$4:$K$227,$B31))</f>
        <v/>
      </c>
      <c r="K31" s="20" t="str">
        <f t="shared" si="1"/>
        <v/>
      </c>
      <c r="L31" s="20" t="str">
        <f>IF($D31=0,"",$F31*Setup!$B$11+$G31*Setup!$B$12+$H31*Setup!$B$13)</f>
        <v/>
      </c>
      <c r="M31" s="20" t="str">
        <f t="shared" si="2"/>
        <v/>
      </c>
      <c r="N31" s="20" t="str">
        <f t="shared" si="3"/>
        <v/>
      </c>
      <c r="O31" s="20" t="str">
        <f t="shared" si="4"/>
        <v/>
      </c>
    </row>
    <row r="32" spans="1:15">
      <c r="A32" s="20" t="str">
        <f>Teams!A32</f>
        <v>D</v>
      </c>
      <c r="B32" s="20">
        <f>Teams!B32</f>
        <v>5</v>
      </c>
      <c r="C32" s="20">
        <f>Teams!D32</f>
        <v>0</v>
      </c>
      <c r="D32" s="20">
        <f>Teams!F32</f>
        <v>0</v>
      </c>
      <c r="E32" s="20" t="str">
        <f>IF($D32=0,"",SUMIFS(Scores!$I$4:$I$227,Scores!$B$4:$B$227,$A32,Scores!$J$4:$J$227,$B32)+SUMIFS(Scores!$I$4:$I$227,Scores!$B$4:$B$227,$A32,Scores!$K$4:$K$227,$B32))</f>
        <v/>
      </c>
      <c r="F32" s="20" t="str">
        <f>IF($D32=0,"",SUMIFS(Scores!$L$4:$L$227,Scores!$B$4:$B$227,$A32,Scores!$J$4:$J$227,$B32)+SUMIFS(Scores!$M$4:$M$227,Scores!$B$4:$B$227,$A32,Scores!$K$4:$K$227,$B32))</f>
        <v/>
      </c>
      <c r="G32" s="20" t="str">
        <f>IF($D32=0,"",SUMIFS(Scores!$N$4:$N$227,Scores!$B$4:$B$227,$A32,Scores!$J$4:$J$227,$B32)+SUMIFS(Scores!$N$4:$N$227,Scores!$B$4:$B$227,$A32,Scores!$K$4:$K$227,$B32))</f>
        <v/>
      </c>
      <c r="H32" s="20" t="str">
        <f t="shared" si="0"/>
        <v/>
      </c>
      <c r="I32" s="20" t="str">
        <f>IF($D32=0,"",SUMIFS(Scores!$O$4:$O$227,Scores!$B$4:$B$227,$A32,Scores!$J$4:$J$227,$B32)+SUMIFS(Scores!$Q$4:$Q$227,Scores!$B$4:$B$227,$A32,Scores!$K$4:$K$227,$B32))</f>
        <v/>
      </c>
      <c r="J32" s="20" t="str">
        <f>IF($D32=0,"",SUMIFS(Scores!$P$4:$P$227,Scores!$B$4:$B$227,$A32,Scores!$J$4:$J$227,$B32)+SUMIFS(Scores!$R$4:$R$227,Scores!$B$4:$B$227,$A32,Scores!$K$4:$K$227,$B32))</f>
        <v/>
      </c>
      <c r="K32" s="20" t="str">
        <f t="shared" si="1"/>
        <v/>
      </c>
      <c r="L32" s="20" t="str">
        <f>IF($D32=0,"",$F32*Setup!$B$11+$G32*Setup!$B$12+$H32*Setup!$B$13)</f>
        <v/>
      </c>
      <c r="M32" s="20" t="str">
        <f t="shared" si="2"/>
        <v/>
      </c>
      <c r="N32" s="20" t="str">
        <f t="shared" si="3"/>
        <v/>
      </c>
      <c r="O32" s="20" t="str">
        <f t="shared" si="4"/>
        <v/>
      </c>
    </row>
    <row r="33" spans="1:15">
      <c r="A33" s="20" t="str">
        <f>Teams!A33</f>
        <v>D</v>
      </c>
      <c r="B33" s="20">
        <f>Teams!B33</f>
        <v>6</v>
      </c>
      <c r="C33" s="20">
        <f>Teams!D33</f>
        <v>0</v>
      </c>
      <c r="D33" s="20">
        <f>Teams!F33</f>
        <v>0</v>
      </c>
      <c r="E33" s="20" t="str">
        <f>IF($D33=0,"",SUMIFS(Scores!$I$4:$I$227,Scores!$B$4:$B$227,$A33,Scores!$J$4:$J$227,$B33)+SUMIFS(Scores!$I$4:$I$227,Scores!$B$4:$B$227,$A33,Scores!$K$4:$K$227,$B33))</f>
        <v/>
      </c>
      <c r="F33" s="20" t="str">
        <f>IF($D33=0,"",SUMIFS(Scores!$L$4:$L$227,Scores!$B$4:$B$227,$A33,Scores!$J$4:$J$227,$B33)+SUMIFS(Scores!$M$4:$M$227,Scores!$B$4:$B$227,$A33,Scores!$K$4:$K$227,$B33))</f>
        <v/>
      </c>
      <c r="G33" s="20" t="str">
        <f>IF($D33=0,"",SUMIFS(Scores!$N$4:$N$227,Scores!$B$4:$B$227,$A33,Scores!$J$4:$J$227,$B33)+SUMIFS(Scores!$N$4:$N$227,Scores!$B$4:$B$227,$A33,Scores!$K$4:$K$227,$B33))</f>
        <v/>
      </c>
      <c r="H33" s="20" t="str">
        <f t="shared" si="0"/>
        <v/>
      </c>
      <c r="I33" s="20" t="str">
        <f>IF($D33=0,"",SUMIFS(Scores!$O$4:$O$227,Scores!$B$4:$B$227,$A33,Scores!$J$4:$J$227,$B33)+SUMIFS(Scores!$Q$4:$Q$227,Scores!$B$4:$B$227,$A33,Scores!$K$4:$K$227,$B33))</f>
        <v/>
      </c>
      <c r="J33" s="20" t="str">
        <f>IF($D33=0,"",SUMIFS(Scores!$P$4:$P$227,Scores!$B$4:$B$227,$A33,Scores!$J$4:$J$227,$B33)+SUMIFS(Scores!$R$4:$R$227,Scores!$B$4:$B$227,$A33,Scores!$K$4:$K$227,$B33))</f>
        <v/>
      </c>
      <c r="K33" s="20" t="str">
        <f t="shared" si="1"/>
        <v/>
      </c>
      <c r="L33" s="20" t="str">
        <f>IF($D33=0,"",$F33*Setup!$B$11+$G33*Setup!$B$12+$H33*Setup!$B$13)</f>
        <v/>
      </c>
      <c r="M33" s="20" t="str">
        <f t="shared" si="2"/>
        <v/>
      </c>
      <c r="N33" s="20" t="str">
        <f t="shared" si="3"/>
        <v/>
      </c>
      <c r="O33" s="20" t="str">
        <f t="shared" si="4"/>
        <v/>
      </c>
    </row>
    <row r="34" spans="1:15">
      <c r="A34" s="20" t="str">
        <f>Teams!A34</f>
        <v>D</v>
      </c>
      <c r="B34" s="20">
        <f>Teams!B34</f>
        <v>7</v>
      </c>
      <c r="C34" s="20">
        <f>Teams!D34</f>
        <v>0</v>
      </c>
      <c r="D34" s="20">
        <f>Teams!F34</f>
        <v>0</v>
      </c>
      <c r="E34" s="20" t="str">
        <f>IF($D34=0,"",SUMIFS(Scores!$I$4:$I$227,Scores!$B$4:$B$227,$A34,Scores!$J$4:$J$227,$B34)+SUMIFS(Scores!$I$4:$I$227,Scores!$B$4:$B$227,$A34,Scores!$K$4:$K$227,$B34))</f>
        <v/>
      </c>
      <c r="F34" s="20" t="str">
        <f>IF($D34=0,"",SUMIFS(Scores!$L$4:$L$227,Scores!$B$4:$B$227,$A34,Scores!$J$4:$J$227,$B34)+SUMIFS(Scores!$M$4:$M$227,Scores!$B$4:$B$227,$A34,Scores!$K$4:$K$227,$B34))</f>
        <v/>
      </c>
      <c r="G34" s="20" t="str">
        <f>IF($D34=0,"",SUMIFS(Scores!$N$4:$N$227,Scores!$B$4:$B$227,$A34,Scores!$J$4:$J$227,$B34)+SUMIFS(Scores!$N$4:$N$227,Scores!$B$4:$B$227,$A34,Scores!$K$4:$K$227,$B34))</f>
        <v/>
      </c>
      <c r="H34" s="20" t="str">
        <f t="shared" si="0"/>
        <v/>
      </c>
      <c r="I34" s="20" t="str">
        <f>IF($D34=0,"",SUMIFS(Scores!$O$4:$O$227,Scores!$B$4:$B$227,$A34,Scores!$J$4:$J$227,$B34)+SUMIFS(Scores!$Q$4:$Q$227,Scores!$B$4:$B$227,$A34,Scores!$K$4:$K$227,$B34))</f>
        <v/>
      </c>
      <c r="J34" s="20" t="str">
        <f>IF($D34=0,"",SUMIFS(Scores!$P$4:$P$227,Scores!$B$4:$B$227,$A34,Scores!$J$4:$J$227,$B34)+SUMIFS(Scores!$R$4:$R$227,Scores!$B$4:$B$227,$A34,Scores!$K$4:$K$227,$B34))</f>
        <v/>
      </c>
      <c r="K34" s="20" t="str">
        <f t="shared" si="1"/>
        <v/>
      </c>
      <c r="L34" s="20" t="str">
        <f>IF($D34=0,"",$F34*Setup!$B$11+$G34*Setup!$B$12+$H34*Setup!$B$13)</f>
        <v/>
      </c>
      <c r="M34" s="20" t="str">
        <f t="shared" si="2"/>
        <v/>
      </c>
      <c r="N34" s="20" t="str">
        <f t="shared" si="3"/>
        <v/>
      </c>
      <c r="O34" s="20" t="str">
        <f t="shared" si="4"/>
        <v/>
      </c>
    </row>
    <row r="35" spans="1:15">
      <c r="A35" s="20" t="str">
        <f>Teams!A35</f>
        <v>D</v>
      </c>
      <c r="B35" s="20">
        <f>Teams!B35</f>
        <v>8</v>
      </c>
      <c r="C35" s="20">
        <f>Teams!D35</f>
        <v>0</v>
      </c>
      <c r="D35" s="20">
        <f>Teams!F35</f>
        <v>0</v>
      </c>
      <c r="E35" s="20" t="str">
        <f>IF($D35=0,"",SUMIFS(Scores!$I$4:$I$227,Scores!$B$4:$B$227,$A35,Scores!$J$4:$J$227,$B35)+SUMIFS(Scores!$I$4:$I$227,Scores!$B$4:$B$227,$A35,Scores!$K$4:$K$227,$B35))</f>
        <v/>
      </c>
      <c r="F35" s="20" t="str">
        <f>IF($D35=0,"",SUMIFS(Scores!$L$4:$L$227,Scores!$B$4:$B$227,$A35,Scores!$J$4:$J$227,$B35)+SUMIFS(Scores!$M$4:$M$227,Scores!$B$4:$B$227,$A35,Scores!$K$4:$K$227,$B35))</f>
        <v/>
      </c>
      <c r="G35" s="20" t="str">
        <f>IF($D35=0,"",SUMIFS(Scores!$N$4:$N$227,Scores!$B$4:$B$227,$A35,Scores!$J$4:$J$227,$B35)+SUMIFS(Scores!$N$4:$N$227,Scores!$B$4:$B$227,$A35,Scores!$K$4:$K$227,$B35))</f>
        <v/>
      </c>
      <c r="H35" s="20" t="str">
        <f t="shared" si="0"/>
        <v/>
      </c>
      <c r="I35" s="20" t="str">
        <f>IF($D35=0,"",SUMIFS(Scores!$O$4:$O$227,Scores!$B$4:$B$227,$A35,Scores!$J$4:$J$227,$B35)+SUMIFS(Scores!$Q$4:$Q$227,Scores!$B$4:$B$227,$A35,Scores!$K$4:$K$227,$B35))</f>
        <v/>
      </c>
      <c r="J35" s="20" t="str">
        <f>IF($D35=0,"",SUMIFS(Scores!$P$4:$P$227,Scores!$B$4:$B$227,$A35,Scores!$J$4:$J$227,$B35)+SUMIFS(Scores!$R$4:$R$227,Scores!$B$4:$B$227,$A35,Scores!$K$4:$K$227,$B35))</f>
        <v/>
      </c>
      <c r="K35" s="20" t="str">
        <f t="shared" si="1"/>
        <v/>
      </c>
      <c r="L35" s="20" t="str">
        <f>IF($D35=0,"",$F35*Setup!$B$11+$G35*Setup!$B$12+$H35*Setup!$B$13)</f>
        <v/>
      </c>
      <c r="M35" s="20" t="str">
        <f t="shared" si="2"/>
        <v/>
      </c>
      <c r="N35" s="20" t="str">
        <f t="shared" si="3"/>
        <v/>
      </c>
      <c r="O35" s="20" t="str">
        <f t="shared" si="4"/>
        <v/>
      </c>
    </row>
    <row r="36" spans="1:15">
      <c r="A36" s="20" t="str">
        <f>Teams!A36</f>
        <v>E</v>
      </c>
      <c r="B36" s="20">
        <f>Teams!B36</f>
        <v>1</v>
      </c>
      <c r="C36" s="20">
        <f>Teams!D36</f>
        <v>0</v>
      </c>
      <c r="D36" s="20">
        <f>Teams!F36</f>
        <v>0</v>
      </c>
      <c r="E36" s="20" t="str">
        <f>IF($D36=0,"",SUMIFS(Scores!$I$4:$I$227,Scores!$B$4:$B$227,$A36,Scores!$J$4:$J$227,$B36)+SUMIFS(Scores!$I$4:$I$227,Scores!$B$4:$B$227,$A36,Scores!$K$4:$K$227,$B36))</f>
        <v/>
      </c>
      <c r="F36" s="20" t="str">
        <f>IF($D36=0,"",SUMIFS(Scores!$L$4:$L$227,Scores!$B$4:$B$227,$A36,Scores!$J$4:$J$227,$B36)+SUMIFS(Scores!$M$4:$M$227,Scores!$B$4:$B$227,$A36,Scores!$K$4:$K$227,$B36))</f>
        <v/>
      </c>
      <c r="G36" s="20" t="str">
        <f>IF($D36=0,"",SUMIFS(Scores!$N$4:$N$227,Scores!$B$4:$B$227,$A36,Scores!$J$4:$J$227,$B36)+SUMIFS(Scores!$N$4:$N$227,Scores!$B$4:$B$227,$A36,Scores!$K$4:$K$227,$B36))</f>
        <v/>
      </c>
      <c r="H36" s="20" t="str">
        <f t="shared" ref="H36:H67" si="5">IF($D36=0,"",$E36-$F36-$G36)</f>
        <v/>
      </c>
      <c r="I36" s="20" t="str">
        <f>IF($D36=0,"",SUMIFS(Scores!$O$4:$O$227,Scores!$B$4:$B$227,$A36,Scores!$J$4:$J$227,$B36)+SUMIFS(Scores!$Q$4:$Q$227,Scores!$B$4:$B$227,$A36,Scores!$K$4:$K$227,$B36))</f>
        <v/>
      </c>
      <c r="J36" s="20" t="str">
        <f>IF($D36=0,"",SUMIFS(Scores!$P$4:$P$227,Scores!$B$4:$B$227,$A36,Scores!$J$4:$J$227,$B36)+SUMIFS(Scores!$R$4:$R$227,Scores!$B$4:$B$227,$A36,Scores!$K$4:$K$227,$B36))</f>
        <v/>
      </c>
      <c r="K36" s="20" t="str">
        <f t="shared" ref="K36:K67" si="6">IF($D36=0,"",$I36-$J36)</f>
        <v/>
      </c>
      <c r="L36" s="20" t="str">
        <f>IF($D36=0,"",$F36*Setup!$B$11+$G36*Setup!$B$12+$H36*Setup!$B$13)</f>
        <v/>
      </c>
      <c r="M36" s="20" t="str">
        <f t="shared" ref="M36:M67" si="7">IF($D36=0,"",$L36*1000000000+$K36*1000000+$I36*1000+(100-$B36))</f>
        <v/>
      </c>
      <c r="N36" s="20" t="str">
        <f t="shared" ref="N36:N67" si="8">IF($D36=0,"",COUNTIFS($A$4:$A$67,$A36,$D$4:$D$67,1,$M$4:$M$67,"&gt;"&amp;$M36)+1)</f>
        <v/>
      </c>
      <c r="O36" s="20" t="str">
        <f t="shared" ref="O36:O67" si="9">IF($D36=0,"",$A36&amp;"-"&amp;$N36)</f>
        <v/>
      </c>
    </row>
    <row r="37" spans="1:15">
      <c r="A37" s="20" t="str">
        <f>Teams!A37</f>
        <v>E</v>
      </c>
      <c r="B37" s="20">
        <f>Teams!B37</f>
        <v>2</v>
      </c>
      <c r="C37" s="20">
        <f>Teams!D37</f>
        <v>0</v>
      </c>
      <c r="D37" s="20">
        <f>Teams!F37</f>
        <v>0</v>
      </c>
      <c r="E37" s="20" t="str">
        <f>IF($D37=0,"",SUMIFS(Scores!$I$4:$I$227,Scores!$B$4:$B$227,$A37,Scores!$J$4:$J$227,$B37)+SUMIFS(Scores!$I$4:$I$227,Scores!$B$4:$B$227,$A37,Scores!$K$4:$K$227,$B37))</f>
        <v/>
      </c>
      <c r="F37" s="20" t="str">
        <f>IF($D37=0,"",SUMIFS(Scores!$L$4:$L$227,Scores!$B$4:$B$227,$A37,Scores!$J$4:$J$227,$B37)+SUMIFS(Scores!$M$4:$M$227,Scores!$B$4:$B$227,$A37,Scores!$K$4:$K$227,$B37))</f>
        <v/>
      </c>
      <c r="G37" s="20" t="str">
        <f>IF($D37=0,"",SUMIFS(Scores!$N$4:$N$227,Scores!$B$4:$B$227,$A37,Scores!$J$4:$J$227,$B37)+SUMIFS(Scores!$N$4:$N$227,Scores!$B$4:$B$227,$A37,Scores!$K$4:$K$227,$B37))</f>
        <v/>
      </c>
      <c r="H37" s="20" t="str">
        <f t="shared" si="5"/>
        <v/>
      </c>
      <c r="I37" s="20" t="str">
        <f>IF($D37=0,"",SUMIFS(Scores!$O$4:$O$227,Scores!$B$4:$B$227,$A37,Scores!$J$4:$J$227,$B37)+SUMIFS(Scores!$Q$4:$Q$227,Scores!$B$4:$B$227,$A37,Scores!$K$4:$K$227,$B37))</f>
        <v/>
      </c>
      <c r="J37" s="20" t="str">
        <f>IF($D37=0,"",SUMIFS(Scores!$P$4:$P$227,Scores!$B$4:$B$227,$A37,Scores!$J$4:$J$227,$B37)+SUMIFS(Scores!$R$4:$R$227,Scores!$B$4:$B$227,$A37,Scores!$K$4:$K$227,$B37))</f>
        <v/>
      </c>
      <c r="K37" s="20" t="str">
        <f t="shared" si="6"/>
        <v/>
      </c>
      <c r="L37" s="20" t="str">
        <f>IF($D37=0,"",$F37*Setup!$B$11+$G37*Setup!$B$12+$H37*Setup!$B$13)</f>
        <v/>
      </c>
      <c r="M37" s="20" t="str">
        <f t="shared" si="7"/>
        <v/>
      </c>
      <c r="N37" s="20" t="str">
        <f t="shared" si="8"/>
        <v/>
      </c>
      <c r="O37" s="20" t="str">
        <f t="shared" si="9"/>
        <v/>
      </c>
    </row>
    <row r="38" spans="1:15">
      <c r="A38" s="20" t="str">
        <f>Teams!A38</f>
        <v>E</v>
      </c>
      <c r="B38" s="20">
        <f>Teams!B38</f>
        <v>3</v>
      </c>
      <c r="C38" s="20">
        <f>Teams!D38</f>
        <v>0</v>
      </c>
      <c r="D38" s="20">
        <f>Teams!F38</f>
        <v>0</v>
      </c>
      <c r="E38" s="20" t="str">
        <f>IF($D38=0,"",SUMIFS(Scores!$I$4:$I$227,Scores!$B$4:$B$227,$A38,Scores!$J$4:$J$227,$B38)+SUMIFS(Scores!$I$4:$I$227,Scores!$B$4:$B$227,$A38,Scores!$K$4:$K$227,$B38))</f>
        <v/>
      </c>
      <c r="F38" s="20" t="str">
        <f>IF($D38=0,"",SUMIFS(Scores!$L$4:$L$227,Scores!$B$4:$B$227,$A38,Scores!$J$4:$J$227,$B38)+SUMIFS(Scores!$M$4:$M$227,Scores!$B$4:$B$227,$A38,Scores!$K$4:$K$227,$B38))</f>
        <v/>
      </c>
      <c r="G38" s="20" t="str">
        <f>IF($D38=0,"",SUMIFS(Scores!$N$4:$N$227,Scores!$B$4:$B$227,$A38,Scores!$J$4:$J$227,$B38)+SUMIFS(Scores!$N$4:$N$227,Scores!$B$4:$B$227,$A38,Scores!$K$4:$K$227,$B38))</f>
        <v/>
      </c>
      <c r="H38" s="20" t="str">
        <f t="shared" si="5"/>
        <v/>
      </c>
      <c r="I38" s="20" t="str">
        <f>IF($D38=0,"",SUMIFS(Scores!$O$4:$O$227,Scores!$B$4:$B$227,$A38,Scores!$J$4:$J$227,$B38)+SUMIFS(Scores!$Q$4:$Q$227,Scores!$B$4:$B$227,$A38,Scores!$K$4:$K$227,$B38))</f>
        <v/>
      </c>
      <c r="J38" s="20" t="str">
        <f>IF($D38=0,"",SUMIFS(Scores!$P$4:$P$227,Scores!$B$4:$B$227,$A38,Scores!$J$4:$J$227,$B38)+SUMIFS(Scores!$R$4:$R$227,Scores!$B$4:$B$227,$A38,Scores!$K$4:$K$227,$B38))</f>
        <v/>
      </c>
      <c r="K38" s="20" t="str">
        <f t="shared" si="6"/>
        <v/>
      </c>
      <c r="L38" s="20" t="str">
        <f>IF($D38=0,"",$F38*Setup!$B$11+$G38*Setup!$B$12+$H38*Setup!$B$13)</f>
        <v/>
      </c>
      <c r="M38" s="20" t="str">
        <f t="shared" si="7"/>
        <v/>
      </c>
      <c r="N38" s="20" t="str">
        <f t="shared" si="8"/>
        <v/>
      </c>
      <c r="O38" s="20" t="str">
        <f t="shared" si="9"/>
        <v/>
      </c>
    </row>
    <row r="39" spans="1:15">
      <c r="A39" s="20" t="str">
        <f>Teams!A39</f>
        <v>E</v>
      </c>
      <c r="B39" s="20">
        <f>Teams!B39</f>
        <v>4</v>
      </c>
      <c r="C39" s="20">
        <f>Teams!D39</f>
        <v>0</v>
      </c>
      <c r="D39" s="20">
        <f>Teams!F39</f>
        <v>0</v>
      </c>
      <c r="E39" s="20" t="str">
        <f>IF($D39=0,"",SUMIFS(Scores!$I$4:$I$227,Scores!$B$4:$B$227,$A39,Scores!$J$4:$J$227,$B39)+SUMIFS(Scores!$I$4:$I$227,Scores!$B$4:$B$227,$A39,Scores!$K$4:$K$227,$B39))</f>
        <v/>
      </c>
      <c r="F39" s="20" t="str">
        <f>IF($D39=0,"",SUMIFS(Scores!$L$4:$L$227,Scores!$B$4:$B$227,$A39,Scores!$J$4:$J$227,$B39)+SUMIFS(Scores!$M$4:$M$227,Scores!$B$4:$B$227,$A39,Scores!$K$4:$K$227,$B39))</f>
        <v/>
      </c>
      <c r="G39" s="20" t="str">
        <f>IF($D39=0,"",SUMIFS(Scores!$N$4:$N$227,Scores!$B$4:$B$227,$A39,Scores!$J$4:$J$227,$B39)+SUMIFS(Scores!$N$4:$N$227,Scores!$B$4:$B$227,$A39,Scores!$K$4:$K$227,$B39))</f>
        <v/>
      </c>
      <c r="H39" s="20" t="str">
        <f t="shared" si="5"/>
        <v/>
      </c>
      <c r="I39" s="20" t="str">
        <f>IF($D39=0,"",SUMIFS(Scores!$O$4:$O$227,Scores!$B$4:$B$227,$A39,Scores!$J$4:$J$227,$B39)+SUMIFS(Scores!$Q$4:$Q$227,Scores!$B$4:$B$227,$A39,Scores!$K$4:$K$227,$B39))</f>
        <v/>
      </c>
      <c r="J39" s="20" t="str">
        <f>IF($D39=0,"",SUMIFS(Scores!$P$4:$P$227,Scores!$B$4:$B$227,$A39,Scores!$J$4:$J$227,$B39)+SUMIFS(Scores!$R$4:$R$227,Scores!$B$4:$B$227,$A39,Scores!$K$4:$K$227,$B39))</f>
        <v/>
      </c>
      <c r="K39" s="20" t="str">
        <f t="shared" si="6"/>
        <v/>
      </c>
      <c r="L39" s="20" t="str">
        <f>IF($D39=0,"",$F39*Setup!$B$11+$G39*Setup!$B$12+$H39*Setup!$B$13)</f>
        <v/>
      </c>
      <c r="M39" s="20" t="str">
        <f t="shared" si="7"/>
        <v/>
      </c>
      <c r="N39" s="20" t="str">
        <f t="shared" si="8"/>
        <v/>
      </c>
      <c r="O39" s="20" t="str">
        <f t="shared" si="9"/>
        <v/>
      </c>
    </row>
    <row r="40" spans="1:15">
      <c r="A40" s="20" t="str">
        <f>Teams!A40</f>
        <v>E</v>
      </c>
      <c r="B40" s="20">
        <f>Teams!B40</f>
        <v>5</v>
      </c>
      <c r="C40" s="20">
        <f>Teams!D40</f>
        <v>0</v>
      </c>
      <c r="D40" s="20">
        <f>Teams!F40</f>
        <v>0</v>
      </c>
      <c r="E40" s="20" t="str">
        <f>IF($D40=0,"",SUMIFS(Scores!$I$4:$I$227,Scores!$B$4:$B$227,$A40,Scores!$J$4:$J$227,$B40)+SUMIFS(Scores!$I$4:$I$227,Scores!$B$4:$B$227,$A40,Scores!$K$4:$K$227,$B40))</f>
        <v/>
      </c>
      <c r="F40" s="20" t="str">
        <f>IF($D40=0,"",SUMIFS(Scores!$L$4:$L$227,Scores!$B$4:$B$227,$A40,Scores!$J$4:$J$227,$B40)+SUMIFS(Scores!$M$4:$M$227,Scores!$B$4:$B$227,$A40,Scores!$K$4:$K$227,$B40))</f>
        <v/>
      </c>
      <c r="G40" s="20" t="str">
        <f>IF($D40=0,"",SUMIFS(Scores!$N$4:$N$227,Scores!$B$4:$B$227,$A40,Scores!$J$4:$J$227,$B40)+SUMIFS(Scores!$N$4:$N$227,Scores!$B$4:$B$227,$A40,Scores!$K$4:$K$227,$B40))</f>
        <v/>
      </c>
      <c r="H40" s="20" t="str">
        <f t="shared" si="5"/>
        <v/>
      </c>
      <c r="I40" s="20" t="str">
        <f>IF($D40=0,"",SUMIFS(Scores!$O$4:$O$227,Scores!$B$4:$B$227,$A40,Scores!$J$4:$J$227,$B40)+SUMIFS(Scores!$Q$4:$Q$227,Scores!$B$4:$B$227,$A40,Scores!$K$4:$K$227,$B40))</f>
        <v/>
      </c>
      <c r="J40" s="20" t="str">
        <f>IF($D40=0,"",SUMIFS(Scores!$P$4:$P$227,Scores!$B$4:$B$227,$A40,Scores!$J$4:$J$227,$B40)+SUMIFS(Scores!$R$4:$R$227,Scores!$B$4:$B$227,$A40,Scores!$K$4:$K$227,$B40))</f>
        <v/>
      </c>
      <c r="K40" s="20" t="str">
        <f t="shared" si="6"/>
        <v/>
      </c>
      <c r="L40" s="20" t="str">
        <f>IF($D40=0,"",$F40*Setup!$B$11+$G40*Setup!$B$12+$H40*Setup!$B$13)</f>
        <v/>
      </c>
      <c r="M40" s="20" t="str">
        <f t="shared" si="7"/>
        <v/>
      </c>
      <c r="N40" s="20" t="str">
        <f t="shared" si="8"/>
        <v/>
      </c>
      <c r="O40" s="20" t="str">
        <f t="shared" si="9"/>
        <v/>
      </c>
    </row>
    <row r="41" spans="1:15">
      <c r="A41" s="20" t="str">
        <f>Teams!A41</f>
        <v>E</v>
      </c>
      <c r="B41" s="20">
        <f>Teams!B41</f>
        <v>6</v>
      </c>
      <c r="C41" s="20">
        <f>Teams!D41</f>
        <v>0</v>
      </c>
      <c r="D41" s="20">
        <f>Teams!F41</f>
        <v>0</v>
      </c>
      <c r="E41" s="20" t="str">
        <f>IF($D41=0,"",SUMIFS(Scores!$I$4:$I$227,Scores!$B$4:$B$227,$A41,Scores!$J$4:$J$227,$B41)+SUMIFS(Scores!$I$4:$I$227,Scores!$B$4:$B$227,$A41,Scores!$K$4:$K$227,$B41))</f>
        <v/>
      </c>
      <c r="F41" s="20" t="str">
        <f>IF($D41=0,"",SUMIFS(Scores!$L$4:$L$227,Scores!$B$4:$B$227,$A41,Scores!$J$4:$J$227,$B41)+SUMIFS(Scores!$M$4:$M$227,Scores!$B$4:$B$227,$A41,Scores!$K$4:$K$227,$B41))</f>
        <v/>
      </c>
      <c r="G41" s="20" t="str">
        <f>IF($D41=0,"",SUMIFS(Scores!$N$4:$N$227,Scores!$B$4:$B$227,$A41,Scores!$J$4:$J$227,$B41)+SUMIFS(Scores!$N$4:$N$227,Scores!$B$4:$B$227,$A41,Scores!$K$4:$K$227,$B41))</f>
        <v/>
      </c>
      <c r="H41" s="20" t="str">
        <f t="shared" si="5"/>
        <v/>
      </c>
      <c r="I41" s="20" t="str">
        <f>IF($D41=0,"",SUMIFS(Scores!$O$4:$O$227,Scores!$B$4:$B$227,$A41,Scores!$J$4:$J$227,$B41)+SUMIFS(Scores!$Q$4:$Q$227,Scores!$B$4:$B$227,$A41,Scores!$K$4:$K$227,$B41))</f>
        <v/>
      </c>
      <c r="J41" s="20" t="str">
        <f>IF($D41=0,"",SUMIFS(Scores!$P$4:$P$227,Scores!$B$4:$B$227,$A41,Scores!$J$4:$J$227,$B41)+SUMIFS(Scores!$R$4:$R$227,Scores!$B$4:$B$227,$A41,Scores!$K$4:$K$227,$B41))</f>
        <v/>
      </c>
      <c r="K41" s="20" t="str">
        <f t="shared" si="6"/>
        <v/>
      </c>
      <c r="L41" s="20" t="str">
        <f>IF($D41=0,"",$F41*Setup!$B$11+$G41*Setup!$B$12+$H41*Setup!$B$13)</f>
        <v/>
      </c>
      <c r="M41" s="20" t="str">
        <f t="shared" si="7"/>
        <v/>
      </c>
      <c r="N41" s="20" t="str">
        <f t="shared" si="8"/>
        <v/>
      </c>
      <c r="O41" s="20" t="str">
        <f t="shared" si="9"/>
        <v/>
      </c>
    </row>
    <row r="42" spans="1:15">
      <c r="A42" s="20" t="str">
        <f>Teams!A42</f>
        <v>E</v>
      </c>
      <c r="B42" s="20">
        <f>Teams!B42</f>
        <v>7</v>
      </c>
      <c r="C42" s="20">
        <f>Teams!D42</f>
        <v>0</v>
      </c>
      <c r="D42" s="20">
        <f>Teams!F42</f>
        <v>0</v>
      </c>
      <c r="E42" s="20" t="str">
        <f>IF($D42=0,"",SUMIFS(Scores!$I$4:$I$227,Scores!$B$4:$B$227,$A42,Scores!$J$4:$J$227,$B42)+SUMIFS(Scores!$I$4:$I$227,Scores!$B$4:$B$227,$A42,Scores!$K$4:$K$227,$B42))</f>
        <v/>
      </c>
      <c r="F42" s="20" t="str">
        <f>IF($D42=0,"",SUMIFS(Scores!$L$4:$L$227,Scores!$B$4:$B$227,$A42,Scores!$J$4:$J$227,$B42)+SUMIFS(Scores!$M$4:$M$227,Scores!$B$4:$B$227,$A42,Scores!$K$4:$K$227,$B42))</f>
        <v/>
      </c>
      <c r="G42" s="20" t="str">
        <f>IF($D42=0,"",SUMIFS(Scores!$N$4:$N$227,Scores!$B$4:$B$227,$A42,Scores!$J$4:$J$227,$B42)+SUMIFS(Scores!$N$4:$N$227,Scores!$B$4:$B$227,$A42,Scores!$K$4:$K$227,$B42))</f>
        <v/>
      </c>
      <c r="H42" s="20" t="str">
        <f t="shared" si="5"/>
        <v/>
      </c>
      <c r="I42" s="20" t="str">
        <f>IF($D42=0,"",SUMIFS(Scores!$O$4:$O$227,Scores!$B$4:$B$227,$A42,Scores!$J$4:$J$227,$B42)+SUMIFS(Scores!$Q$4:$Q$227,Scores!$B$4:$B$227,$A42,Scores!$K$4:$K$227,$B42))</f>
        <v/>
      </c>
      <c r="J42" s="20" t="str">
        <f>IF($D42=0,"",SUMIFS(Scores!$P$4:$P$227,Scores!$B$4:$B$227,$A42,Scores!$J$4:$J$227,$B42)+SUMIFS(Scores!$R$4:$R$227,Scores!$B$4:$B$227,$A42,Scores!$K$4:$K$227,$B42))</f>
        <v/>
      </c>
      <c r="K42" s="20" t="str">
        <f t="shared" si="6"/>
        <v/>
      </c>
      <c r="L42" s="20" t="str">
        <f>IF($D42=0,"",$F42*Setup!$B$11+$G42*Setup!$B$12+$H42*Setup!$B$13)</f>
        <v/>
      </c>
      <c r="M42" s="20" t="str">
        <f t="shared" si="7"/>
        <v/>
      </c>
      <c r="N42" s="20" t="str">
        <f t="shared" si="8"/>
        <v/>
      </c>
      <c r="O42" s="20" t="str">
        <f t="shared" si="9"/>
        <v/>
      </c>
    </row>
    <row r="43" spans="1:15">
      <c r="A43" s="20" t="str">
        <f>Teams!A43</f>
        <v>E</v>
      </c>
      <c r="B43" s="20">
        <f>Teams!B43</f>
        <v>8</v>
      </c>
      <c r="C43" s="20">
        <f>Teams!D43</f>
        <v>0</v>
      </c>
      <c r="D43" s="20">
        <f>Teams!F43</f>
        <v>0</v>
      </c>
      <c r="E43" s="20" t="str">
        <f>IF($D43=0,"",SUMIFS(Scores!$I$4:$I$227,Scores!$B$4:$B$227,$A43,Scores!$J$4:$J$227,$B43)+SUMIFS(Scores!$I$4:$I$227,Scores!$B$4:$B$227,$A43,Scores!$K$4:$K$227,$B43))</f>
        <v/>
      </c>
      <c r="F43" s="20" t="str">
        <f>IF($D43=0,"",SUMIFS(Scores!$L$4:$L$227,Scores!$B$4:$B$227,$A43,Scores!$J$4:$J$227,$B43)+SUMIFS(Scores!$M$4:$M$227,Scores!$B$4:$B$227,$A43,Scores!$K$4:$K$227,$B43))</f>
        <v/>
      </c>
      <c r="G43" s="20" t="str">
        <f>IF($D43=0,"",SUMIFS(Scores!$N$4:$N$227,Scores!$B$4:$B$227,$A43,Scores!$J$4:$J$227,$B43)+SUMIFS(Scores!$N$4:$N$227,Scores!$B$4:$B$227,$A43,Scores!$K$4:$K$227,$B43))</f>
        <v/>
      </c>
      <c r="H43" s="20" t="str">
        <f t="shared" si="5"/>
        <v/>
      </c>
      <c r="I43" s="20" t="str">
        <f>IF($D43=0,"",SUMIFS(Scores!$O$4:$O$227,Scores!$B$4:$B$227,$A43,Scores!$J$4:$J$227,$B43)+SUMIFS(Scores!$Q$4:$Q$227,Scores!$B$4:$B$227,$A43,Scores!$K$4:$K$227,$B43))</f>
        <v/>
      </c>
      <c r="J43" s="20" t="str">
        <f>IF($D43=0,"",SUMIFS(Scores!$P$4:$P$227,Scores!$B$4:$B$227,$A43,Scores!$J$4:$J$227,$B43)+SUMIFS(Scores!$R$4:$R$227,Scores!$B$4:$B$227,$A43,Scores!$K$4:$K$227,$B43))</f>
        <v/>
      </c>
      <c r="K43" s="20" t="str">
        <f t="shared" si="6"/>
        <v/>
      </c>
      <c r="L43" s="20" t="str">
        <f>IF($D43=0,"",$F43*Setup!$B$11+$G43*Setup!$B$12+$H43*Setup!$B$13)</f>
        <v/>
      </c>
      <c r="M43" s="20" t="str">
        <f t="shared" si="7"/>
        <v/>
      </c>
      <c r="N43" s="20" t="str">
        <f t="shared" si="8"/>
        <v/>
      </c>
      <c r="O43" s="20" t="str">
        <f t="shared" si="9"/>
        <v/>
      </c>
    </row>
    <row r="44" spans="1:15">
      <c r="A44" s="20" t="str">
        <f>Teams!A44</f>
        <v>F</v>
      </c>
      <c r="B44" s="20">
        <f>Teams!B44</f>
        <v>1</v>
      </c>
      <c r="C44" s="20">
        <f>Teams!D44</f>
        <v>0</v>
      </c>
      <c r="D44" s="20">
        <f>Teams!F44</f>
        <v>0</v>
      </c>
      <c r="E44" s="20" t="str">
        <f>IF($D44=0,"",SUMIFS(Scores!$I$4:$I$227,Scores!$B$4:$B$227,$A44,Scores!$J$4:$J$227,$B44)+SUMIFS(Scores!$I$4:$I$227,Scores!$B$4:$B$227,$A44,Scores!$K$4:$K$227,$B44))</f>
        <v/>
      </c>
      <c r="F44" s="20" t="str">
        <f>IF($D44=0,"",SUMIFS(Scores!$L$4:$L$227,Scores!$B$4:$B$227,$A44,Scores!$J$4:$J$227,$B44)+SUMIFS(Scores!$M$4:$M$227,Scores!$B$4:$B$227,$A44,Scores!$K$4:$K$227,$B44))</f>
        <v/>
      </c>
      <c r="G44" s="20" t="str">
        <f>IF($D44=0,"",SUMIFS(Scores!$N$4:$N$227,Scores!$B$4:$B$227,$A44,Scores!$J$4:$J$227,$B44)+SUMIFS(Scores!$N$4:$N$227,Scores!$B$4:$B$227,$A44,Scores!$K$4:$K$227,$B44))</f>
        <v/>
      </c>
      <c r="H44" s="20" t="str">
        <f t="shared" si="5"/>
        <v/>
      </c>
      <c r="I44" s="20" t="str">
        <f>IF($D44=0,"",SUMIFS(Scores!$O$4:$O$227,Scores!$B$4:$B$227,$A44,Scores!$J$4:$J$227,$B44)+SUMIFS(Scores!$Q$4:$Q$227,Scores!$B$4:$B$227,$A44,Scores!$K$4:$K$227,$B44))</f>
        <v/>
      </c>
      <c r="J44" s="20" t="str">
        <f>IF($D44=0,"",SUMIFS(Scores!$P$4:$P$227,Scores!$B$4:$B$227,$A44,Scores!$J$4:$J$227,$B44)+SUMIFS(Scores!$R$4:$R$227,Scores!$B$4:$B$227,$A44,Scores!$K$4:$K$227,$B44))</f>
        <v/>
      </c>
      <c r="K44" s="20" t="str">
        <f t="shared" si="6"/>
        <v/>
      </c>
      <c r="L44" s="20" t="str">
        <f>IF($D44=0,"",$F44*Setup!$B$11+$G44*Setup!$B$12+$H44*Setup!$B$13)</f>
        <v/>
      </c>
      <c r="M44" s="20" t="str">
        <f t="shared" si="7"/>
        <v/>
      </c>
      <c r="N44" s="20" t="str">
        <f t="shared" si="8"/>
        <v/>
      </c>
      <c r="O44" s="20" t="str">
        <f t="shared" si="9"/>
        <v/>
      </c>
    </row>
    <row r="45" spans="1:15">
      <c r="A45" s="20" t="str">
        <f>Teams!A45</f>
        <v>F</v>
      </c>
      <c r="B45" s="20">
        <f>Teams!B45</f>
        <v>2</v>
      </c>
      <c r="C45" s="20">
        <f>Teams!D45</f>
        <v>0</v>
      </c>
      <c r="D45" s="20">
        <f>Teams!F45</f>
        <v>0</v>
      </c>
      <c r="E45" s="20" t="str">
        <f>IF($D45=0,"",SUMIFS(Scores!$I$4:$I$227,Scores!$B$4:$B$227,$A45,Scores!$J$4:$J$227,$B45)+SUMIFS(Scores!$I$4:$I$227,Scores!$B$4:$B$227,$A45,Scores!$K$4:$K$227,$B45))</f>
        <v/>
      </c>
      <c r="F45" s="20" t="str">
        <f>IF($D45=0,"",SUMIFS(Scores!$L$4:$L$227,Scores!$B$4:$B$227,$A45,Scores!$J$4:$J$227,$B45)+SUMIFS(Scores!$M$4:$M$227,Scores!$B$4:$B$227,$A45,Scores!$K$4:$K$227,$B45))</f>
        <v/>
      </c>
      <c r="G45" s="20" t="str">
        <f>IF($D45=0,"",SUMIFS(Scores!$N$4:$N$227,Scores!$B$4:$B$227,$A45,Scores!$J$4:$J$227,$B45)+SUMIFS(Scores!$N$4:$N$227,Scores!$B$4:$B$227,$A45,Scores!$K$4:$K$227,$B45))</f>
        <v/>
      </c>
      <c r="H45" s="20" t="str">
        <f t="shared" si="5"/>
        <v/>
      </c>
      <c r="I45" s="20" t="str">
        <f>IF($D45=0,"",SUMIFS(Scores!$O$4:$O$227,Scores!$B$4:$B$227,$A45,Scores!$J$4:$J$227,$B45)+SUMIFS(Scores!$Q$4:$Q$227,Scores!$B$4:$B$227,$A45,Scores!$K$4:$K$227,$B45))</f>
        <v/>
      </c>
      <c r="J45" s="20" t="str">
        <f>IF($D45=0,"",SUMIFS(Scores!$P$4:$P$227,Scores!$B$4:$B$227,$A45,Scores!$J$4:$J$227,$B45)+SUMIFS(Scores!$R$4:$R$227,Scores!$B$4:$B$227,$A45,Scores!$K$4:$K$227,$B45))</f>
        <v/>
      </c>
      <c r="K45" s="20" t="str">
        <f t="shared" si="6"/>
        <v/>
      </c>
      <c r="L45" s="20" t="str">
        <f>IF($D45=0,"",$F45*Setup!$B$11+$G45*Setup!$B$12+$H45*Setup!$B$13)</f>
        <v/>
      </c>
      <c r="M45" s="20" t="str">
        <f t="shared" si="7"/>
        <v/>
      </c>
      <c r="N45" s="20" t="str">
        <f t="shared" si="8"/>
        <v/>
      </c>
      <c r="O45" s="20" t="str">
        <f t="shared" si="9"/>
        <v/>
      </c>
    </row>
    <row r="46" spans="1:15">
      <c r="A46" s="20" t="str">
        <f>Teams!A46</f>
        <v>F</v>
      </c>
      <c r="B46" s="20">
        <f>Teams!B46</f>
        <v>3</v>
      </c>
      <c r="C46" s="20">
        <f>Teams!D46</f>
        <v>0</v>
      </c>
      <c r="D46" s="20">
        <f>Teams!F46</f>
        <v>0</v>
      </c>
      <c r="E46" s="20" t="str">
        <f>IF($D46=0,"",SUMIFS(Scores!$I$4:$I$227,Scores!$B$4:$B$227,$A46,Scores!$J$4:$J$227,$B46)+SUMIFS(Scores!$I$4:$I$227,Scores!$B$4:$B$227,$A46,Scores!$K$4:$K$227,$B46))</f>
        <v/>
      </c>
      <c r="F46" s="20" t="str">
        <f>IF($D46=0,"",SUMIFS(Scores!$L$4:$L$227,Scores!$B$4:$B$227,$A46,Scores!$J$4:$J$227,$B46)+SUMIFS(Scores!$M$4:$M$227,Scores!$B$4:$B$227,$A46,Scores!$K$4:$K$227,$B46))</f>
        <v/>
      </c>
      <c r="G46" s="20" t="str">
        <f>IF($D46=0,"",SUMIFS(Scores!$N$4:$N$227,Scores!$B$4:$B$227,$A46,Scores!$J$4:$J$227,$B46)+SUMIFS(Scores!$N$4:$N$227,Scores!$B$4:$B$227,$A46,Scores!$K$4:$K$227,$B46))</f>
        <v/>
      </c>
      <c r="H46" s="20" t="str">
        <f t="shared" si="5"/>
        <v/>
      </c>
      <c r="I46" s="20" t="str">
        <f>IF($D46=0,"",SUMIFS(Scores!$O$4:$O$227,Scores!$B$4:$B$227,$A46,Scores!$J$4:$J$227,$B46)+SUMIFS(Scores!$Q$4:$Q$227,Scores!$B$4:$B$227,$A46,Scores!$K$4:$K$227,$B46))</f>
        <v/>
      </c>
      <c r="J46" s="20" t="str">
        <f>IF($D46=0,"",SUMIFS(Scores!$P$4:$P$227,Scores!$B$4:$B$227,$A46,Scores!$J$4:$J$227,$B46)+SUMIFS(Scores!$R$4:$R$227,Scores!$B$4:$B$227,$A46,Scores!$K$4:$K$227,$B46))</f>
        <v/>
      </c>
      <c r="K46" s="20" t="str">
        <f t="shared" si="6"/>
        <v/>
      </c>
      <c r="L46" s="20" t="str">
        <f>IF($D46=0,"",$F46*Setup!$B$11+$G46*Setup!$B$12+$H46*Setup!$B$13)</f>
        <v/>
      </c>
      <c r="M46" s="20" t="str">
        <f t="shared" si="7"/>
        <v/>
      </c>
      <c r="N46" s="20" t="str">
        <f t="shared" si="8"/>
        <v/>
      </c>
      <c r="O46" s="20" t="str">
        <f t="shared" si="9"/>
        <v/>
      </c>
    </row>
    <row r="47" spans="1:15">
      <c r="A47" s="20" t="str">
        <f>Teams!A47</f>
        <v>F</v>
      </c>
      <c r="B47" s="20">
        <f>Teams!B47</f>
        <v>4</v>
      </c>
      <c r="C47" s="20">
        <f>Teams!D47</f>
        <v>0</v>
      </c>
      <c r="D47" s="20">
        <f>Teams!F47</f>
        <v>0</v>
      </c>
      <c r="E47" s="20" t="str">
        <f>IF($D47=0,"",SUMIFS(Scores!$I$4:$I$227,Scores!$B$4:$B$227,$A47,Scores!$J$4:$J$227,$B47)+SUMIFS(Scores!$I$4:$I$227,Scores!$B$4:$B$227,$A47,Scores!$K$4:$K$227,$B47))</f>
        <v/>
      </c>
      <c r="F47" s="20" t="str">
        <f>IF($D47=0,"",SUMIFS(Scores!$L$4:$L$227,Scores!$B$4:$B$227,$A47,Scores!$J$4:$J$227,$B47)+SUMIFS(Scores!$M$4:$M$227,Scores!$B$4:$B$227,$A47,Scores!$K$4:$K$227,$B47))</f>
        <v/>
      </c>
      <c r="G47" s="20" t="str">
        <f>IF($D47=0,"",SUMIFS(Scores!$N$4:$N$227,Scores!$B$4:$B$227,$A47,Scores!$J$4:$J$227,$B47)+SUMIFS(Scores!$N$4:$N$227,Scores!$B$4:$B$227,$A47,Scores!$K$4:$K$227,$B47))</f>
        <v/>
      </c>
      <c r="H47" s="20" t="str">
        <f t="shared" si="5"/>
        <v/>
      </c>
      <c r="I47" s="20" t="str">
        <f>IF($D47=0,"",SUMIFS(Scores!$O$4:$O$227,Scores!$B$4:$B$227,$A47,Scores!$J$4:$J$227,$B47)+SUMIFS(Scores!$Q$4:$Q$227,Scores!$B$4:$B$227,$A47,Scores!$K$4:$K$227,$B47))</f>
        <v/>
      </c>
      <c r="J47" s="20" t="str">
        <f>IF($D47=0,"",SUMIFS(Scores!$P$4:$P$227,Scores!$B$4:$B$227,$A47,Scores!$J$4:$J$227,$B47)+SUMIFS(Scores!$R$4:$R$227,Scores!$B$4:$B$227,$A47,Scores!$K$4:$K$227,$B47))</f>
        <v/>
      </c>
      <c r="K47" s="20" t="str">
        <f t="shared" si="6"/>
        <v/>
      </c>
      <c r="L47" s="20" t="str">
        <f>IF($D47=0,"",$F47*Setup!$B$11+$G47*Setup!$B$12+$H47*Setup!$B$13)</f>
        <v/>
      </c>
      <c r="M47" s="20" t="str">
        <f t="shared" si="7"/>
        <v/>
      </c>
      <c r="N47" s="20" t="str">
        <f t="shared" si="8"/>
        <v/>
      </c>
      <c r="O47" s="20" t="str">
        <f t="shared" si="9"/>
        <v/>
      </c>
    </row>
    <row r="48" spans="1:15">
      <c r="A48" s="20" t="str">
        <f>Teams!A48</f>
        <v>F</v>
      </c>
      <c r="B48" s="20">
        <f>Teams!B48</f>
        <v>5</v>
      </c>
      <c r="C48" s="20">
        <f>Teams!D48</f>
        <v>0</v>
      </c>
      <c r="D48" s="20">
        <f>Teams!F48</f>
        <v>0</v>
      </c>
      <c r="E48" s="20" t="str">
        <f>IF($D48=0,"",SUMIFS(Scores!$I$4:$I$227,Scores!$B$4:$B$227,$A48,Scores!$J$4:$J$227,$B48)+SUMIFS(Scores!$I$4:$I$227,Scores!$B$4:$B$227,$A48,Scores!$K$4:$K$227,$B48))</f>
        <v/>
      </c>
      <c r="F48" s="20" t="str">
        <f>IF($D48=0,"",SUMIFS(Scores!$L$4:$L$227,Scores!$B$4:$B$227,$A48,Scores!$J$4:$J$227,$B48)+SUMIFS(Scores!$M$4:$M$227,Scores!$B$4:$B$227,$A48,Scores!$K$4:$K$227,$B48))</f>
        <v/>
      </c>
      <c r="G48" s="20" t="str">
        <f>IF($D48=0,"",SUMIFS(Scores!$N$4:$N$227,Scores!$B$4:$B$227,$A48,Scores!$J$4:$J$227,$B48)+SUMIFS(Scores!$N$4:$N$227,Scores!$B$4:$B$227,$A48,Scores!$K$4:$K$227,$B48))</f>
        <v/>
      </c>
      <c r="H48" s="20" t="str">
        <f t="shared" si="5"/>
        <v/>
      </c>
      <c r="I48" s="20" t="str">
        <f>IF($D48=0,"",SUMIFS(Scores!$O$4:$O$227,Scores!$B$4:$B$227,$A48,Scores!$J$4:$J$227,$B48)+SUMIFS(Scores!$Q$4:$Q$227,Scores!$B$4:$B$227,$A48,Scores!$K$4:$K$227,$B48))</f>
        <v/>
      </c>
      <c r="J48" s="20" t="str">
        <f>IF($D48=0,"",SUMIFS(Scores!$P$4:$P$227,Scores!$B$4:$B$227,$A48,Scores!$J$4:$J$227,$B48)+SUMIFS(Scores!$R$4:$R$227,Scores!$B$4:$B$227,$A48,Scores!$K$4:$K$227,$B48))</f>
        <v/>
      </c>
      <c r="K48" s="20" t="str">
        <f t="shared" si="6"/>
        <v/>
      </c>
      <c r="L48" s="20" t="str">
        <f>IF($D48=0,"",$F48*Setup!$B$11+$G48*Setup!$B$12+$H48*Setup!$B$13)</f>
        <v/>
      </c>
      <c r="M48" s="20" t="str">
        <f t="shared" si="7"/>
        <v/>
      </c>
      <c r="N48" s="20" t="str">
        <f t="shared" si="8"/>
        <v/>
      </c>
      <c r="O48" s="20" t="str">
        <f t="shared" si="9"/>
        <v/>
      </c>
    </row>
    <row r="49" spans="1:15">
      <c r="A49" s="20" t="str">
        <f>Teams!A49</f>
        <v>F</v>
      </c>
      <c r="B49" s="20">
        <f>Teams!B49</f>
        <v>6</v>
      </c>
      <c r="C49" s="20">
        <f>Teams!D49</f>
        <v>0</v>
      </c>
      <c r="D49" s="20">
        <f>Teams!F49</f>
        <v>0</v>
      </c>
      <c r="E49" s="20" t="str">
        <f>IF($D49=0,"",SUMIFS(Scores!$I$4:$I$227,Scores!$B$4:$B$227,$A49,Scores!$J$4:$J$227,$B49)+SUMIFS(Scores!$I$4:$I$227,Scores!$B$4:$B$227,$A49,Scores!$K$4:$K$227,$B49))</f>
        <v/>
      </c>
      <c r="F49" s="20" t="str">
        <f>IF($D49=0,"",SUMIFS(Scores!$L$4:$L$227,Scores!$B$4:$B$227,$A49,Scores!$J$4:$J$227,$B49)+SUMIFS(Scores!$M$4:$M$227,Scores!$B$4:$B$227,$A49,Scores!$K$4:$K$227,$B49))</f>
        <v/>
      </c>
      <c r="G49" s="20" t="str">
        <f>IF($D49=0,"",SUMIFS(Scores!$N$4:$N$227,Scores!$B$4:$B$227,$A49,Scores!$J$4:$J$227,$B49)+SUMIFS(Scores!$N$4:$N$227,Scores!$B$4:$B$227,$A49,Scores!$K$4:$K$227,$B49))</f>
        <v/>
      </c>
      <c r="H49" s="20" t="str">
        <f t="shared" si="5"/>
        <v/>
      </c>
      <c r="I49" s="20" t="str">
        <f>IF($D49=0,"",SUMIFS(Scores!$O$4:$O$227,Scores!$B$4:$B$227,$A49,Scores!$J$4:$J$227,$B49)+SUMIFS(Scores!$Q$4:$Q$227,Scores!$B$4:$B$227,$A49,Scores!$K$4:$K$227,$B49))</f>
        <v/>
      </c>
      <c r="J49" s="20" t="str">
        <f>IF($D49=0,"",SUMIFS(Scores!$P$4:$P$227,Scores!$B$4:$B$227,$A49,Scores!$J$4:$J$227,$B49)+SUMIFS(Scores!$R$4:$R$227,Scores!$B$4:$B$227,$A49,Scores!$K$4:$K$227,$B49))</f>
        <v/>
      </c>
      <c r="K49" s="20" t="str">
        <f t="shared" si="6"/>
        <v/>
      </c>
      <c r="L49" s="20" t="str">
        <f>IF($D49=0,"",$F49*Setup!$B$11+$G49*Setup!$B$12+$H49*Setup!$B$13)</f>
        <v/>
      </c>
      <c r="M49" s="20" t="str">
        <f t="shared" si="7"/>
        <v/>
      </c>
      <c r="N49" s="20" t="str">
        <f t="shared" si="8"/>
        <v/>
      </c>
      <c r="O49" s="20" t="str">
        <f t="shared" si="9"/>
        <v/>
      </c>
    </row>
    <row r="50" spans="1:15">
      <c r="A50" s="20" t="str">
        <f>Teams!A50</f>
        <v>F</v>
      </c>
      <c r="B50" s="20">
        <f>Teams!B50</f>
        <v>7</v>
      </c>
      <c r="C50" s="20">
        <f>Teams!D50</f>
        <v>0</v>
      </c>
      <c r="D50" s="20">
        <f>Teams!F50</f>
        <v>0</v>
      </c>
      <c r="E50" s="20" t="str">
        <f>IF($D50=0,"",SUMIFS(Scores!$I$4:$I$227,Scores!$B$4:$B$227,$A50,Scores!$J$4:$J$227,$B50)+SUMIFS(Scores!$I$4:$I$227,Scores!$B$4:$B$227,$A50,Scores!$K$4:$K$227,$B50))</f>
        <v/>
      </c>
      <c r="F50" s="20" t="str">
        <f>IF($D50=0,"",SUMIFS(Scores!$L$4:$L$227,Scores!$B$4:$B$227,$A50,Scores!$J$4:$J$227,$B50)+SUMIFS(Scores!$M$4:$M$227,Scores!$B$4:$B$227,$A50,Scores!$K$4:$K$227,$B50))</f>
        <v/>
      </c>
      <c r="G50" s="20" t="str">
        <f>IF($D50=0,"",SUMIFS(Scores!$N$4:$N$227,Scores!$B$4:$B$227,$A50,Scores!$J$4:$J$227,$B50)+SUMIFS(Scores!$N$4:$N$227,Scores!$B$4:$B$227,$A50,Scores!$K$4:$K$227,$B50))</f>
        <v/>
      </c>
      <c r="H50" s="20" t="str">
        <f t="shared" si="5"/>
        <v/>
      </c>
      <c r="I50" s="20" t="str">
        <f>IF($D50=0,"",SUMIFS(Scores!$O$4:$O$227,Scores!$B$4:$B$227,$A50,Scores!$J$4:$J$227,$B50)+SUMIFS(Scores!$Q$4:$Q$227,Scores!$B$4:$B$227,$A50,Scores!$K$4:$K$227,$B50))</f>
        <v/>
      </c>
      <c r="J50" s="20" t="str">
        <f>IF($D50=0,"",SUMIFS(Scores!$P$4:$P$227,Scores!$B$4:$B$227,$A50,Scores!$J$4:$J$227,$B50)+SUMIFS(Scores!$R$4:$R$227,Scores!$B$4:$B$227,$A50,Scores!$K$4:$K$227,$B50))</f>
        <v/>
      </c>
      <c r="K50" s="20" t="str">
        <f t="shared" si="6"/>
        <v/>
      </c>
      <c r="L50" s="20" t="str">
        <f>IF($D50=0,"",$F50*Setup!$B$11+$G50*Setup!$B$12+$H50*Setup!$B$13)</f>
        <v/>
      </c>
      <c r="M50" s="20" t="str">
        <f t="shared" si="7"/>
        <v/>
      </c>
      <c r="N50" s="20" t="str">
        <f t="shared" si="8"/>
        <v/>
      </c>
      <c r="O50" s="20" t="str">
        <f t="shared" si="9"/>
        <v/>
      </c>
    </row>
    <row r="51" spans="1:15">
      <c r="A51" s="20" t="str">
        <f>Teams!A51</f>
        <v>F</v>
      </c>
      <c r="B51" s="20">
        <f>Teams!B51</f>
        <v>8</v>
      </c>
      <c r="C51" s="20">
        <f>Teams!D51</f>
        <v>0</v>
      </c>
      <c r="D51" s="20">
        <f>Teams!F51</f>
        <v>0</v>
      </c>
      <c r="E51" s="20" t="str">
        <f>IF($D51=0,"",SUMIFS(Scores!$I$4:$I$227,Scores!$B$4:$B$227,$A51,Scores!$J$4:$J$227,$B51)+SUMIFS(Scores!$I$4:$I$227,Scores!$B$4:$B$227,$A51,Scores!$K$4:$K$227,$B51))</f>
        <v/>
      </c>
      <c r="F51" s="20" t="str">
        <f>IF($D51=0,"",SUMIFS(Scores!$L$4:$L$227,Scores!$B$4:$B$227,$A51,Scores!$J$4:$J$227,$B51)+SUMIFS(Scores!$M$4:$M$227,Scores!$B$4:$B$227,$A51,Scores!$K$4:$K$227,$B51))</f>
        <v/>
      </c>
      <c r="G51" s="20" t="str">
        <f>IF($D51=0,"",SUMIFS(Scores!$N$4:$N$227,Scores!$B$4:$B$227,$A51,Scores!$J$4:$J$227,$B51)+SUMIFS(Scores!$N$4:$N$227,Scores!$B$4:$B$227,$A51,Scores!$K$4:$K$227,$B51))</f>
        <v/>
      </c>
      <c r="H51" s="20" t="str">
        <f t="shared" si="5"/>
        <v/>
      </c>
      <c r="I51" s="20" t="str">
        <f>IF($D51=0,"",SUMIFS(Scores!$O$4:$O$227,Scores!$B$4:$B$227,$A51,Scores!$J$4:$J$227,$B51)+SUMIFS(Scores!$Q$4:$Q$227,Scores!$B$4:$B$227,$A51,Scores!$K$4:$K$227,$B51))</f>
        <v/>
      </c>
      <c r="J51" s="20" t="str">
        <f>IF($D51=0,"",SUMIFS(Scores!$P$4:$P$227,Scores!$B$4:$B$227,$A51,Scores!$J$4:$J$227,$B51)+SUMIFS(Scores!$R$4:$R$227,Scores!$B$4:$B$227,$A51,Scores!$K$4:$K$227,$B51))</f>
        <v/>
      </c>
      <c r="K51" s="20" t="str">
        <f t="shared" si="6"/>
        <v/>
      </c>
      <c r="L51" s="20" t="str">
        <f>IF($D51=0,"",$F51*Setup!$B$11+$G51*Setup!$B$12+$H51*Setup!$B$13)</f>
        <v/>
      </c>
      <c r="M51" s="20" t="str">
        <f t="shared" si="7"/>
        <v/>
      </c>
      <c r="N51" s="20" t="str">
        <f t="shared" si="8"/>
        <v/>
      </c>
      <c r="O51" s="20" t="str">
        <f t="shared" si="9"/>
        <v/>
      </c>
    </row>
    <row r="52" spans="1:15">
      <c r="A52" s="20" t="str">
        <f>Teams!A52</f>
        <v>G</v>
      </c>
      <c r="B52" s="20">
        <f>Teams!B52</f>
        <v>1</v>
      </c>
      <c r="C52" s="20">
        <f>Teams!D52</f>
        <v>0</v>
      </c>
      <c r="D52" s="20">
        <f>Teams!F52</f>
        <v>0</v>
      </c>
      <c r="E52" s="20" t="str">
        <f>IF($D52=0,"",SUMIFS(Scores!$I$4:$I$227,Scores!$B$4:$B$227,$A52,Scores!$J$4:$J$227,$B52)+SUMIFS(Scores!$I$4:$I$227,Scores!$B$4:$B$227,$A52,Scores!$K$4:$K$227,$B52))</f>
        <v/>
      </c>
      <c r="F52" s="20" t="str">
        <f>IF($D52=0,"",SUMIFS(Scores!$L$4:$L$227,Scores!$B$4:$B$227,$A52,Scores!$J$4:$J$227,$B52)+SUMIFS(Scores!$M$4:$M$227,Scores!$B$4:$B$227,$A52,Scores!$K$4:$K$227,$B52))</f>
        <v/>
      </c>
      <c r="G52" s="20" t="str">
        <f>IF($D52=0,"",SUMIFS(Scores!$N$4:$N$227,Scores!$B$4:$B$227,$A52,Scores!$J$4:$J$227,$B52)+SUMIFS(Scores!$N$4:$N$227,Scores!$B$4:$B$227,$A52,Scores!$K$4:$K$227,$B52))</f>
        <v/>
      </c>
      <c r="H52" s="20" t="str">
        <f t="shared" si="5"/>
        <v/>
      </c>
      <c r="I52" s="20" t="str">
        <f>IF($D52=0,"",SUMIFS(Scores!$O$4:$O$227,Scores!$B$4:$B$227,$A52,Scores!$J$4:$J$227,$B52)+SUMIFS(Scores!$Q$4:$Q$227,Scores!$B$4:$B$227,$A52,Scores!$K$4:$K$227,$B52))</f>
        <v/>
      </c>
      <c r="J52" s="20" t="str">
        <f>IF($D52=0,"",SUMIFS(Scores!$P$4:$P$227,Scores!$B$4:$B$227,$A52,Scores!$J$4:$J$227,$B52)+SUMIFS(Scores!$R$4:$R$227,Scores!$B$4:$B$227,$A52,Scores!$K$4:$K$227,$B52))</f>
        <v/>
      </c>
      <c r="K52" s="20" t="str">
        <f t="shared" si="6"/>
        <v/>
      </c>
      <c r="L52" s="20" t="str">
        <f>IF($D52=0,"",$F52*Setup!$B$11+$G52*Setup!$B$12+$H52*Setup!$B$13)</f>
        <v/>
      </c>
      <c r="M52" s="20" t="str">
        <f t="shared" si="7"/>
        <v/>
      </c>
      <c r="N52" s="20" t="str">
        <f t="shared" si="8"/>
        <v/>
      </c>
      <c r="O52" s="20" t="str">
        <f t="shared" si="9"/>
        <v/>
      </c>
    </row>
    <row r="53" spans="1:15">
      <c r="A53" s="20" t="str">
        <f>Teams!A53</f>
        <v>G</v>
      </c>
      <c r="B53" s="20">
        <f>Teams!B53</f>
        <v>2</v>
      </c>
      <c r="C53" s="20">
        <f>Teams!D53</f>
        <v>0</v>
      </c>
      <c r="D53" s="20">
        <f>Teams!F53</f>
        <v>0</v>
      </c>
      <c r="E53" s="20" t="str">
        <f>IF($D53=0,"",SUMIFS(Scores!$I$4:$I$227,Scores!$B$4:$B$227,$A53,Scores!$J$4:$J$227,$B53)+SUMIFS(Scores!$I$4:$I$227,Scores!$B$4:$B$227,$A53,Scores!$K$4:$K$227,$B53))</f>
        <v/>
      </c>
      <c r="F53" s="20" t="str">
        <f>IF($D53=0,"",SUMIFS(Scores!$L$4:$L$227,Scores!$B$4:$B$227,$A53,Scores!$J$4:$J$227,$B53)+SUMIFS(Scores!$M$4:$M$227,Scores!$B$4:$B$227,$A53,Scores!$K$4:$K$227,$B53))</f>
        <v/>
      </c>
      <c r="G53" s="20" t="str">
        <f>IF($D53=0,"",SUMIFS(Scores!$N$4:$N$227,Scores!$B$4:$B$227,$A53,Scores!$J$4:$J$227,$B53)+SUMIFS(Scores!$N$4:$N$227,Scores!$B$4:$B$227,$A53,Scores!$K$4:$K$227,$B53))</f>
        <v/>
      </c>
      <c r="H53" s="20" t="str">
        <f t="shared" si="5"/>
        <v/>
      </c>
      <c r="I53" s="20" t="str">
        <f>IF($D53=0,"",SUMIFS(Scores!$O$4:$O$227,Scores!$B$4:$B$227,$A53,Scores!$J$4:$J$227,$B53)+SUMIFS(Scores!$Q$4:$Q$227,Scores!$B$4:$B$227,$A53,Scores!$K$4:$K$227,$B53))</f>
        <v/>
      </c>
      <c r="J53" s="20" t="str">
        <f>IF($D53=0,"",SUMIFS(Scores!$P$4:$P$227,Scores!$B$4:$B$227,$A53,Scores!$J$4:$J$227,$B53)+SUMIFS(Scores!$R$4:$R$227,Scores!$B$4:$B$227,$A53,Scores!$K$4:$K$227,$B53))</f>
        <v/>
      </c>
      <c r="K53" s="20" t="str">
        <f t="shared" si="6"/>
        <v/>
      </c>
      <c r="L53" s="20" t="str">
        <f>IF($D53=0,"",$F53*Setup!$B$11+$G53*Setup!$B$12+$H53*Setup!$B$13)</f>
        <v/>
      </c>
      <c r="M53" s="20" t="str">
        <f t="shared" si="7"/>
        <v/>
      </c>
      <c r="N53" s="20" t="str">
        <f t="shared" si="8"/>
        <v/>
      </c>
      <c r="O53" s="20" t="str">
        <f t="shared" si="9"/>
        <v/>
      </c>
    </row>
    <row r="54" spans="1:15">
      <c r="A54" s="20" t="str">
        <f>Teams!A54</f>
        <v>G</v>
      </c>
      <c r="B54" s="20">
        <f>Teams!B54</f>
        <v>3</v>
      </c>
      <c r="C54" s="20">
        <f>Teams!D54</f>
        <v>0</v>
      </c>
      <c r="D54" s="20">
        <f>Teams!F54</f>
        <v>0</v>
      </c>
      <c r="E54" s="20" t="str">
        <f>IF($D54=0,"",SUMIFS(Scores!$I$4:$I$227,Scores!$B$4:$B$227,$A54,Scores!$J$4:$J$227,$B54)+SUMIFS(Scores!$I$4:$I$227,Scores!$B$4:$B$227,$A54,Scores!$K$4:$K$227,$B54))</f>
        <v/>
      </c>
      <c r="F54" s="20" t="str">
        <f>IF($D54=0,"",SUMIFS(Scores!$L$4:$L$227,Scores!$B$4:$B$227,$A54,Scores!$J$4:$J$227,$B54)+SUMIFS(Scores!$M$4:$M$227,Scores!$B$4:$B$227,$A54,Scores!$K$4:$K$227,$B54))</f>
        <v/>
      </c>
      <c r="G54" s="20" t="str">
        <f>IF($D54=0,"",SUMIFS(Scores!$N$4:$N$227,Scores!$B$4:$B$227,$A54,Scores!$J$4:$J$227,$B54)+SUMIFS(Scores!$N$4:$N$227,Scores!$B$4:$B$227,$A54,Scores!$K$4:$K$227,$B54))</f>
        <v/>
      </c>
      <c r="H54" s="20" t="str">
        <f t="shared" si="5"/>
        <v/>
      </c>
      <c r="I54" s="20" t="str">
        <f>IF($D54=0,"",SUMIFS(Scores!$O$4:$O$227,Scores!$B$4:$B$227,$A54,Scores!$J$4:$J$227,$B54)+SUMIFS(Scores!$Q$4:$Q$227,Scores!$B$4:$B$227,$A54,Scores!$K$4:$K$227,$B54))</f>
        <v/>
      </c>
      <c r="J54" s="20" t="str">
        <f>IF($D54=0,"",SUMIFS(Scores!$P$4:$P$227,Scores!$B$4:$B$227,$A54,Scores!$J$4:$J$227,$B54)+SUMIFS(Scores!$R$4:$R$227,Scores!$B$4:$B$227,$A54,Scores!$K$4:$K$227,$B54))</f>
        <v/>
      </c>
      <c r="K54" s="20" t="str">
        <f t="shared" si="6"/>
        <v/>
      </c>
      <c r="L54" s="20" t="str">
        <f>IF($D54=0,"",$F54*Setup!$B$11+$G54*Setup!$B$12+$H54*Setup!$B$13)</f>
        <v/>
      </c>
      <c r="M54" s="20" t="str">
        <f t="shared" si="7"/>
        <v/>
      </c>
      <c r="N54" s="20" t="str">
        <f t="shared" si="8"/>
        <v/>
      </c>
      <c r="O54" s="20" t="str">
        <f t="shared" si="9"/>
        <v/>
      </c>
    </row>
    <row r="55" spans="1:15">
      <c r="A55" s="20" t="str">
        <f>Teams!A55</f>
        <v>G</v>
      </c>
      <c r="B55" s="20">
        <f>Teams!B55</f>
        <v>4</v>
      </c>
      <c r="C55" s="20">
        <f>Teams!D55</f>
        <v>0</v>
      </c>
      <c r="D55" s="20">
        <f>Teams!F55</f>
        <v>0</v>
      </c>
      <c r="E55" s="20" t="str">
        <f>IF($D55=0,"",SUMIFS(Scores!$I$4:$I$227,Scores!$B$4:$B$227,$A55,Scores!$J$4:$J$227,$B55)+SUMIFS(Scores!$I$4:$I$227,Scores!$B$4:$B$227,$A55,Scores!$K$4:$K$227,$B55))</f>
        <v/>
      </c>
      <c r="F55" s="20" t="str">
        <f>IF($D55=0,"",SUMIFS(Scores!$L$4:$L$227,Scores!$B$4:$B$227,$A55,Scores!$J$4:$J$227,$B55)+SUMIFS(Scores!$M$4:$M$227,Scores!$B$4:$B$227,$A55,Scores!$K$4:$K$227,$B55))</f>
        <v/>
      </c>
      <c r="G55" s="20" t="str">
        <f>IF($D55=0,"",SUMIFS(Scores!$N$4:$N$227,Scores!$B$4:$B$227,$A55,Scores!$J$4:$J$227,$B55)+SUMIFS(Scores!$N$4:$N$227,Scores!$B$4:$B$227,$A55,Scores!$K$4:$K$227,$B55))</f>
        <v/>
      </c>
      <c r="H55" s="20" t="str">
        <f t="shared" si="5"/>
        <v/>
      </c>
      <c r="I55" s="20" t="str">
        <f>IF($D55=0,"",SUMIFS(Scores!$O$4:$O$227,Scores!$B$4:$B$227,$A55,Scores!$J$4:$J$227,$B55)+SUMIFS(Scores!$Q$4:$Q$227,Scores!$B$4:$B$227,$A55,Scores!$K$4:$K$227,$B55))</f>
        <v/>
      </c>
      <c r="J55" s="20" t="str">
        <f>IF($D55=0,"",SUMIFS(Scores!$P$4:$P$227,Scores!$B$4:$B$227,$A55,Scores!$J$4:$J$227,$B55)+SUMIFS(Scores!$R$4:$R$227,Scores!$B$4:$B$227,$A55,Scores!$K$4:$K$227,$B55))</f>
        <v/>
      </c>
      <c r="K55" s="20" t="str">
        <f t="shared" si="6"/>
        <v/>
      </c>
      <c r="L55" s="20" t="str">
        <f>IF($D55=0,"",$F55*Setup!$B$11+$G55*Setup!$B$12+$H55*Setup!$B$13)</f>
        <v/>
      </c>
      <c r="M55" s="20" t="str">
        <f t="shared" si="7"/>
        <v/>
      </c>
      <c r="N55" s="20" t="str">
        <f t="shared" si="8"/>
        <v/>
      </c>
      <c r="O55" s="20" t="str">
        <f t="shared" si="9"/>
        <v/>
      </c>
    </row>
    <row r="56" spans="1:15">
      <c r="A56" s="20" t="str">
        <f>Teams!A56</f>
        <v>G</v>
      </c>
      <c r="B56" s="20">
        <f>Teams!B56</f>
        <v>5</v>
      </c>
      <c r="C56" s="20">
        <f>Teams!D56</f>
        <v>0</v>
      </c>
      <c r="D56" s="20">
        <f>Teams!F56</f>
        <v>0</v>
      </c>
      <c r="E56" s="20" t="str">
        <f>IF($D56=0,"",SUMIFS(Scores!$I$4:$I$227,Scores!$B$4:$B$227,$A56,Scores!$J$4:$J$227,$B56)+SUMIFS(Scores!$I$4:$I$227,Scores!$B$4:$B$227,$A56,Scores!$K$4:$K$227,$B56))</f>
        <v/>
      </c>
      <c r="F56" s="20" t="str">
        <f>IF($D56=0,"",SUMIFS(Scores!$L$4:$L$227,Scores!$B$4:$B$227,$A56,Scores!$J$4:$J$227,$B56)+SUMIFS(Scores!$M$4:$M$227,Scores!$B$4:$B$227,$A56,Scores!$K$4:$K$227,$B56))</f>
        <v/>
      </c>
      <c r="G56" s="20" t="str">
        <f>IF($D56=0,"",SUMIFS(Scores!$N$4:$N$227,Scores!$B$4:$B$227,$A56,Scores!$J$4:$J$227,$B56)+SUMIFS(Scores!$N$4:$N$227,Scores!$B$4:$B$227,$A56,Scores!$K$4:$K$227,$B56))</f>
        <v/>
      </c>
      <c r="H56" s="20" t="str">
        <f t="shared" si="5"/>
        <v/>
      </c>
      <c r="I56" s="20" t="str">
        <f>IF($D56=0,"",SUMIFS(Scores!$O$4:$O$227,Scores!$B$4:$B$227,$A56,Scores!$J$4:$J$227,$B56)+SUMIFS(Scores!$Q$4:$Q$227,Scores!$B$4:$B$227,$A56,Scores!$K$4:$K$227,$B56))</f>
        <v/>
      </c>
      <c r="J56" s="20" t="str">
        <f>IF($D56=0,"",SUMIFS(Scores!$P$4:$P$227,Scores!$B$4:$B$227,$A56,Scores!$J$4:$J$227,$B56)+SUMIFS(Scores!$R$4:$R$227,Scores!$B$4:$B$227,$A56,Scores!$K$4:$K$227,$B56))</f>
        <v/>
      </c>
      <c r="K56" s="20" t="str">
        <f t="shared" si="6"/>
        <v/>
      </c>
      <c r="L56" s="20" t="str">
        <f>IF($D56=0,"",$F56*Setup!$B$11+$G56*Setup!$B$12+$H56*Setup!$B$13)</f>
        <v/>
      </c>
      <c r="M56" s="20" t="str">
        <f t="shared" si="7"/>
        <v/>
      </c>
      <c r="N56" s="20" t="str">
        <f t="shared" si="8"/>
        <v/>
      </c>
      <c r="O56" s="20" t="str">
        <f t="shared" si="9"/>
        <v/>
      </c>
    </row>
    <row r="57" spans="1:15">
      <c r="A57" s="20" t="str">
        <f>Teams!A57</f>
        <v>G</v>
      </c>
      <c r="B57" s="20">
        <f>Teams!B57</f>
        <v>6</v>
      </c>
      <c r="C57" s="20">
        <f>Teams!D57</f>
        <v>0</v>
      </c>
      <c r="D57" s="20">
        <f>Teams!F57</f>
        <v>0</v>
      </c>
      <c r="E57" s="20" t="str">
        <f>IF($D57=0,"",SUMIFS(Scores!$I$4:$I$227,Scores!$B$4:$B$227,$A57,Scores!$J$4:$J$227,$B57)+SUMIFS(Scores!$I$4:$I$227,Scores!$B$4:$B$227,$A57,Scores!$K$4:$K$227,$B57))</f>
        <v/>
      </c>
      <c r="F57" s="20" t="str">
        <f>IF($D57=0,"",SUMIFS(Scores!$L$4:$L$227,Scores!$B$4:$B$227,$A57,Scores!$J$4:$J$227,$B57)+SUMIFS(Scores!$M$4:$M$227,Scores!$B$4:$B$227,$A57,Scores!$K$4:$K$227,$B57))</f>
        <v/>
      </c>
      <c r="G57" s="20" t="str">
        <f>IF($D57=0,"",SUMIFS(Scores!$N$4:$N$227,Scores!$B$4:$B$227,$A57,Scores!$J$4:$J$227,$B57)+SUMIFS(Scores!$N$4:$N$227,Scores!$B$4:$B$227,$A57,Scores!$K$4:$K$227,$B57))</f>
        <v/>
      </c>
      <c r="H57" s="20" t="str">
        <f t="shared" si="5"/>
        <v/>
      </c>
      <c r="I57" s="20" t="str">
        <f>IF($D57=0,"",SUMIFS(Scores!$O$4:$O$227,Scores!$B$4:$B$227,$A57,Scores!$J$4:$J$227,$B57)+SUMIFS(Scores!$Q$4:$Q$227,Scores!$B$4:$B$227,$A57,Scores!$K$4:$K$227,$B57))</f>
        <v/>
      </c>
      <c r="J57" s="20" t="str">
        <f>IF($D57=0,"",SUMIFS(Scores!$P$4:$P$227,Scores!$B$4:$B$227,$A57,Scores!$J$4:$J$227,$B57)+SUMIFS(Scores!$R$4:$R$227,Scores!$B$4:$B$227,$A57,Scores!$K$4:$K$227,$B57))</f>
        <v/>
      </c>
      <c r="K57" s="20" t="str">
        <f t="shared" si="6"/>
        <v/>
      </c>
      <c r="L57" s="20" t="str">
        <f>IF($D57=0,"",$F57*Setup!$B$11+$G57*Setup!$B$12+$H57*Setup!$B$13)</f>
        <v/>
      </c>
      <c r="M57" s="20" t="str">
        <f t="shared" si="7"/>
        <v/>
      </c>
      <c r="N57" s="20" t="str">
        <f t="shared" si="8"/>
        <v/>
      </c>
      <c r="O57" s="20" t="str">
        <f t="shared" si="9"/>
        <v/>
      </c>
    </row>
    <row r="58" spans="1:15">
      <c r="A58" s="20" t="str">
        <f>Teams!A58</f>
        <v>G</v>
      </c>
      <c r="B58" s="20">
        <f>Teams!B58</f>
        <v>7</v>
      </c>
      <c r="C58" s="20">
        <f>Teams!D58</f>
        <v>0</v>
      </c>
      <c r="D58" s="20">
        <f>Teams!F58</f>
        <v>0</v>
      </c>
      <c r="E58" s="20" t="str">
        <f>IF($D58=0,"",SUMIFS(Scores!$I$4:$I$227,Scores!$B$4:$B$227,$A58,Scores!$J$4:$J$227,$B58)+SUMIFS(Scores!$I$4:$I$227,Scores!$B$4:$B$227,$A58,Scores!$K$4:$K$227,$B58))</f>
        <v/>
      </c>
      <c r="F58" s="20" t="str">
        <f>IF($D58=0,"",SUMIFS(Scores!$L$4:$L$227,Scores!$B$4:$B$227,$A58,Scores!$J$4:$J$227,$B58)+SUMIFS(Scores!$M$4:$M$227,Scores!$B$4:$B$227,$A58,Scores!$K$4:$K$227,$B58))</f>
        <v/>
      </c>
      <c r="G58" s="20" t="str">
        <f>IF($D58=0,"",SUMIFS(Scores!$N$4:$N$227,Scores!$B$4:$B$227,$A58,Scores!$J$4:$J$227,$B58)+SUMIFS(Scores!$N$4:$N$227,Scores!$B$4:$B$227,$A58,Scores!$K$4:$K$227,$B58))</f>
        <v/>
      </c>
      <c r="H58" s="20" t="str">
        <f t="shared" si="5"/>
        <v/>
      </c>
      <c r="I58" s="20" t="str">
        <f>IF($D58=0,"",SUMIFS(Scores!$O$4:$O$227,Scores!$B$4:$B$227,$A58,Scores!$J$4:$J$227,$B58)+SUMIFS(Scores!$Q$4:$Q$227,Scores!$B$4:$B$227,$A58,Scores!$K$4:$K$227,$B58))</f>
        <v/>
      </c>
      <c r="J58" s="20" t="str">
        <f>IF($D58=0,"",SUMIFS(Scores!$P$4:$P$227,Scores!$B$4:$B$227,$A58,Scores!$J$4:$J$227,$B58)+SUMIFS(Scores!$R$4:$R$227,Scores!$B$4:$B$227,$A58,Scores!$K$4:$K$227,$B58))</f>
        <v/>
      </c>
      <c r="K58" s="20" t="str">
        <f t="shared" si="6"/>
        <v/>
      </c>
      <c r="L58" s="20" t="str">
        <f>IF($D58=0,"",$F58*Setup!$B$11+$G58*Setup!$B$12+$H58*Setup!$B$13)</f>
        <v/>
      </c>
      <c r="M58" s="20" t="str">
        <f t="shared" si="7"/>
        <v/>
      </c>
      <c r="N58" s="20" t="str">
        <f t="shared" si="8"/>
        <v/>
      </c>
      <c r="O58" s="20" t="str">
        <f t="shared" si="9"/>
        <v/>
      </c>
    </row>
    <row r="59" spans="1:15">
      <c r="A59" s="20" t="str">
        <f>Teams!A59</f>
        <v>G</v>
      </c>
      <c r="B59" s="20">
        <f>Teams!B59</f>
        <v>8</v>
      </c>
      <c r="C59" s="20">
        <f>Teams!D59</f>
        <v>0</v>
      </c>
      <c r="D59" s="20">
        <f>Teams!F59</f>
        <v>0</v>
      </c>
      <c r="E59" s="20" t="str">
        <f>IF($D59=0,"",SUMIFS(Scores!$I$4:$I$227,Scores!$B$4:$B$227,$A59,Scores!$J$4:$J$227,$B59)+SUMIFS(Scores!$I$4:$I$227,Scores!$B$4:$B$227,$A59,Scores!$K$4:$K$227,$B59))</f>
        <v/>
      </c>
      <c r="F59" s="20" t="str">
        <f>IF($D59=0,"",SUMIFS(Scores!$L$4:$L$227,Scores!$B$4:$B$227,$A59,Scores!$J$4:$J$227,$B59)+SUMIFS(Scores!$M$4:$M$227,Scores!$B$4:$B$227,$A59,Scores!$K$4:$K$227,$B59))</f>
        <v/>
      </c>
      <c r="G59" s="20" t="str">
        <f>IF($D59=0,"",SUMIFS(Scores!$N$4:$N$227,Scores!$B$4:$B$227,$A59,Scores!$J$4:$J$227,$B59)+SUMIFS(Scores!$N$4:$N$227,Scores!$B$4:$B$227,$A59,Scores!$K$4:$K$227,$B59))</f>
        <v/>
      </c>
      <c r="H59" s="20" t="str">
        <f t="shared" si="5"/>
        <v/>
      </c>
      <c r="I59" s="20" t="str">
        <f>IF($D59=0,"",SUMIFS(Scores!$O$4:$O$227,Scores!$B$4:$B$227,$A59,Scores!$J$4:$J$227,$B59)+SUMIFS(Scores!$Q$4:$Q$227,Scores!$B$4:$B$227,$A59,Scores!$K$4:$K$227,$B59))</f>
        <v/>
      </c>
      <c r="J59" s="20" t="str">
        <f>IF($D59=0,"",SUMIFS(Scores!$P$4:$P$227,Scores!$B$4:$B$227,$A59,Scores!$J$4:$J$227,$B59)+SUMIFS(Scores!$R$4:$R$227,Scores!$B$4:$B$227,$A59,Scores!$K$4:$K$227,$B59))</f>
        <v/>
      </c>
      <c r="K59" s="20" t="str">
        <f t="shared" si="6"/>
        <v/>
      </c>
      <c r="L59" s="20" t="str">
        <f>IF($D59=0,"",$F59*Setup!$B$11+$G59*Setup!$B$12+$H59*Setup!$B$13)</f>
        <v/>
      </c>
      <c r="M59" s="20" t="str">
        <f t="shared" si="7"/>
        <v/>
      </c>
      <c r="N59" s="20" t="str">
        <f t="shared" si="8"/>
        <v/>
      </c>
      <c r="O59" s="20" t="str">
        <f t="shared" si="9"/>
        <v/>
      </c>
    </row>
    <row r="60" spans="1:15">
      <c r="A60" s="20" t="str">
        <f>Teams!A60</f>
        <v>H</v>
      </c>
      <c r="B60" s="20">
        <f>Teams!B60</f>
        <v>1</v>
      </c>
      <c r="C60" s="20">
        <f>Teams!D60</f>
        <v>0</v>
      </c>
      <c r="D60" s="20">
        <f>Teams!F60</f>
        <v>0</v>
      </c>
      <c r="E60" s="20" t="str">
        <f>IF($D60=0,"",SUMIFS(Scores!$I$4:$I$227,Scores!$B$4:$B$227,$A60,Scores!$J$4:$J$227,$B60)+SUMIFS(Scores!$I$4:$I$227,Scores!$B$4:$B$227,$A60,Scores!$K$4:$K$227,$B60))</f>
        <v/>
      </c>
      <c r="F60" s="20" t="str">
        <f>IF($D60=0,"",SUMIFS(Scores!$L$4:$L$227,Scores!$B$4:$B$227,$A60,Scores!$J$4:$J$227,$B60)+SUMIFS(Scores!$M$4:$M$227,Scores!$B$4:$B$227,$A60,Scores!$K$4:$K$227,$B60))</f>
        <v/>
      </c>
      <c r="G60" s="20" t="str">
        <f>IF($D60=0,"",SUMIFS(Scores!$N$4:$N$227,Scores!$B$4:$B$227,$A60,Scores!$J$4:$J$227,$B60)+SUMIFS(Scores!$N$4:$N$227,Scores!$B$4:$B$227,$A60,Scores!$K$4:$K$227,$B60))</f>
        <v/>
      </c>
      <c r="H60" s="20" t="str">
        <f t="shared" si="5"/>
        <v/>
      </c>
      <c r="I60" s="20" t="str">
        <f>IF($D60=0,"",SUMIFS(Scores!$O$4:$O$227,Scores!$B$4:$B$227,$A60,Scores!$J$4:$J$227,$B60)+SUMIFS(Scores!$Q$4:$Q$227,Scores!$B$4:$B$227,$A60,Scores!$K$4:$K$227,$B60))</f>
        <v/>
      </c>
      <c r="J60" s="20" t="str">
        <f>IF($D60=0,"",SUMIFS(Scores!$P$4:$P$227,Scores!$B$4:$B$227,$A60,Scores!$J$4:$J$227,$B60)+SUMIFS(Scores!$R$4:$R$227,Scores!$B$4:$B$227,$A60,Scores!$K$4:$K$227,$B60))</f>
        <v/>
      </c>
      <c r="K60" s="20" t="str">
        <f t="shared" si="6"/>
        <v/>
      </c>
      <c r="L60" s="20" t="str">
        <f>IF($D60=0,"",$F60*Setup!$B$11+$G60*Setup!$B$12+$H60*Setup!$B$13)</f>
        <v/>
      </c>
      <c r="M60" s="20" t="str">
        <f t="shared" si="7"/>
        <v/>
      </c>
      <c r="N60" s="20" t="str">
        <f t="shared" si="8"/>
        <v/>
      </c>
      <c r="O60" s="20" t="str">
        <f t="shared" si="9"/>
        <v/>
      </c>
    </row>
    <row r="61" spans="1:15">
      <c r="A61" s="20" t="str">
        <f>Teams!A61</f>
        <v>H</v>
      </c>
      <c r="B61" s="20">
        <f>Teams!B61</f>
        <v>2</v>
      </c>
      <c r="C61" s="20">
        <f>Teams!D61</f>
        <v>0</v>
      </c>
      <c r="D61" s="20">
        <f>Teams!F61</f>
        <v>0</v>
      </c>
      <c r="E61" s="20" t="str">
        <f>IF($D61=0,"",SUMIFS(Scores!$I$4:$I$227,Scores!$B$4:$B$227,$A61,Scores!$J$4:$J$227,$B61)+SUMIFS(Scores!$I$4:$I$227,Scores!$B$4:$B$227,$A61,Scores!$K$4:$K$227,$B61))</f>
        <v/>
      </c>
      <c r="F61" s="20" t="str">
        <f>IF($D61=0,"",SUMIFS(Scores!$L$4:$L$227,Scores!$B$4:$B$227,$A61,Scores!$J$4:$J$227,$B61)+SUMIFS(Scores!$M$4:$M$227,Scores!$B$4:$B$227,$A61,Scores!$K$4:$K$227,$B61))</f>
        <v/>
      </c>
      <c r="G61" s="20" t="str">
        <f>IF($D61=0,"",SUMIFS(Scores!$N$4:$N$227,Scores!$B$4:$B$227,$A61,Scores!$J$4:$J$227,$B61)+SUMIFS(Scores!$N$4:$N$227,Scores!$B$4:$B$227,$A61,Scores!$K$4:$K$227,$B61))</f>
        <v/>
      </c>
      <c r="H61" s="20" t="str">
        <f t="shared" si="5"/>
        <v/>
      </c>
      <c r="I61" s="20" t="str">
        <f>IF($D61=0,"",SUMIFS(Scores!$O$4:$O$227,Scores!$B$4:$B$227,$A61,Scores!$J$4:$J$227,$B61)+SUMIFS(Scores!$Q$4:$Q$227,Scores!$B$4:$B$227,$A61,Scores!$K$4:$K$227,$B61))</f>
        <v/>
      </c>
      <c r="J61" s="20" t="str">
        <f>IF($D61=0,"",SUMIFS(Scores!$P$4:$P$227,Scores!$B$4:$B$227,$A61,Scores!$J$4:$J$227,$B61)+SUMIFS(Scores!$R$4:$R$227,Scores!$B$4:$B$227,$A61,Scores!$K$4:$K$227,$B61))</f>
        <v/>
      </c>
      <c r="K61" s="20" t="str">
        <f t="shared" si="6"/>
        <v/>
      </c>
      <c r="L61" s="20" t="str">
        <f>IF($D61=0,"",$F61*Setup!$B$11+$G61*Setup!$B$12+$H61*Setup!$B$13)</f>
        <v/>
      </c>
      <c r="M61" s="20" t="str">
        <f t="shared" si="7"/>
        <v/>
      </c>
      <c r="N61" s="20" t="str">
        <f t="shared" si="8"/>
        <v/>
      </c>
      <c r="O61" s="20" t="str">
        <f t="shared" si="9"/>
        <v/>
      </c>
    </row>
    <row r="62" spans="1:15">
      <c r="A62" s="20" t="str">
        <f>Teams!A62</f>
        <v>H</v>
      </c>
      <c r="B62" s="20">
        <f>Teams!B62</f>
        <v>3</v>
      </c>
      <c r="C62" s="20">
        <f>Teams!D62</f>
        <v>0</v>
      </c>
      <c r="D62" s="20">
        <f>Teams!F62</f>
        <v>0</v>
      </c>
      <c r="E62" s="20" t="str">
        <f>IF($D62=0,"",SUMIFS(Scores!$I$4:$I$227,Scores!$B$4:$B$227,$A62,Scores!$J$4:$J$227,$B62)+SUMIFS(Scores!$I$4:$I$227,Scores!$B$4:$B$227,$A62,Scores!$K$4:$K$227,$B62))</f>
        <v/>
      </c>
      <c r="F62" s="20" t="str">
        <f>IF($D62=0,"",SUMIFS(Scores!$L$4:$L$227,Scores!$B$4:$B$227,$A62,Scores!$J$4:$J$227,$B62)+SUMIFS(Scores!$M$4:$M$227,Scores!$B$4:$B$227,$A62,Scores!$K$4:$K$227,$B62))</f>
        <v/>
      </c>
      <c r="G62" s="20" t="str">
        <f>IF($D62=0,"",SUMIFS(Scores!$N$4:$N$227,Scores!$B$4:$B$227,$A62,Scores!$J$4:$J$227,$B62)+SUMIFS(Scores!$N$4:$N$227,Scores!$B$4:$B$227,$A62,Scores!$K$4:$K$227,$B62))</f>
        <v/>
      </c>
      <c r="H62" s="20" t="str">
        <f t="shared" si="5"/>
        <v/>
      </c>
      <c r="I62" s="20" t="str">
        <f>IF($D62=0,"",SUMIFS(Scores!$O$4:$O$227,Scores!$B$4:$B$227,$A62,Scores!$J$4:$J$227,$B62)+SUMIFS(Scores!$Q$4:$Q$227,Scores!$B$4:$B$227,$A62,Scores!$K$4:$K$227,$B62))</f>
        <v/>
      </c>
      <c r="J62" s="20" t="str">
        <f>IF($D62=0,"",SUMIFS(Scores!$P$4:$P$227,Scores!$B$4:$B$227,$A62,Scores!$J$4:$J$227,$B62)+SUMIFS(Scores!$R$4:$R$227,Scores!$B$4:$B$227,$A62,Scores!$K$4:$K$227,$B62))</f>
        <v/>
      </c>
      <c r="K62" s="20" t="str">
        <f t="shared" si="6"/>
        <v/>
      </c>
      <c r="L62" s="20" t="str">
        <f>IF($D62=0,"",$F62*Setup!$B$11+$G62*Setup!$B$12+$H62*Setup!$B$13)</f>
        <v/>
      </c>
      <c r="M62" s="20" t="str">
        <f t="shared" si="7"/>
        <v/>
      </c>
      <c r="N62" s="20" t="str">
        <f t="shared" si="8"/>
        <v/>
      </c>
      <c r="O62" s="20" t="str">
        <f t="shared" si="9"/>
        <v/>
      </c>
    </row>
    <row r="63" spans="1:15">
      <c r="A63" s="20" t="str">
        <f>Teams!A63</f>
        <v>H</v>
      </c>
      <c r="B63" s="20">
        <f>Teams!B63</f>
        <v>4</v>
      </c>
      <c r="C63" s="20">
        <f>Teams!D63</f>
        <v>0</v>
      </c>
      <c r="D63" s="20">
        <f>Teams!F63</f>
        <v>0</v>
      </c>
      <c r="E63" s="20" t="str">
        <f>IF($D63=0,"",SUMIFS(Scores!$I$4:$I$227,Scores!$B$4:$B$227,$A63,Scores!$J$4:$J$227,$B63)+SUMIFS(Scores!$I$4:$I$227,Scores!$B$4:$B$227,$A63,Scores!$K$4:$K$227,$B63))</f>
        <v/>
      </c>
      <c r="F63" s="20" t="str">
        <f>IF($D63=0,"",SUMIFS(Scores!$L$4:$L$227,Scores!$B$4:$B$227,$A63,Scores!$J$4:$J$227,$B63)+SUMIFS(Scores!$M$4:$M$227,Scores!$B$4:$B$227,$A63,Scores!$K$4:$K$227,$B63))</f>
        <v/>
      </c>
      <c r="G63" s="20" t="str">
        <f>IF($D63=0,"",SUMIFS(Scores!$N$4:$N$227,Scores!$B$4:$B$227,$A63,Scores!$J$4:$J$227,$B63)+SUMIFS(Scores!$N$4:$N$227,Scores!$B$4:$B$227,$A63,Scores!$K$4:$K$227,$B63))</f>
        <v/>
      </c>
      <c r="H63" s="20" t="str">
        <f t="shared" si="5"/>
        <v/>
      </c>
      <c r="I63" s="20" t="str">
        <f>IF($D63=0,"",SUMIFS(Scores!$O$4:$O$227,Scores!$B$4:$B$227,$A63,Scores!$J$4:$J$227,$B63)+SUMIFS(Scores!$Q$4:$Q$227,Scores!$B$4:$B$227,$A63,Scores!$K$4:$K$227,$B63))</f>
        <v/>
      </c>
      <c r="J63" s="20" t="str">
        <f>IF($D63=0,"",SUMIFS(Scores!$P$4:$P$227,Scores!$B$4:$B$227,$A63,Scores!$J$4:$J$227,$B63)+SUMIFS(Scores!$R$4:$R$227,Scores!$B$4:$B$227,$A63,Scores!$K$4:$K$227,$B63))</f>
        <v/>
      </c>
      <c r="K63" s="20" t="str">
        <f t="shared" si="6"/>
        <v/>
      </c>
      <c r="L63" s="20" t="str">
        <f>IF($D63=0,"",$F63*Setup!$B$11+$G63*Setup!$B$12+$H63*Setup!$B$13)</f>
        <v/>
      </c>
      <c r="M63" s="20" t="str">
        <f t="shared" si="7"/>
        <v/>
      </c>
      <c r="N63" s="20" t="str">
        <f t="shared" si="8"/>
        <v/>
      </c>
      <c r="O63" s="20" t="str">
        <f t="shared" si="9"/>
        <v/>
      </c>
    </row>
    <row r="64" spans="1:15">
      <c r="A64" s="20" t="str">
        <f>Teams!A64</f>
        <v>H</v>
      </c>
      <c r="B64" s="20">
        <f>Teams!B64</f>
        <v>5</v>
      </c>
      <c r="C64" s="20">
        <f>Teams!D64</f>
        <v>0</v>
      </c>
      <c r="D64" s="20">
        <f>Teams!F64</f>
        <v>0</v>
      </c>
      <c r="E64" s="20" t="str">
        <f>IF($D64=0,"",SUMIFS(Scores!$I$4:$I$227,Scores!$B$4:$B$227,$A64,Scores!$J$4:$J$227,$B64)+SUMIFS(Scores!$I$4:$I$227,Scores!$B$4:$B$227,$A64,Scores!$K$4:$K$227,$B64))</f>
        <v/>
      </c>
      <c r="F64" s="20" t="str">
        <f>IF($D64=0,"",SUMIFS(Scores!$L$4:$L$227,Scores!$B$4:$B$227,$A64,Scores!$J$4:$J$227,$B64)+SUMIFS(Scores!$M$4:$M$227,Scores!$B$4:$B$227,$A64,Scores!$K$4:$K$227,$B64))</f>
        <v/>
      </c>
      <c r="G64" s="20" t="str">
        <f>IF($D64=0,"",SUMIFS(Scores!$N$4:$N$227,Scores!$B$4:$B$227,$A64,Scores!$J$4:$J$227,$B64)+SUMIFS(Scores!$N$4:$N$227,Scores!$B$4:$B$227,$A64,Scores!$K$4:$K$227,$B64))</f>
        <v/>
      </c>
      <c r="H64" s="20" t="str">
        <f t="shared" si="5"/>
        <v/>
      </c>
      <c r="I64" s="20" t="str">
        <f>IF($D64=0,"",SUMIFS(Scores!$O$4:$O$227,Scores!$B$4:$B$227,$A64,Scores!$J$4:$J$227,$B64)+SUMIFS(Scores!$Q$4:$Q$227,Scores!$B$4:$B$227,$A64,Scores!$K$4:$K$227,$B64))</f>
        <v/>
      </c>
      <c r="J64" s="20" t="str">
        <f>IF($D64=0,"",SUMIFS(Scores!$P$4:$P$227,Scores!$B$4:$B$227,$A64,Scores!$J$4:$J$227,$B64)+SUMIFS(Scores!$R$4:$R$227,Scores!$B$4:$B$227,$A64,Scores!$K$4:$K$227,$B64))</f>
        <v/>
      </c>
      <c r="K64" s="20" t="str">
        <f t="shared" si="6"/>
        <v/>
      </c>
      <c r="L64" s="20" t="str">
        <f>IF($D64=0,"",$F64*Setup!$B$11+$G64*Setup!$B$12+$H64*Setup!$B$13)</f>
        <v/>
      </c>
      <c r="M64" s="20" t="str">
        <f t="shared" si="7"/>
        <v/>
      </c>
      <c r="N64" s="20" t="str">
        <f t="shared" si="8"/>
        <v/>
      </c>
      <c r="O64" s="20" t="str">
        <f t="shared" si="9"/>
        <v/>
      </c>
    </row>
    <row r="65" spans="1:15">
      <c r="A65" s="20" t="str">
        <f>Teams!A65</f>
        <v>H</v>
      </c>
      <c r="B65" s="20">
        <f>Teams!B65</f>
        <v>6</v>
      </c>
      <c r="C65" s="20">
        <f>Teams!D65</f>
        <v>0</v>
      </c>
      <c r="D65" s="20">
        <f>Teams!F65</f>
        <v>0</v>
      </c>
      <c r="E65" s="20" t="str">
        <f>IF($D65=0,"",SUMIFS(Scores!$I$4:$I$227,Scores!$B$4:$B$227,$A65,Scores!$J$4:$J$227,$B65)+SUMIFS(Scores!$I$4:$I$227,Scores!$B$4:$B$227,$A65,Scores!$K$4:$K$227,$B65))</f>
        <v/>
      </c>
      <c r="F65" s="20" t="str">
        <f>IF($D65=0,"",SUMIFS(Scores!$L$4:$L$227,Scores!$B$4:$B$227,$A65,Scores!$J$4:$J$227,$B65)+SUMIFS(Scores!$M$4:$M$227,Scores!$B$4:$B$227,$A65,Scores!$K$4:$K$227,$B65))</f>
        <v/>
      </c>
      <c r="G65" s="20" t="str">
        <f>IF($D65=0,"",SUMIFS(Scores!$N$4:$N$227,Scores!$B$4:$B$227,$A65,Scores!$J$4:$J$227,$B65)+SUMIFS(Scores!$N$4:$N$227,Scores!$B$4:$B$227,$A65,Scores!$K$4:$K$227,$B65))</f>
        <v/>
      </c>
      <c r="H65" s="20" t="str">
        <f t="shared" si="5"/>
        <v/>
      </c>
      <c r="I65" s="20" t="str">
        <f>IF($D65=0,"",SUMIFS(Scores!$O$4:$O$227,Scores!$B$4:$B$227,$A65,Scores!$J$4:$J$227,$B65)+SUMIFS(Scores!$Q$4:$Q$227,Scores!$B$4:$B$227,$A65,Scores!$K$4:$K$227,$B65))</f>
        <v/>
      </c>
      <c r="J65" s="20" t="str">
        <f>IF($D65=0,"",SUMIFS(Scores!$P$4:$P$227,Scores!$B$4:$B$227,$A65,Scores!$J$4:$J$227,$B65)+SUMIFS(Scores!$R$4:$R$227,Scores!$B$4:$B$227,$A65,Scores!$K$4:$K$227,$B65))</f>
        <v/>
      </c>
      <c r="K65" s="20" t="str">
        <f t="shared" si="6"/>
        <v/>
      </c>
      <c r="L65" s="20" t="str">
        <f>IF($D65=0,"",$F65*Setup!$B$11+$G65*Setup!$B$12+$H65*Setup!$B$13)</f>
        <v/>
      </c>
      <c r="M65" s="20" t="str">
        <f t="shared" si="7"/>
        <v/>
      </c>
      <c r="N65" s="20" t="str">
        <f t="shared" si="8"/>
        <v/>
      </c>
      <c r="O65" s="20" t="str">
        <f t="shared" si="9"/>
        <v/>
      </c>
    </row>
    <row r="66" spans="1:15">
      <c r="A66" s="20" t="str">
        <f>Teams!A66</f>
        <v>H</v>
      </c>
      <c r="B66" s="20">
        <f>Teams!B66</f>
        <v>7</v>
      </c>
      <c r="C66" s="20">
        <f>Teams!D66</f>
        <v>0</v>
      </c>
      <c r="D66" s="20">
        <f>Teams!F66</f>
        <v>0</v>
      </c>
      <c r="E66" s="20" t="str">
        <f>IF($D66=0,"",SUMIFS(Scores!$I$4:$I$227,Scores!$B$4:$B$227,$A66,Scores!$J$4:$J$227,$B66)+SUMIFS(Scores!$I$4:$I$227,Scores!$B$4:$B$227,$A66,Scores!$K$4:$K$227,$B66))</f>
        <v/>
      </c>
      <c r="F66" s="20" t="str">
        <f>IF($D66=0,"",SUMIFS(Scores!$L$4:$L$227,Scores!$B$4:$B$227,$A66,Scores!$J$4:$J$227,$B66)+SUMIFS(Scores!$M$4:$M$227,Scores!$B$4:$B$227,$A66,Scores!$K$4:$K$227,$B66))</f>
        <v/>
      </c>
      <c r="G66" s="20" t="str">
        <f>IF($D66=0,"",SUMIFS(Scores!$N$4:$N$227,Scores!$B$4:$B$227,$A66,Scores!$J$4:$J$227,$B66)+SUMIFS(Scores!$N$4:$N$227,Scores!$B$4:$B$227,$A66,Scores!$K$4:$K$227,$B66))</f>
        <v/>
      </c>
      <c r="H66" s="20" t="str">
        <f t="shared" si="5"/>
        <v/>
      </c>
      <c r="I66" s="20" t="str">
        <f>IF($D66=0,"",SUMIFS(Scores!$O$4:$O$227,Scores!$B$4:$B$227,$A66,Scores!$J$4:$J$227,$B66)+SUMIFS(Scores!$Q$4:$Q$227,Scores!$B$4:$B$227,$A66,Scores!$K$4:$K$227,$B66))</f>
        <v/>
      </c>
      <c r="J66" s="20" t="str">
        <f>IF($D66=0,"",SUMIFS(Scores!$P$4:$P$227,Scores!$B$4:$B$227,$A66,Scores!$J$4:$J$227,$B66)+SUMIFS(Scores!$R$4:$R$227,Scores!$B$4:$B$227,$A66,Scores!$K$4:$K$227,$B66))</f>
        <v/>
      </c>
      <c r="K66" s="20" t="str">
        <f t="shared" si="6"/>
        <v/>
      </c>
      <c r="L66" s="20" t="str">
        <f>IF($D66=0,"",$F66*Setup!$B$11+$G66*Setup!$B$12+$H66*Setup!$B$13)</f>
        <v/>
      </c>
      <c r="M66" s="20" t="str">
        <f t="shared" si="7"/>
        <v/>
      </c>
      <c r="N66" s="20" t="str">
        <f t="shared" si="8"/>
        <v/>
      </c>
      <c r="O66" s="20" t="str">
        <f t="shared" si="9"/>
        <v/>
      </c>
    </row>
    <row r="67" spans="1:15">
      <c r="A67" s="20" t="str">
        <f>Teams!A67</f>
        <v>H</v>
      </c>
      <c r="B67" s="20">
        <f>Teams!B67</f>
        <v>8</v>
      </c>
      <c r="C67" s="20">
        <f>Teams!D67</f>
        <v>0</v>
      </c>
      <c r="D67" s="20">
        <f>Teams!F67</f>
        <v>0</v>
      </c>
      <c r="E67" s="20" t="str">
        <f>IF($D67=0,"",SUMIFS(Scores!$I$4:$I$227,Scores!$B$4:$B$227,$A67,Scores!$J$4:$J$227,$B67)+SUMIFS(Scores!$I$4:$I$227,Scores!$B$4:$B$227,$A67,Scores!$K$4:$K$227,$B67))</f>
        <v/>
      </c>
      <c r="F67" s="20" t="str">
        <f>IF($D67=0,"",SUMIFS(Scores!$L$4:$L$227,Scores!$B$4:$B$227,$A67,Scores!$J$4:$J$227,$B67)+SUMIFS(Scores!$M$4:$M$227,Scores!$B$4:$B$227,$A67,Scores!$K$4:$K$227,$B67))</f>
        <v/>
      </c>
      <c r="G67" s="20" t="str">
        <f>IF($D67=0,"",SUMIFS(Scores!$N$4:$N$227,Scores!$B$4:$B$227,$A67,Scores!$J$4:$J$227,$B67)+SUMIFS(Scores!$N$4:$N$227,Scores!$B$4:$B$227,$A67,Scores!$K$4:$K$227,$B67))</f>
        <v/>
      </c>
      <c r="H67" s="20" t="str">
        <f t="shared" si="5"/>
        <v/>
      </c>
      <c r="I67" s="20" t="str">
        <f>IF($D67=0,"",SUMIFS(Scores!$O$4:$O$227,Scores!$B$4:$B$227,$A67,Scores!$J$4:$J$227,$B67)+SUMIFS(Scores!$Q$4:$Q$227,Scores!$B$4:$B$227,$A67,Scores!$K$4:$K$227,$B67))</f>
        <v/>
      </c>
      <c r="J67" s="20" t="str">
        <f>IF($D67=0,"",SUMIFS(Scores!$P$4:$P$227,Scores!$B$4:$B$227,$A67,Scores!$J$4:$J$227,$B67)+SUMIFS(Scores!$R$4:$R$227,Scores!$B$4:$B$227,$A67,Scores!$K$4:$K$227,$B67))</f>
        <v/>
      </c>
      <c r="K67" s="20" t="str">
        <f t="shared" si="6"/>
        <v/>
      </c>
      <c r="L67" s="20" t="str">
        <f>IF($D67=0,"",$F67*Setup!$B$11+$G67*Setup!$B$12+$H67*Setup!$B$13)</f>
        <v/>
      </c>
      <c r="M67" s="20" t="str">
        <f t="shared" si="7"/>
        <v/>
      </c>
      <c r="N67" s="20" t="str">
        <f t="shared" si="8"/>
        <v/>
      </c>
      <c r="O67" s="20" t="str">
        <f t="shared" si="9"/>
        <v/>
      </c>
    </row>
  </sheetData>
  <mergeCells count="1">
    <mergeCell ref="A1:O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51"/>
  <sheetViews>
    <sheetView workbookViewId="0"/>
  </sheetViews>
  <sheetFormatPr defaultRowHeight="14.25"/>
  <cols>
    <col min="1" max="1" width="7" customWidth="1"/>
    <col min="2" max="2" width="24" customWidth="1"/>
    <col min="3" max="6" width="7" customWidth="1"/>
    <col min="7" max="8" width="9" customWidth="1"/>
    <col min="9" max="10" width="8" customWidth="1"/>
    <col min="11" max="12" width="2" customWidth="1"/>
    <col min="13" max="13" width="7" customWidth="1"/>
    <col min="14" max="14" width="24" customWidth="1"/>
    <col min="15" max="18" width="7" customWidth="1"/>
    <col min="19" max="20" width="9" customWidth="1"/>
    <col min="21" max="22" width="8" customWidth="1"/>
    <col min="23" max="23" width="9" customWidth="1"/>
  </cols>
  <sheetData>
    <row r="1" spans="1:23" ht="24" customHeight="1">
      <c r="A1" s="24" t="str">
        <f>Setup!$B$4</f>
        <v>Simple Score Tournament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3" ht="18">
      <c r="A2" s="49" t="str">
        <f>"LIVE POOL TABLES — "&amp;COUNTIF(Scores!$I$4:$I$227,1)&amp;" of "&amp;(Setup!$B$6*Setup!$B$16)&amp;" pool matches complete"</f>
        <v>LIVE POOL TABLES — 56 of 56 pool matches complete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8"/>
    </row>
    <row r="3" spans="1:23">
      <c r="A3" s="50"/>
      <c r="B3" s="50"/>
      <c r="C3" s="50"/>
      <c r="D3" s="50"/>
      <c r="E3" s="50"/>
      <c r="F3" s="50"/>
      <c r="G3" s="50"/>
      <c r="H3" s="50"/>
      <c r="I3" s="50"/>
      <c r="J3" s="50"/>
      <c r="K3" s="51"/>
      <c r="L3" s="51"/>
      <c r="M3" s="50"/>
      <c r="N3" s="50"/>
      <c r="O3" s="50"/>
      <c r="P3" s="50"/>
      <c r="Q3" s="50"/>
      <c r="R3" s="50"/>
      <c r="S3" s="50"/>
      <c r="T3" s="50"/>
      <c r="U3" s="50"/>
      <c r="V3" s="50"/>
    </row>
    <row r="4" spans="1:23">
      <c r="A4" s="52" t="str">
        <f>IF(Setup!$B$6&gt;=1,"Pool A","")</f>
        <v>Pool A</v>
      </c>
      <c r="B4" s="52"/>
      <c r="C4" s="52"/>
      <c r="D4" s="52"/>
      <c r="E4" s="52"/>
      <c r="F4" s="52"/>
      <c r="G4" s="52"/>
      <c r="H4" s="52"/>
      <c r="I4" s="52"/>
      <c r="J4" s="52"/>
      <c r="K4" s="51"/>
      <c r="L4" s="51"/>
      <c r="M4" s="52" t="str">
        <f>IF(Setup!$B$6&gt;=5,"Pool E","")</f>
        <v/>
      </c>
      <c r="N4" s="52"/>
      <c r="O4" s="52"/>
      <c r="P4" s="52"/>
      <c r="Q4" s="52"/>
      <c r="R4" s="52"/>
      <c r="S4" s="52"/>
      <c r="T4" s="52"/>
      <c r="U4" s="52"/>
      <c r="V4" s="52"/>
    </row>
    <row r="5" spans="1:23">
      <c r="A5" s="53" t="s">
        <v>248</v>
      </c>
      <c r="B5" s="54" t="s">
        <v>237</v>
      </c>
      <c r="C5" s="53" t="s">
        <v>238</v>
      </c>
      <c r="D5" s="53" t="s">
        <v>239</v>
      </c>
      <c r="E5" s="53" t="s">
        <v>71</v>
      </c>
      <c r="F5" s="53" t="s">
        <v>240</v>
      </c>
      <c r="G5" s="53" t="s">
        <v>241</v>
      </c>
      <c r="H5" s="53" t="s">
        <v>242</v>
      </c>
      <c r="I5" s="53" t="s">
        <v>243</v>
      </c>
      <c r="J5" s="53" t="s">
        <v>244</v>
      </c>
      <c r="K5" s="51"/>
      <c r="L5" s="51"/>
      <c r="M5" s="53" t="s">
        <v>248</v>
      </c>
      <c r="N5" s="54" t="s">
        <v>237</v>
      </c>
      <c r="O5" s="53" t="s">
        <v>238</v>
      </c>
      <c r="P5" s="53" t="s">
        <v>239</v>
      </c>
      <c r="Q5" s="53" t="s">
        <v>71</v>
      </c>
      <c r="R5" s="53" t="s">
        <v>240</v>
      </c>
      <c r="S5" s="53" t="s">
        <v>241</v>
      </c>
      <c r="T5" s="53" t="s">
        <v>242</v>
      </c>
      <c r="U5" s="53" t="s">
        <v>243</v>
      </c>
      <c r="V5" s="53" t="s">
        <v>244</v>
      </c>
    </row>
    <row r="6" spans="1:23">
      <c r="A6" s="47">
        <f>IF(OR(Setup!$B$6&lt;1,1&gt;Setup!$B$7),"",1)</f>
        <v>1</v>
      </c>
      <c r="B6" s="55" t="str">
        <f>IF(A6="","",IFERROR(INDEX(Calculations!$C$4:$C$67,MATCH("A-1",Calculations!$O$4:$O$67,0)),""))</f>
        <v/>
      </c>
      <c r="C6" s="47" t="str">
        <f>IF(A6="","",IFERROR(INDEX(Calculations!$E$4:$E$67,MATCH("A-1",Calculations!$O$4:$O$67,0)),""))</f>
        <v/>
      </c>
      <c r="D6" s="47" t="str">
        <f>IF(A6="","",IFERROR(INDEX(Calculations!$F$4:$F$67,MATCH("A-1",Calculations!$O$4:$O$67,0)),""))</f>
        <v/>
      </c>
      <c r="E6" s="47" t="str">
        <f>IF(A6="","",IFERROR(INDEX(Calculations!$G$4:$G$67,MATCH("A-1",Calculations!$O$4:$O$67,0)),""))</f>
        <v/>
      </c>
      <c r="F6" s="47" t="str">
        <f>IF(A6="","",IFERROR(INDEX(Calculations!$H$4:$H$67,MATCH("A-1",Calculations!$O$4:$O$67,0)),""))</f>
        <v/>
      </c>
      <c r="G6" s="47" t="str">
        <f>IF(A6="","",IFERROR(INDEX(Calculations!$I$4:$I$67,MATCH("A-1",Calculations!$O$4:$O$67,0)),""))</f>
        <v/>
      </c>
      <c r="H6" s="47" t="str">
        <f>IF(A6="","",IFERROR(INDEX(Calculations!$J$4:$J$67,MATCH("A-1",Calculations!$O$4:$O$67,0)),""))</f>
        <v/>
      </c>
      <c r="I6" s="47" t="str">
        <f>IF(A6="","",IFERROR(INDEX(Calculations!$K$4:$K$67,MATCH("A-1",Calculations!$O$4:$O$67,0)),""))</f>
        <v/>
      </c>
      <c r="J6" s="47" t="str">
        <f>IF(A6="","",IFERROR(INDEX(Calculations!$L$4:$L$67,MATCH("A-1",Calculations!$O$4:$O$67,0)),""))</f>
        <v/>
      </c>
      <c r="K6" s="51"/>
      <c r="L6" s="51"/>
      <c r="M6" s="47" t="str">
        <f>IF(OR(Setup!$B$6&lt;5,1&gt;Setup!$B$7),"",1)</f>
        <v/>
      </c>
      <c r="N6" s="55" t="str">
        <f>IF(M6="","",IFERROR(INDEX(Calculations!$C$4:$C$67,MATCH("E-1",Calculations!$O$4:$O$67,0)),""))</f>
        <v/>
      </c>
      <c r="O6" s="47" t="str">
        <f>IF(M6="","",IFERROR(INDEX(Calculations!$E$4:$E$67,MATCH("E-1",Calculations!$O$4:$O$67,0)),""))</f>
        <v/>
      </c>
      <c r="P6" s="47" t="str">
        <f>IF(M6="","",IFERROR(INDEX(Calculations!$F$4:$F$67,MATCH("E-1",Calculations!$O$4:$O$67,0)),""))</f>
        <v/>
      </c>
      <c r="Q6" s="47" t="str">
        <f>IF(M6="","",IFERROR(INDEX(Calculations!$G$4:$G$67,MATCH("E-1",Calculations!$O$4:$O$67,0)),""))</f>
        <v/>
      </c>
      <c r="R6" s="47" t="str">
        <f>IF(M6="","",IFERROR(INDEX(Calculations!$H$4:$H$67,MATCH("E-1",Calculations!$O$4:$O$67,0)),""))</f>
        <v/>
      </c>
      <c r="S6" s="47" t="str">
        <f>IF(M6="","",IFERROR(INDEX(Calculations!$I$4:$I$67,MATCH("E-1",Calculations!$O$4:$O$67,0)),""))</f>
        <v/>
      </c>
      <c r="T6" s="47" t="str">
        <f>IF(M6="","",IFERROR(INDEX(Calculations!$J$4:$J$67,MATCH("E-1",Calculations!$O$4:$O$67,0)),""))</f>
        <v/>
      </c>
      <c r="U6" s="47" t="str">
        <f>IF(M6="","",IFERROR(INDEX(Calculations!$K$4:$K$67,MATCH("E-1",Calculations!$O$4:$O$67,0)),""))</f>
        <v/>
      </c>
      <c r="V6" s="47" t="str">
        <f>IF(M6="","",IFERROR(INDEX(Calculations!$L$4:$L$67,MATCH("E-1",Calculations!$O$4:$O$67,0)),""))</f>
        <v/>
      </c>
    </row>
    <row r="7" spans="1:23">
      <c r="A7" s="47">
        <f>IF(OR(Setup!$B$6&lt;1,2&gt;Setup!$B$7),"",2)</f>
        <v>2</v>
      </c>
      <c r="B7" s="55" t="str">
        <f>IF(A7="","",IFERROR(INDEX(Calculations!$C$4:$C$67,MATCH("A-2",Calculations!$O$4:$O$67,0)),""))</f>
        <v/>
      </c>
      <c r="C7" s="47" t="str">
        <f>IF(A7="","",IFERROR(INDEX(Calculations!$E$4:$E$67,MATCH("A-2",Calculations!$O$4:$O$67,0)),""))</f>
        <v/>
      </c>
      <c r="D7" s="47" t="str">
        <f>IF(A7="","",IFERROR(INDEX(Calculations!$F$4:$F$67,MATCH("A-2",Calculations!$O$4:$O$67,0)),""))</f>
        <v/>
      </c>
      <c r="E7" s="47" t="str">
        <f>IF(A7="","",IFERROR(INDEX(Calculations!$G$4:$G$67,MATCH("A-2",Calculations!$O$4:$O$67,0)),""))</f>
        <v/>
      </c>
      <c r="F7" s="47" t="str">
        <f>IF(A7="","",IFERROR(INDEX(Calculations!$H$4:$H$67,MATCH("A-2",Calculations!$O$4:$O$67,0)),""))</f>
        <v/>
      </c>
      <c r="G7" s="47" t="str">
        <f>IF(A7="","",IFERROR(INDEX(Calculations!$I$4:$I$67,MATCH("A-2",Calculations!$O$4:$O$67,0)),""))</f>
        <v/>
      </c>
      <c r="H7" s="47" t="str">
        <f>IF(A7="","",IFERROR(INDEX(Calculations!$J$4:$J$67,MATCH("A-2",Calculations!$O$4:$O$67,0)),""))</f>
        <v/>
      </c>
      <c r="I7" s="47" t="str">
        <f>IF(A7="","",IFERROR(INDEX(Calculations!$K$4:$K$67,MATCH("A-2",Calculations!$O$4:$O$67,0)),""))</f>
        <v/>
      </c>
      <c r="J7" s="47" t="str">
        <f>IF(A7="","",IFERROR(INDEX(Calculations!$L$4:$L$67,MATCH("A-2",Calculations!$O$4:$O$67,0)),""))</f>
        <v/>
      </c>
      <c r="K7" s="51"/>
      <c r="L7" s="51"/>
      <c r="M7" s="47" t="str">
        <f>IF(OR(Setup!$B$6&lt;5,2&gt;Setup!$B$7),"",2)</f>
        <v/>
      </c>
      <c r="N7" s="55" t="str">
        <f>IF(M7="","",IFERROR(INDEX(Calculations!$C$4:$C$67,MATCH("E-2",Calculations!$O$4:$O$67,0)),""))</f>
        <v/>
      </c>
      <c r="O7" s="47" t="str">
        <f>IF(M7="","",IFERROR(INDEX(Calculations!$E$4:$E$67,MATCH("E-2",Calculations!$O$4:$O$67,0)),""))</f>
        <v/>
      </c>
      <c r="P7" s="47" t="str">
        <f>IF(M7="","",IFERROR(INDEX(Calculations!$F$4:$F$67,MATCH("E-2",Calculations!$O$4:$O$67,0)),""))</f>
        <v/>
      </c>
      <c r="Q7" s="47" t="str">
        <f>IF(M7="","",IFERROR(INDEX(Calculations!$G$4:$G$67,MATCH("E-2",Calculations!$O$4:$O$67,0)),""))</f>
        <v/>
      </c>
      <c r="R7" s="47" t="str">
        <f>IF(M7="","",IFERROR(INDEX(Calculations!$H$4:$H$67,MATCH("E-2",Calculations!$O$4:$O$67,0)),""))</f>
        <v/>
      </c>
      <c r="S7" s="47" t="str">
        <f>IF(M7="","",IFERROR(INDEX(Calculations!$I$4:$I$67,MATCH("E-2",Calculations!$O$4:$O$67,0)),""))</f>
        <v/>
      </c>
      <c r="T7" s="47" t="str">
        <f>IF(M7="","",IFERROR(INDEX(Calculations!$J$4:$J$67,MATCH("E-2",Calculations!$O$4:$O$67,0)),""))</f>
        <v/>
      </c>
      <c r="U7" s="47" t="str">
        <f>IF(M7="","",IFERROR(INDEX(Calculations!$K$4:$K$67,MATCH("E-2",Calculations!$O$4:$O$67,0)),""))</f>
        <v/>
      </c>
      <c r="V7" s="47" t="str">
        <f>IF(M7="","",IFERROR(INDEX(Calculations!$L$4:$L$67,MATCH("E-2",Calculations!$O$4:$O$67,0)),""))</f>
        <v/>
      </c>
    </row>
    <row r="8" spans="1:23">
      <c r="A8" s="47">
        <f>IF(OR(Setup!$B$6&lt;1,3&gt;Setup!$B$7),"",3)</f>
        <v>3</v>
      </c>
      <c r="B8" s="55" t="str">
        <f>IF(A8="","",IFERROR(INDEX(Calculations!$C$4:$C$67,MATCH("A-3",Calculations!$O$4:$O$67,0)),""))</f>
        <v/>
      </c>
      <c r="C8" s="47" t="str">
        <f>IF(A8="","",IFERROR(INDEX(Calculations!$E$4:$E$67,MATCH("A-3",Calculations!$O$4:$O$67,0)),""))</f>
        <v/>
      </c>
      <c r="D8" s="47" t="str">
        <f>IF(A8="","",IFERROR(INDEX(Calculations!$F$4:$F$67,MATCH("A-3",Calculations!$O$4:$O$67,0)),""))</f>
        <v/>
      </c>
      <c r="E8" s="47" t="str">
        <f>IF(A8="","",IFERROR(INDEX(Calculations!$G$4:$G$67,MATCH("A-3",Calculations!$O$4:$O$67,0)),""))</f>
        <v/>
      </c>
      <c r="F8" s="47" t="str">
        <f>IF(A8="","",IFERROR(INDEX(Calculations!$H$4:$H$67,MATCH("A-3",Calculations!$O$4:$O$67,0)),""))</f>
        <v/>
      </c>
      <c r="G8" s="47" t="str">
        <f>IF(A8="","",IFERROR(INDEX(Calculations!$I$4:$I$67,MATCH("A-3",Calculations!$O$4:$O$67,0)),""))</f>
        <v/>
      </c>
      <c r="H8" s="47" t="str">
        <f>IF(A8="","",IFERROR(INDEX(Calculations!$J$4:$J$67,MATCH("A-3",Calculations!$O$4:$O$67,0)),""))</f>
        <v/>
      </c>
      <c r="I8" s="47" t="str">
        <f>IF(A8="","",IFERROR(INDEX(Calculations!$K$4:$K$67,MATCH("A-3",Calculations!$O$4:$O$67,0)),""))</f>
        <v/>
      </c>
      <c r="J8" s="47" t="str">
        <f>IF(A8="","",IFERROR(INDEX(Calculations!$L$4:$L$67,MATCH("A-3",Calculations!$O$4:$O$67,0)),""))</f>
        <v/>
      </c>
      <c r="K8" s="51"/>
      <c r="L8" s="51"/>
      <c r="M8" s="47" t="str">
        <f>IF(OR(Setup!$B$6&lt;5,3&gt;Setup!$B$7),"",3)</f>
        <v/>
      </c>
      <c r="N8" s="55" t="str">
        <f>IF(M8="","",IFERROR(INDEX(Calculations!$C$4:$C$67,MATCH("E-3",Calculations!$O$4:$O$67,0)),""))</f>
        <v/>
      </c>
      <c r="O8" s="47" t="str">
        <f>IF(M8="","",IFERROR(INDEX(Calculations!$E$4:$E$67,MATCH("E-3",Calculations!$O$4:$O$67,0)),""))</f>
        <v/>
      </c>
      <c r="P8" s="47" t="str">
        <f>IF(M8="","",IFERROR(INDEX(Calculations!$F$4:$F$67,MATCH("E-3",Calculations!$O$4:$O$67,0)),""))</f>
        <v/>
      </c>
      <c r="Q8" s="47" t="str">
        <f>IF(M8="","",IFERROR(INDEX(Calculations!$G$4:$G$67,MATCH("E-3",Calculations!$O$4:$O$67,0)),""))</f>
        <v/>
      </c>
      <c r="R8" s="47" t="str">
        <f>IF(M8="","",IFERROR(INDEX(Calculations!$H$4:$H$67,MATCH("E-3",Calculations!$O$4:$O$67,0)),""))</f>
        <v/>
      </c>
      <c r="S8" s="47" t="str">
        <f>IF(M8="","",IFERROR(INDEX(Calculations!$I$4:$I$67,MATCH("E-3",Calculations!$O$4:$O$67,0)),""))</f>
        <v/>
      </c>
      <c r="T8" s="47" t="str">
        <f>IF(M8="","",IFERROR(INDEX(Calculations!$J$4:$J$67,MATCH("E-3",Calculations!$O$4:$O$67,0)),""))</f>
        <v/>
      </c>
      <c r="U8" s="47" t="str">
        <f>IF(M8="","",IFERROR(INDEX(Calculations!$K$4:$K$67,MATCH("E-3",Calculations!$O$4:$O$67,0)),""))</f>
        <v/>
      </c>
      <c r="V8" s="47" t="str">
        <f>IF(M8="","",IFERROR(INDEX(Calculations!$L$4:$L$67,MATCH("E-3",Calculations!$O$4:$O$67,0)),""))</f>
        <v/>
      </c>
    </row>
    <row r="9" spans="1:23">
      <c r="A9" s="47">
        <f>IF(OR(Setup!$B$6&lt;1,4&gt;Setup!$B$7),"",4)</f>
        <v>4</v>
      </c>
      <c r="B9" s="55" t="str">
        <f>IF(A9="","",IFERROR(INDEX(Calculations!$C$4:$C$67,MATCH("A-4",Calculations!$O$4:$O$67,0)),""))</f>
        <v/>
      </c>
      <c r="C9" s="47" t="str">
        <f>IF(A9="","",IFERROR(INDEX(Calculations!$E$4:$E$67,MATCH("A-4",Calculations!$O$4:$O$67,0)),""))</f>
        <v/>
      </c>
      <c r="D9" s="47" t="str">
        <f>IF(A9="","",IFERROR(INDEX(Calculations!$F$4:$F$67,MATCH("A-4",Calculations!$O$4:$O$67,0)),""))</f>
        <v/>
      </c>
      <c r="E9" s="47" t="str">
        <f>IF(A9="","",IFERROR(INDEX(Calculations!$G$4:$G$67,MATCH("A-4",Calculations!$O$4:$O$67,0)),""))</f>
        <v/>
      </c>
      <c r="F9" s="47" t="str">
        <f>IF(A9="","",IFERROR(INDEX(Calculations!$H$4:$H$67,MATCH("A-4",Calculations!$O$4:$O$67,0)),""))</f>
        <v/>
      </c>
      <c r="G9" s="47" t="str">
        <f>IF(A9="","",IFERROR(INDEX(Calculations!$I$4:$I$67,MATCH("A-4",Calculations!$O$4:$O$67,0)),""))</f>
        <v/>
      </c>
      <c r="H9" s="47" t="str">
        <f>IF(A9="","",IFERROR(INDEX(Calculations!$J$4:$J$67,MATCH("A-4",Calculations!$O$4:$O$67,0)),""))</f>
        <v/>
      </c>
      <c r="I9" s="47" t="str">
        <f>IF(A9="","",IFERROR(INDEX(Calculations!$K$4:$K$67,MATCH("A-4",Calculations!$O$4:$O$67,0)),""))</f>
        <v/>
      </c>
      <c r="J9" s="47" t="str">
        <f>IF(A9="","",IFERROR(INDEX(Calculations!$L$4:$L$67,MATCH("A-4",Calculations!$O$4:$O$67,0)),""))</f>
        <v/>
      </c>
      <c r="K9" s="51"/>
      <c r="L9" s="51"/>
      <c r="M9" s="47" t="str">
        <f>IF(OR(Setup!$B$6&lt;5,4&gt;Setup!$B$7),"",4)</f>
        <v/>
      </c>
      <c r="N9" s="55" t="str">
        <f>IF(M9="","",IFERROR(INDEX(Calculations!$C$4:$C$67,MATCH("E-4",Calculations!$O$4:$O$67,0)),""))</f>
        <v/>
      </c>
      <c r="O9" s="47" t="str">
        <f>IF(M9="","",IFERROR(INDEX(Calculations!$E$4:$E$67,MATCH("E-4",Calculations!$O$4:$O$67,0)),""))</f>
        <v/>
      </c>
      <c r="P9" s="47" t="str">
        <f>IF(M9="","",IFERROR(INDEX(Calculations!$F$4:$F$67,MATCH("E-4",Calculations!$O$4:$O$67,0)),""))</f>
        <v/>
      </c>
      <c r="Q9" s="47" t="str">
        <f>IF(M9="","",IFERROR(INDEX(Calculations!$G$4:$G$67,MATCH("E-4",Calculations!$O$4:$O$67,0)),""))</f>
        <v/>
      </c>
      <c r="R9" s="47" t="str">
        <f>IF(M9="","",IFERROR(INDEX(Calculations!$H$4:$H$67,MATCH("E-4",Calculations!$O$4:$O$67,0)),""))</f>
        <v/>
      </c>
      <c r="S9" s="47" t="str">
        <f>IF(M9="","",IFERROR(INDEX(Calculations!$I$4:$I$67,MATCH("E-4",Calculations!$O$4:$O$67,0)),""))</f>
        <v/>
      </c>
      <c r="T9" s="47" t="str">
        <f>IF(M9="","",IFERROR(INDEX(Calculations!$J$4:$J$67,MATCH("E-4",Calculations!$O$4:$O$67,0)),""))</f>
        <v/>
      </c>
      <c r="U9" s="47" t="str">
        <f>IF(M9="","",IFERROR(INDEX(Calculations!$K$4:$K$67,MATCH("E-4",Calculations!$O$4:$O$67,0)),""))</f>
        <v/>
      </c>
      <c r="V9" s="47" t="str">
        <f>IF(M9="","",IFERROR(INDEX(Calculations!$L$4:$L$67,MATCH("E-4",Calculations!$O$4:$O$67,0)),""))</f>
        <v/>
      </c>
    </row>
    <row r="10" spans="1:23">
      <c r="A10" s="47">
        <f>IF(OR(Setup!$B$6&lt;1,5&gt;Setup!$B$7),"",5)</f>
        <v>5</v>
      </c>
      <c r="B10" s="55" t="str">
        <f>IF(A10="","",IFERROR(INDEX(Calculations!$C$4:$C$67,MATCH("A-5",Calculations!$O$4:$O$67,0)),""))</f>
        <v/>
      </c>
      <c r="C10" s="47" t="str">
        <f>IF(A10="","",IFERROR(INDEX(Calculations!$E$4:$E$67,MATCH("A-5",Calculations!$O$4:$O$67,0)),""))</f>
        <v/>
      </c>
      <c r="D10" s="47" t="str">
        <f>IF(A10="","",IFERROR(INDEX(Calculations!$F$4:$F$67,MATCH("A-5",Calculations!$O$4:$O$67,0)),""))</f>
        <v/>
      </c>
      <c r="E10" s="47" t="str">
        <f>IF(A10="","",IFERROR(INDEX(Calculations!$G$4:$G$67,MATCH("A-5",Calculations!$O$4:$O$67,0)),""))</f>
        <v/>
      </c>
      <c r="F10" s="47" t="str">
        <f>IF(A10="","",IFERROR(INDEX(Calculations!$H$4:$H$67,MATCH("A-5",Calculations!$O$4:$O$67,0)),""))</f>
        <v/>
      </c>
      <c r="G10" s="47" t="str">
        <f>IF(A10="","",IFERROR(INDEX(Calculations!$I$4:$I$67,MATCH("A-5",Calculations!$O$4:$O$67,0)),""))</f>
        <v/>
      </c>
      <c r="H10" s="47" t="str">
        <f>IF(A10="","",IFERROR(INDEX(Calculations!$J$4:$J$67,MATCH("A-5",Calculations!$O$4:$O$67,0)),""))</f>
        <v/>
      </c>
      <c r="I10" s="47" t="str">
        <f>IF(A10="","",IFERROR(INDEX(Calculations!$K$4:$K$67,MATCH("A-5",Calculations!$O$4:$O$67,0)),""))</f>
        <v/>
      </c>
      <c r="J10" s="47" t="str">
        <f>IF(A10="","",IFERROR(INDEX(Calculations!$L$4:$L$67,MATCH("A-5",Calculations!$O$4:$O$67,0)),""))</f>
        <v/>
      </c>
      <c r="K10" s="51"/>
      <c r="L10" s="51"/>
      <c r="M10" s="47" t="str">
        <f>IF(OR(Setup!$B$6&lt;5,5&gt;Setup!$B$7),"",5)</f>
        <v/>
      </c>
      <c r="N10" s="55" t="str">
        <f>IF(M10="","",IFERROR(INDEX(Calculations!$C$4:$C$67,MATCH("E-5",Calculations!$O$4:$O$67,0)),""))</f>
        <v/>
      </c>
      <c r="O10" s="47" t="str">
        <f>IF(M10="","",IFERROR(INDEX(Calculations!$E$4:$E$67,MATCH("E-5",Calculations!$O$4:$O$67,0)),""))</f>
        <v/>
      </c>
      <c r="P10" s="47" t="str">
        <f>IF(M10="","",IFERROR(INDEX(Calculations!$F$4:$F$67,MATCH("E-5",Calculations!$O$4:$O$67,0)),""))</f>
        <v/>
      </c>
      <c r="Q10" s="47" t="str">
        <f>IF(M10="","",IFERROR(INDEX(Calculations!$G$4:$G$67,MATCH("E-5",Calculations!$O$4:$O$67,0)),""))</f>
        <v/>
      </c>
      <c r="R10" s="47" t="str">
        <f>IF(M10="","",IFERROR(INDEX(Calculations!$H$4:$H$67,MATCH("E-5",Calculations!$O$4:$O$67,0)),""))</f>
        <v/>
      </c>
      <c r="S10" s="47" t="str">
        <f>IF(M10="","",IFERROR(INDEX(Calculations!$I$4:$I$67,MATCH("E-5",Calculations!$O$4:$O$67,0)),""))</f>
        <v/>
      </c>
      <c r="T10" s="47" t="str">
        <f>IF(M10="","",IFERROR(INDEX(Calculations!$J$4:$J$67,MATCH("E-5",Calculations!$O$4:$O$67,0)),""))</f>
        <v/>
      </c>
      <c r="U10" s="47" t="str">
        <f>IF(M10="","",IFERROR(INDEX(Calculations!$K$4:$K$67,MATCH("E-5",Calculations!$O$4:$O$67,0)),""))</f>
        <v/>
      </c>
      <c r="V10" s="47" t="str">
        <f>IF(M10="","",IFERROR(INDEX(Calculations!$L$4:$L$67,MATCH("E-5",Calculations!$O$4:$O$67,0)),""))</f>
        <v/>
      </c>
    </row>
    <row r="11" spans="1:23">
      <c r="A11" s="47">
        <f>IF(OR(Setup!$B$6&lt;1,6&gt;Setup!$B$7),"",6)</f>
        <v>6</v>
      </c>
      <c r="B11" s="55" t="str">
        <f>IF(A11="","",IFERROR(INDEX(Calculations!$C$4:$C$67,MATCH("A-6",Calculations!$O$4:$O$67,0)),""))</f>
        <v/>
      </c>
      <c r="C11" s="47" t="str">
        <f>IF(A11="","",IFERROR(INDEX(Calculations!$E$4:$E$67,MATCH("A-6",Calculations!$O$4:$O$67,0)),""))</f>
        <v/>
      </c>
      <c r="D11" s="47" t="str">
        <f>IF(A11="","",IFERROR(INDEX(Calculations!$F$4:$F$67,MATCH("A-6",Calculations!$O$4:$O$67,0)),""))</f>
        <v/>
      </c>
      <c r="E11" s="47" t="str">
        <f>IF(A11="","",IFERROR(INDEX(Calculations!$G$4:$G$67,MATCH("A-6",Calculations!$O$4:$O$67,0)),""))</f>
        <v/>
      </c>
      <c r="F11" s="47" t="str">
        <f>IF(A11="","",IFERROR(INDEX(Calculations!$H$4:$H$67,MATCH("A-6",Calculations!$O$4:$O$67,0)),""))</f>
        <v/>
      </c>
      <c r="G11" s="47" t="str">
        <f>IF(A11="","",IFERROR(INDEX(Calculations!$I$4:$I$67,MATCH("A-6",Calculations!$O$4:$O$67,0)),""))</f>
        <v/>
      </c>
      <c r="H11" s="47" t="str">
        <f>IF(A11="","",IFERROR(INDEX(Calculations!$J$4:$J$67,MATCH("A-6",Calculations!$O$4:$O$67,0)),""))</f>
        <v/>
      </c>
      <c r="I11" s="47" t="str">
        <f>IF(A11="","",IFERROR(INDEX(Calculations!$K$4:$K$67,MATCH("A-6",Calculations!$O$4:$O$67,0)),""))</f>
        <v/>
      </c>
      <c r="J11" s="47" t="str">
        <f>IF(A11="","",IFERROR(INDEX(Calculations!$L$4:$L$67,MATCH("A-6",Calculations!$O$4:$O$67,0)),""))</f>
        <v/>
      </c>
      <c r="K11" s="51"/>
      <c r="L11" s="51"/>
      <c r="M11" s="47" t="str">
        <f>IF(OR(Setup!$B$6&lt;5,6&gt;Setup!$B$7),"",6)</f>
        <v/>
      </c>
      <c r="N11" s="55" t="str">
        <f>IF(M11="","",IFERROR(INDEX(Calculations!$C$4:$C$67,MATCH("E-6",Calculations!$O$4:$O$67,0)),""))</f>
        <v/>
      </c>
      <c r="O11" s="47" t="str">
        <f>IF(M11="","",IFERROR(INDEX(Calculations!$E$4:$E$67,MATCH("E-6",Calculations!$O$4:$O$67,0)),""))</f>
        <v/>
      </c>
      <c r="P11" s="47" t="str">
        <f>IF(M11="","",IFERROR(INDEX(Calculations!$F$4:$F$67,MATCH("E-6",Calculations!$O$4:$O$67,0)),""))</f>
        <v/>
      </c>
      <c r="Q11" s="47" t="str">
        <f>IF(M11="","",IFERROR(INDEX(Calculations!$G$4:$G$67,MATCH("E-6",Calculations!$O$4:$O$67,0)),""))</f>
        <v/>
      </c>
      <c r="R11" s="47" t="str">
        <f>IF(M11="","",IFERROR(INDEX(Calculations!$H$4:$H$67,MATCH("E-6",Calculations!$O$4:$O$67,0)),""))</f>
        <v/>
      </c>
      <c r="S11" s="47" t="str">
        <f>IF(M11="","",IFERROR(INDEX(Calculations!$I$4:$I$67,MATCH("E-6",Calculations!$O$4:$O$67,0)),""))</f>
        <v/>
      </c>
      <c r="T11" s="47" t="str">
        <f>IF(M11="","",IFERROR(INDEX(Calculations!$J$4:$J$67,MATCH("E-6",Calculations!$O$4:$O$67,0)),""))</f>
        <v/>
      </c>
      <c r="U11" s="47" t="str">
        <f>IF(M11="","",IFERROR(INDEX(Calculations!$K$4:$K$67,MATCH("E-6",Calculations!$O$4:$O$67,0)),""))</f>
        <v/>
      </c>
      <c r="V11" s="47" t="str">
        <f>IF(M11="","",IFERROR(INDEX(Calculations!$L$4:$L$67,MATCH("E-6",Calculations!$O$4:$O$67,0)),""))</f>
        <v/>
      </c>
    </row>
    <row r="12" spans="1:23">
      <c r="A12" s="47">
        <f>IF(OR(Setup!$B$6&lt;1,7&gt;Setup!$B$7),"",7)</f>
        <v>7</v>
      </c>
      <c r="B12" s="55" t="str">
        <f>IF(A12="","",IFERROR(INDEX(Calculations!$C$4:$C$67,MATCH("A-7",Calculations!$O$4:$O$67,0)),""))</f>
        <v/>
      </c>
      <c r="C12" s="47" t="str">
        <f>IF(A12="","",IFERROR(INDEX(Calculations!$E$4:$E$67,MATCH("A-7",Calculations!$O$4:$O$67,0)),""))</f>
        <v/>
      </c>
      <c r="D12" s="47" t="str">
        <f>IF(A12="","",IFERROR(INDEX(Calculations!$F$4:$F$67,MATCH("A-7",Calculations!$O$4:$O$67,0)),""))</f>
        <v/>
      </c>
      <c r="E12" s="47" t="str">
        <f>IF(A12="","",IFERROR(INDEX(Calculations!$G$4:$G$67,MATCH("A-7",Calculations!$O$4:$O$67,0)),""))</f>
        <v/>
      </c>
      <c r="F12" s="47" t="str">
        <f>IF(A12="","",IFERROR(INDEX(Calculations!$H$4:$H$67,MATCH("A-7",Calculations!$O$4:$O$67,0)),""))</f>
        <v/>
      </c>
      <c r="G12" s="47" t="str">
        <f>IF(A12="","",IFERROR(INDEX(Calculations!$I$4:$I$67,MATCH("A-7",Calculations!$O$4:$O$67,0)),""))</f>
        <v/>
      </c>
      <c r="H12" s="47" t="str">
        <f>IF(A12="","",IFERROR(INDEX(Calculations!$J$4:$J$67,MATCH("A-7",Calculations!$O$4:$O$67,0)),""))</f>
        <v/>
      </c>
      <c r="I12" s="47" t="str">
        <f>IF(A12="","",IFERROR(INDEX(Calculations!$K$4:$K$67,MATCH("A-7",Calculations!$O$4:$O$67,0)),""))</f>
        <v/>
      </c>
      <c r="J12" s="47" t="str">
        <f>IF(A12="","",IFERROR(INDEX(Calculations!$L$4:$L$67,MATCH("A-7",Calculations!$O$4:$O$67,0)),""))</f>
        <v/>
      </c>
      <c r="K12" s="51"/>
      <c r="L12" s="51"/>
      <c r="M12" s="47" t="str">
        <f>IF(OR(Setup!$B$6&lt;5,7&gt;Setup!$B$7),"",7)</f>
        <v/>
      </c>
      <c r="N12" s="55" t="str">
        <f>IF(M12="","",IFERROR(INDEX(Calculations!$C$4:$C$67,MATCH("E-7",Calculations!$O$4:$O$67,0)),""))</f>
        <v/>
      </c>
      <c r="O12" s="47" t="str">
        <f>IF(M12="","",IFERROR(INDEX(Calculations!$E$4:$E$67,MATCH("E-7",Calculations!$O$4:$O$67,0)),""))</f>
        <v/>
      </c>
      <c r="P12" s="47" t="str">
        <f>IF(M12="","",IFERROR(INDEX(Calculations!$F$4:$F$67,MATCH("E-7",Calculations!$O$4:$O$67,0)),""))</f>
        <v/>
      </c>
      <c r="Q12" s="47" t="str">
        <f>IF(M12="","",IFERROR(INDEX(Calculations!$G$4:$G$67,MATCH("E-7",Calculations!$O$4:$O$67,0)),""))</f>
        <v/>
      </c>
      <c r="R12" s="47" t="str">
        <f>IF(M12="","",IFERROR(INDEX(Calculations!$H$4:$H$67,MATCH("E-7",Calculations!$O$4:$O$67,0)),""))</f>
        <v/>
      </c>
      <c r="S12" s="47" t="str">
        <f>IF(M12="","",IFERROR(INDEX(Calculations!$I$4:$I$67,MATCH("E-7",Calculations!$O$4:$O$67,0)),""))</f>
        <v/>
      </c>
      <c r="T12" s="47" t="str">
        <f>IF(M12="","",IFERROR(INDEX(Calculations!$J$4:$J$67,MATCH("E-7",Calculations!$O$4:$O$67,0)),""))</f>
        <v/>
      </c>
      <c r="U12" s="47" t="str">
        <f>IF(M12="","",IFERROR(INDEX(Calculations!$K$4:$K$67,MATCH("E-7",Calculations!$O$4:$O$67,0)),""))</f>
        <v/>
      </c>
      <c r="V12" s="47" t="str">
        <f>IF(M12="","",IFERROR(INDEX(Calculations!$L$4:$L$67,MATCH("E-7",Calculations!$O$4:$O$67,0)),""))</f>
        <v/>
      </c>
    </row>
    <row r="13" spans="1:23">
      <c r="A13" s="51">
        <f>IF(OR(Setup!$B$6&lt;1,8&gt;Setup!$B$7),"",8)</f>
        <v>8</v>
      </c>
      <c r="B13" s="51" t="str">
        <f>IF(A13="","",IFERROR(INDEX(Calculations!$C$4:$C$67,MATCH("A-8",Calculations!$O$4:$O$67,0)),""))</f>
        <v/>
      </c>
      <c r="C13" s="51" t="str">
        <f>IF(A13="","",IFERROR(INDEX(Calculations!$E$4:$E$67,MATCH("A-8",Calculations!$O$4:$O$67,0)),""))</f>
        <v/>
      </c>
      <c r="D13" s="51" t="str">
        <f>IF(A13="","",IFERROR(INDEX(Calculations!$F$4:$F$67,MATCH("A-8",Calculations!$O$4:$O$67,0)),""))</f>
        <v/>
      </c>
      <c r="E13" s="51" t="str">
        <f>IF(A13="","",IFERROR(INDEX(Calculations!$G$4:$G$67,MATCH("A-8",Calculations!$O$4:$O$67,0)),""))</f>
        <v/>
      </c>
      <c r="F13" s="51" t="str">
        <f>IF(A13="","",IFERROR(INDEX(Calculations!$H$4:$H$67,MATCH("A-8",Calculations!$O$4:$O$67,0)),""))</f>
        <v/>
      </c>
      <c r="G13" s="51" t="str">
        <f>IF(A13="","",IFERROR(INDEX(Calculations!$I$4:$I$67,MATCH("A-8",Calculations!$O$4:$O$67,0)),""))</f>
        <v/>
      </c>
      <c r="H13" s="51" t="str">
        <f>IF(A13="","",IFERROR(INDEX(Calculations!$J$4:$J$67,MATCH("A-8",Calculations!$O$4:$O$67,0)),""))</f>
        <v/>
      </c>
      <c r="I13" s="51" t="str">
        <f>IF(A13="","",IFERROR(INDEX(Calculations!$K$4:$K$67,MATCH("A-8",Calculations!$O$4:$O$67,0)),""))</f>
        <v/>
      </c>
      <c r="J13" s="51" t="str">
        <f>IF(A13="","",IFERROR(INDEX(Calculations!$L$4:$L$67,MATCH("A-8",Calculations!$O$4:$O$67,0)),""))</f>
        <v/>
      </c>
      <c r="K13" s="51"/>
      <c r="L13" s="51"/>
      <c r="M13" s="51" t="str">
        <f>IF(OR(Setup!$B$6&lt;5,8&gt;Setup!$B$7),"",8)</f>
        <v/>
      </c>
      <c r="N13" s="51" t="str">
        <f>IF(M13="","",IFERROR(INDEX(Calculations!$C$4:$C$67,MATCH("E-8",Calculations!$O$4:$O$67,0)),""))</f>
        <v/>
      </c>
      <c r="O13" s="51" t="str">
        <f>IF(M13="","",IFERROR(INDEX(Calculations!$E$4:$E$67,MATCH("E-8",Calculations!$O$4:$O$67,0)),""))</f>
        <v/>
      </c>
      <c r="P13" s="51" t="str">
        <f>IF(M13="","",IFERROR(INDEX(Calculations!$F$4:$F$67,MATCH("E-8",Calculations!$O$4:$O$67,0)),""))</f>
        <v/>
      </c>
      <c r="Q13" s="51" t="str">
        <f>IF(M13="","",IFERROR(INDEX(Calculations!$G$4:$G$67,MATCH("E-8",Calculations!$O$4:$O$67,0)),""))</f>
        <v/>
      </c>
      <c r="R13" s="51" t="str">
        <f>IF(M13="","",IFERROR(INDEX(Calculations!$H$4:$H$67,MATCH("E-8",Calculations!$O$4:$O$67,0)),""))</f>
        <v/>
      </c>
      <c r="S13" s="51" t="str">
        <f>IF(M13="","",IFERROR(INDEX(Calculations!$I$4:$I$67,MATCH("E-8",Calculations!$O$4:$O$67,0)),""))</f>
        <v/>
      </c>
      <c r="T13" s="51" t="str">
        <f>IF(M13="","",IFERROR(INDEX(Calculations!$J$4:$J$67,MATCH("E-8",Calculations!$O$4:$O$67,0)),""))</f>
        <v/>
      </c>
      <c r="U13" s="51" t="str">
        <f>IF(M13="","",IFERROR(INDEX(Calculations!$K$4:$K$67,MATCH("E-8",Calculations!$O$4:$O$67,0)),""))</f>
        <v/>
      </c>
      <c r="V13" s="51" t="str">
        <f>IF(M13="","",IFERROR(INDEX(Calculations!$L$4:$L$67,MATCH("E-8",Calculations!$O$4:$O$67,0)),""))</f>
        <v/>
      </c>
    </row>
    <row r="14" spans="1:23">
      <c r="A14" s="51"/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</row>
    <row r="15" spans="1:23">
      <c r="A15" s="56" t="str">
        <f>IF(Setup!$B$6&gt;=2,"Pool B","")</f>
        <v>Pool B</v>
      </c>
      <c r="B15" s="56"/>
      <c r="C15" s="56"/>
      <c r="D15" s="56"/>
      <c r="E15" s="56"/>
      <c r="F15" s="56"/>
      <c r="G15" s="56"/>
      <c r="H15" s="56"/>
      <c r="I15" s="56"/>
      <c r="J15" s="56"/>
      <c r="K15" s="51"/>
      <c r="L15" s="51"/>
      <c r="M15" s="56" t="str">
        <f>IF(Setup!$B$6&gt;=6,"Pool F","")</f>
        <v/>
      </c>
      <c r="N15" s="56"/>
      <c r="O15" s="56"/>
      <c r="P15" s="56"/>
      <c r="Q15" s="56"/>
      <c r="R15" s="56"/>
      <c r="S15" s="56"/>
      <c r="T15" s="56"/>
      <c r="U15" s="56"/>
      <c r="V15" s="56"/>
    </row>
    <row r="16" spans="1:23">
      <c r="A16" s="57" t="s">
        <v>248</v>
      </c>
      <c r="B16" s="57" t="s">
        <v>237</v>
      </c>
      <c r="C16" s="57" t="s">
        <v>238</v>
      </c>
      <c r="D16" s="57" t="s">
        <v>239</v>
      </c>
      <c r="E16" s="57" t="s">
        <v>71</v>
      </c>
      <c r="F16" s="57" t="s">
        <v>240</v>
      </c>
      <c r="G16" s="57" t="s">
        <v>241</v>
      </c>
      <c r="H16" s="57" t="s">
        <v>242</v>
      </c>
      <c r="I16" s="57" t="s">
        <v>243</v>
      </c>
      <c r="J16" s="57" t="s">
        <v>244</v>
      </c>
      <c r="K16" s="51"/>
      <c r="L16" s="51"/>
      <c r="M16" s="57" t="s">
        <v>248</v>
      </c>
      <c r="N16" s="57" t="s">
        <v>237</v>
      </c>
      <c r="O16" s="57" t="s">
        <v>238</v>
      </c>
      <c r="P16" s="57" t="s">
        <v>239</v>
      </c>
      <c r="Q16" s="57" t="s">
        <v>71</v>
      </c>
      <c r="R16" s="57" t="s">
        <v>240</v>
      </c>
      <c r="S16" s="57" t="s">
        <v>241</v>
      </c>
      <c r="T16" s="57" t="s">
        <v>242</v>
      </c>
      <c r="U16" s="57" t="s">
        <v>243</v>
      </c>
      <c r="V16" s="57" t="s">
        <v>244</v>
      </c>
    </row>
    <row r="17" spans="1:22">
      <c r="A17" s="58">
        <f>IF(OR(Setup!$B$6&lt;2,1&gt;Setup!$B$7),"",1)</f>
        <v>1</v>
      </c>
      <c r="B17" s="58" t="str">
        <f>IF(A17="","",IFERROR(INDEX(Calculations!$C$4:$C$67,MATCH("B-1",Calculations!$O$4:$O$67,0)),""))</f>
        <v/>
      </c>
      <c r="C17" s="58" t="str">
        <f>IF(A17="","",IFERROR(INDEX(Calculations!$E$4:$E$67,MATCH("B-1",Calculations!$O$4:$O$67,0)),""))</f>
        <v/>
      </c>
      <c r="D17" s="58" t="str">
        <f>IF(A17="","",IFERROR(INDEX(Calculations!$F$4:$F$67,MATCH("B-1",Calculations!$O$4:$O$67,0)),""))</f>
        <v/>
      </c>
      <c r="E17" s="58" t="str">
        <f>IF(A17="","",IFERROR(INDEX(Calculations!$G$4:$G$67,MATCH("B-1",Calculations!$O$4:$O$67,0)),""))</f>
        <v/>
      </c>
      <c r="F17" s="58" t="str">
        <f>IF(A17="","",IFERROR(INDEX(Calculations!$H$4:$H$67,MATCH("B-1",Calculations!$O$4:$O$67,0)),""))</f>
        <v/>
      </c>
      <c r="G17" s="58" t="str">
        <f>IF(A17="","",IFERROR(INDEX(Calculations!$I$4:$I$67,MATCH("B-1",Calculations!$O$4:$O$67,0)),""))</f>
        <v/>
      </c>
      <c r="H17" s="58" t="str">
        <f>IF(A17="","",IFERROR(INDEX(Calculations!$J$4:$J$67,MATCH("B-1",Calculations!$O$4:$O$67,0)),""))</f>
        <v/>
      </c>
      <c r="I17" s="58" t="str">
        <f>IF(A17="","",IFERROR(INDEX(Calculations!$K$4:$K$67,MATCH("B-1",Calculations!$O$4:$O$67,0)),""))</f>
        <v/>
      </c>
      <c r="J17" s="58" t="str">
        <f>IF(A17="","",IFERROR(INDEX(Calculations!$L$4:$L$67,MATCH("B-1",Calculations!$O$4:$O$67,0)),""))</f>
        <v/>
      </c>
      <c r="K17" s="51"/>
      <c r="L17" s="51"/>
      <c r="M17" s="58" t="str">
        <f>IF(OR(Setup!$B$6&lt;6,1&gt;Setup!$B$7),"",1)</f>
        <v/>
      </c>
      <c r="N17" s="58" t="str">
        <f>IF(M17="","",IFERROR(INDEX(Calculations!$C$4:$C$67,MATCH("F-1",Calculations!$O$4:$O$67,0)),""))</f>
        <v/>
      </c>
      <c r="O17" s="58" t="str">
        <f>IF(M17="","",IFERROR(INDEX(Calculations!$E$4:$E$67,MATCH("F-1",Calculations!$O$4:$O$67,0)),""))</f>
        <v/>
      </c>
      <c r="P17" s="58" t="str">
        <f>IF(M17="","",IFERROR(INDEX(Calculations!$F$4:$F$67,MATCH("F-1",Calculations!$O$4:$O$67,0)),""))</f>
        <v/>
      </c>
      <c r="Q17" s="58" t="str">
        <f>IF(M17="","",IFERROR(INDEX(Calculations!$G$4:$G$67,MATCH("F-1",Calculations!$O$4:$O$67,0)),""))</f>
        <v/>
      </c>
      <c r="R17" s="58" t="str">
        <f>IF(M17="","",IFERROR(INDEX(Calculations!$H$4:$H$67,MATCH("F-1",Calculations!$O$4:$O$67,0)),""))</f>
        <v/>
      </c>
      <c r="S17" s="58" t="str">
        <f>IF(M17="","",IFERROR(INDEX(Calculations!$I$4:$I$67,MATCH("F-1",Calculations!$O$4:$O$67,0)),""))</f>
        <v/>
      </c>
      <c r="T17" s="58" t="str">
        <f>IF(M17="","",IFERROR(INDEX(Calculations!$J$4:$J$67,MATCH("F-1",Calculations!$O$4:$O$67,0)),""))</f>
        <v/>
      </c>
      <c r="U17" s="58" t="str">
        <f>IF(M17="","",IFERROR(INDEX(Calculations!$K$4:$K$67,MATCH("F-1",Calculations!$O$4:$O$67,0)),""))</f>
        <v/>
      </c>
      <c r="V17" s="58" t="str">
        <f>IF(M17="","",IFERROR(INDEX(Calculations!$L$4:$L$67,MATCH("F-1",Calculations!$O$4:$O$67,0)),""))</f>
        <v/>
      </c>
    </row>
    <row r="18" spans="1:22">
      <c r="A18" s="47">
        <f>IF(OR(Setup!$B$6&lt;2,2&gt;Setup!$B$7),"",2)</f>
        <v>2</v>
      </c>
      <c r="B18" s="55" t="str">
        <f>IF(A18="","",IFERROR(INDEX(Calculations!$C$4:$C$67,MATCH("B-2",Calculations!$O$4:$O$67,0)),""))</f>
        <v/>
      </c>
      <c r="C18" s="47" t="str">
        <f>IF(A18="","",IFERROR(INDEX(Calculations!$E$4:$E$67,MATCH("B-2",Calculations!$O$4:$O$67,0)),""))</f>
        <v/>
      </c>
      <c r="D18" s="47" t="str">
        <f>IF(A18="","",IFERROR(INDEX(Calculations!$F$4:$F$67,MATCH("B-2",Calculations!$O$4:$O$67,0)),""))</f>
        <v/>
      </c>
      <c r="E18" s="47" t="str">
        <f>IF(A18="","",IFERROR(INDEX(Calculations!$G$4:$G$67,MATCH("B-2",Calculations!$O$4:$O$67,0)),""))</f>
        <v/>
      </c>
      <c r="F18" s="47" t="str">
        <f>IF(A18="","",IFERROR(INDEX(Calculations!$H$4:$H$67,MATCH("B-2",Calculations!$O$4:$O$67,0)),""))</f>
        <v/>
      </c>
      <c r="G18" s="47" t="str">
        <f>IF(A18="","",IFERROR(INDEX(Calculations!$I$4:$I$67,MATCH("B-2",Calculations!$O$4:$O$67,0)),""))</f>
        <v/>
      </c>
      <c r="H18" s="47" t="str">
        <f>IF(A18="","",IFERROR(INDEX(Calculations!$J$4:$J$67,MATCH("B-2",Calculations!$O$4:$O$67,0)),""))</f>
        <v/>
      </c>
      <c r="I18" s="47" t="str">
        <f>IF(A18="","",IFERROR(INDEX(Calculations!$K$4:$K$67,MATCH("B-2",Calculations!$O$4:$O$67,0)),""))</f>
        <v/>
      </c>
      <c r="J18" s="47" t="str">
        <f>IF(A18="","",IFERROR(INDEX(Calculations!$L$4:$L$67,MATCH("B-2",Calculations!$O$4:$O$67,0)),""))</f>
        <v/>
      </c>
      <c r="K18" s="51"/>
      <c r="L18" s="51"/>
      <c r="M18" s="47" t="str">
        <f>IF(OR(Setup!$B$6&lt;6,2&gt;Setup!$B$7),"",2)</f>
        <v/>
      </c>
      <c r="N18" s="55" t="str">
        <f>IF(M18="","",IFERROR(INDEX(Calculations!$C$4:$C$67,MATCH("F-2",Calculations!$O$4:$O$67,0)),""))</f>
        <v/>
      </c>
      <c r="O18" s="47" t="str">
        <f>IF(M18="","",IFERROR(INDEX(Calculations!$E$4:$E$67,MATCH("F-2",Calculations!$O$4:$O$67,0)),""))</f>
        <v/>
      </c>
      <c r="P18" s="47" t="str">
        <f>IF(M18="","",IFERROR(INDEX(Calculations!$F$4:$F$67,MATCH("F-2",Calculations!$O$4:$O$67,0)),""))</f>
        <v/>
      </c>
      <c r="Q18" s="47" t="str">
        <f>IF(M18="","",IFERROR(INDEX(Calculations!$G$4:$G$67,MATCH("F-2",Calculations!$O$4:$O$67,0)),""))</f>
        <v/>
      </c>
      <c r="R18" s="47" t="str">
        <f>IF(M18="","",IFERROR(INDEX(Calculations!$H$4:$H$67,MATCH("F-2",Calculations!$O$4:$O$67,0)),""))</f>
        <v/>
      </c>
      <c r="S18" s="47" t="str">
        <f>IF(M18="","",IFERROR(INDEX(Calculations!$I$4:$I$67,MATCH("F-2",Calculations!$O$4:$O$67,0)),""))</f>
        <v/>
      </c>
      <c r="T18" s="47" t="str">
        <f>IF(M18="","",IFERROR(INDEX(Calculations!$J$4:$J$67,MATCH("F-2",Calculations!$O$4:$O$67,0)),""))</f>
        <v/>
      </c>
      <c r="U18" s="47" t="str">
        <f>IF(M18="","",IFERROR(INDEX(Calculations!$K$4:$K$67,MATCH("F-2",Calculations!$O$4:$O$67,0)),""))</f>
        <v/>
      </c>
      <c r="V18" s="47" t="str">
        <f>IF(M18="","",IFERROR(INDEX(Calculations!$L$4:$L$67,MATCH("F-2",Calculations!$O$4:$O$67,0)),""))</f>
        <v/>
      </c>
    </row>
    <row r="19" spans="1:22">
      <c r="A19" s="47">
        <f>IF(OR(Setup!$B$6&lt;2,3&gt;Setup!$B$7),"",3)</f>
        <v>3</v>
      </c>
      <c r="B19" s="55" t="str">
        <f>IF(A19="","",IFERROR(INDEX(Calculations!$C$4:$C$67,MATCH("B-3",Calculations!$O$4:$O$67,0)),""))</f>
        <v/>
      </c>
      <c r="C19" s="47" t="str">
        <f>IF(A19="","",IFERROR(INDEX(Calculations!$E$4:$E$67,MATCH("B-3",Calculations!$O$4:$O$67,0)),""))</f>
        <v/>
      </c>
      <c r="D19" s="47" t="str">
        <f>IF(A19="","",IFERROR(INDEX(Calculations!$F$4:$F$67,MATCH("B-3",Calculations!$O$4:$O$67,0)),""))</f>
        <v/>
      </c>
      <c r="E19" s="47" t="str">
        <f>IF(A19="","",IFERROR(INDEX(Calculations!$G$4:$G$67,MATCH("B-3",Calculations!$O$4:$O$67,0)),""))</f>
        <v/>
      </c>
      <c r="F19" s="47" t="str">
        <f>IF(A19="","",IFERROR(INDEX(Calculations!$H$4:$H$67,MATCH("B-3",Calculations!$O$4:$O$67,0)),""))</f>
        <v/>
      </c>
      <c r="G19" s="47" t="str">
        <f>IF(A19="","",IFERROR(INDEX(Calculations!$I$4:$I$67,MATCH("B-3",Calculations!$O$4:$O$67,0)),""))</f>
        <v/>
      </c>
      <c r="H19" s="47" t="str">
        <f>IF(A19="","",IFERROR(INDEX(Calculations!$J$4:$J$67,MATCH("B-3",Calculations!$O$4:$O$67,0)),""))</f>
        <v/>
      </c>
      <c r="I19" s="47" t="str">
        <f>IF(A19="","",IFERROR(INDEX(Calculations!$K$4:$K$67,MATCH("B-3",Calculations!$O$4:$O$67,0)),""))</f>
        <v/>
      </c>
      <c r="J19" s="47" t="str">
        <f>IF(A19="","",IFERROR(INDEX(Calculations!$L$4:$L$67,MATCH("B-3",Calculations!$O$4:$O$67,0)),""))</f>
        <v/>
      </c>
      <c r="K19" s="51"/>
      <c r="L19" s="51"/>
      <c r="M19" s="47" t="str">
        <f>IF(OR(Setup!$B$6&lt;6,3&gt;Setup!$B$7),"",3)</f>
        <v/>
      </c>
      <c r="N19" s="55" t="str">
        <f>IF(M19="","",IFERROR(INDEX(Calculations!$C$4:$C$67,MATCH("F-3",Calculations!$O$4:$O$67,0)),""))</f>
        <v/>
      </c>
      <c r="O19" s="47" t="str">
        <f>IF(M19="","",IFERROR(INDEX(Calculations!$E$4:$E$67,MATCH("F-3",Calculations!$O$4:$O$67,0)),""))</f>
        <v/>
      </c>
      <c r="P19" s="47" t="str">
        <f>IF(M19="","",IFERROR(INDEX(Calculations!$F$4:$F$67,MATCH("F-3",Calculations!$O$4:$O$67,0)),""))</f>
        <v/>
      </c>
      <c r="Q19" s="47" t="str">
        <f>IF(M19="","",IFERROR(INDEX(Calculations!$G$4:$G$67,MATCH("F-3",Calculations!$O$4:$O$67,0)),""))</f>
        <v/>
      </c>
      <c r="R19" s="47" t="str">
        <f>IF(M19="","",IFERROR(INDEX(Calculations!$H$4:$H$67,MATCH("F-3",Calculations!$O$4:$O$67,0)),""))</f>
        <v/>
      </c>
      <c r="S19" s="47" t="str">
        <f>IF(M19="","",IFERROR(INDEX(Calculations!$I$4:$I$67,MATCH("F-3",Calculations!$O$4:$O$67,0)),""))</f>
        <v/>
      </c>
      <c r="T19" s="47" t="str">
        <f>IF(M19="","",IFERROR(INDEX(Calculations!$J$4:$J$67,MATCH("F-3",Calculations!$O$4:$O$67,0)),""))</f>
        <v/>
      </c>
      <c r="U19" s="47" t="str">
        <f>IF(M19="","",IFERROR(INDEX(Calculations!$K$4:$K$67,MATCH("F-3",Calculations!$O$4:$O$67,0)),""))</f>
        <v/>
      </c>
      <c r="V19" s="47" t="str">
        <f>IF(M19="","",IFERROR(INDEX(Calculations!$L$4:$L$67,MATCH("F-3",Calculations!$O$4:$O$67,0)),""))</f>
        <v/>
      </c>
    </row>
    <row r="20" spans="1:22">
      <c r="A20" s="47">
        <f>IF(OR(Setup!$B$6&lt;2,4&gt;Setup!$B$7),"",4)</f>
        <v>4</v>
      </c>
      <c r="B20" s="55" t="str">
        <f>IF(A20="","",IFERROR(INDEX(Calculations!$C$4:$C$67,MATCH("B-4",Calculations!$O$4:$O$67,0)),""))</f>
        <v/>
      </c>
      <c r="C20" s="47" t="str">
        <f>IF(A20="","",IFERROR(INDEX(Calculations!$E$4:$E$67,MATCH("B-4",Calculations!$O$4:$O$67,0)),""))</f>
        <v/>
      </c>
      <c r="D20" s="47" t="str">
        <f>IF(A20="","",IFERROR(INDEX(Calculations!$F$4:$F$67,MATCH("B-4",Calculations!$O$4:$O$67,0)),""))</f>
        <v/>
      </c>
      <c r="E20" s="47" t="str">
        <f>IF(A20="","",IFERROR(INDEX(Calculations!$G$4:$G$67,MATCH("B-4",Calculations!$O$4:$O$67,0)),""))</f>
        <v/>
      </c>
      <c r="F20" s="47" t="str">
        <f>IF(A20="","",IFERROR(INDEX(Calculations!$H$4:$H$67,MATCH("B-4",Calculations!$O$4:$O$67,0)),""))</f>
        <v/>
      </c>
      <c r="G20" s="47" t="str">
        <f>IF(A20="","",IFERROR(INDEX(Calculations!$I$4:$I$67,MATCH("B-4",Calculations!$O$4:$O$67,0)),""))</f>
        <v/>
      </c>
      <c r="H20" s="47" t="str">
        <f>IF(A20="","",IFERROR(INDEX(Calculations!$J$4:$J$67,MATCH("B-4",Calculations!$O$4:$O$67,0)),""))</f>
        <v/>
      </c>
      <c r="I20" s="47" t="str">
        <f>IF(A20="","",IFERROR(INDEX(Calculations!$K$4:$K$67,MATCH("B-4",Calculations!$O$4:$O$67,0)),""))</f>
        <v/>
      </c>
      <c r="J20" s="47" t="str">
        <f>IF(A20="","",IFERROR(INDEX(Calculations!$L$4:$L$67,MATCH("B-4",Calculations!$O$4:$O$67,0)),""))</f>
        <v/>
      </c>
      <c r="K20" s="51"/>
      <c r="L20" s="51"/>
      <c r="M20" s="47" t="str">
        <f>IF(OR(Setup!$B$6&lt;6,4&gt;Setup!$B$7),"",4)</f>
        <v/>
      </c>
      <c r="N20" s="55" t="str">
        <f>IF(M20="","",IFERROR(INDEX(Calculations!$C$4:$C$67,MATCH("F-4",Calculations!$O$4:$O$67,0)),""))</f>
        <v/>
      </c>
      <c r="O20" s="47" t="str">
        <f>IF(M20="","",IFERROR(INDEX(Calculations!$E$4:$E$67,MATCH("F-4",Calculations!$O$4:$O$67,0)),""))</f>
        <v/>
      </c>
      <c r="P20" s="47" t="str">
        <f>IF(M20="","",IFERROR(INDEX(Calculations!$F$4:$F$67,MATCH("F-4",Calculations!$O$4:$O$67,0)),""))</f>
        <v/>
      </c>
      <c r="Q20" s="47" t="str">
        <f>IF(M20="","",IFERROR(INDEX(Calculations!$G$4:$G$67,MATCH("F-4",Calculations!$O$4:$O$67,0)),""))</f>
        <v/>
      </c>
      <c r="R20" s="47" t="str">
        <f>IF(M20="","",IFERROR(INDEX(Calculations!$H$4:$H$67,MATCH("F-4",Calculations!$O$4:$O$67,0)),""))</f>
        <v/>
      </c>
      <c r="S20" s="47" t="str">
        <f>IF(M20="","",IFERROR(INDEX(Calculations!$I$4:$I$67,MATCH("F-4",Calculations!$O$4:$O$67,0)),""))</f>
        <v/>
      </c>
      <c r="T20" s="47" t="str">
        <f>IF(M20="","",IFERROR(INDEX(Calculations!$J$4:$J$67,MATCH("F-4",Calculations!$O$4:$O$67,0)),""))</f>
        <v/>
      </c>
      <c r="U20" s="47" t="str">
        <f>IF(M20="","",IFERROR(INDEX(Calculations!$K$4:$K$67,MATCH("F-4",Calculations!$O$4:$O$67,0)),""))</f>
        <v/>
      </c>
      <c r="V20" s="47" t="str">
        <f>IF(M20="","",IFERROR(INDEX(Calculations!$L$4:$L$67,MATCH("F-4",Calculations!$O$4:$O$67,0)),""))</f>
        <v/>
      </c>
    </row>
    <row r="21" spans="1:22">
      <c r="A21" s="47">
        <f>IF(OR(Setup!$B$6&lt;2,5&gt;Setup!$B$7),"",5)</f>
        <v>5</v>
      </c>
      <c r="B21" s="55" t="str">
        <f>IF(A21="","",IFERROR(INDEX(Calculations!$C$4:$C$67,MATCH("B-5",Calculations!$O$4:$O$67,0)),""))</f>
        <v/>
      </c>
      <c r="C21" s="47" t="str">
        <f>IF(A21="","",IFERROR(INDEX(Calculations!$E$4:$E$67,MATCH("B-5",Calculations!$O$4:$O$67,0)),""))</f>
        <v/>
      </c>
      <c r="D21" s="47" t="str">
        <f>IF(A21="","",IFERROR(INDEX(Calculations!$F$4:$F$67,MATCH("B-5",Calculations!$O$4:$O$67,0)),""))</f>
        <v/>
      </c>
      <c r="E21" s="47" t="str">
        <f>IF(A21="","",IFERROR(INDEX(Calculations!$G$4:$G$67,MATCH("B-5",Calculations!$O$4:$O$67,0)),""))</f>
        <v/>
      </c>
      <c r="F21" s="47" t="str">
        <f>IF(A21="","",IFERROR(INDEX(Calculations!$H$4:$H$67,MATCH("B-5",Calculations!$O$4:$O$67,0)),""))</f>
        <v/>
      </c>
      <c r="G21" s="47" t="str">
        <f>IF(A21="","",IFERROR(INDEX(Calculations!$I$4:$I$67,MATCH("B-5",Calculations!$O$4:$O$67,0)),""))</f>
        <v/>
      </c>
      <c r="H21" s="47" t="str">
        <f>IF(A21="","",IFERROR(INDEX(Calculations!$J$4:$J$67,MATCH("B-5",Calculations!$O$4:$O$67,0)),""))</f>
        <v/>
      </c>
      <c r="I21" s="47" t="str">
        <f>IF(A21="","",IFERROR(INDEX(Calculations!$K$4:$K$67,MATCH("B-5",Calculations!$O$4:$O$67,0)),""))</f>
        <v/>
      </c>
      <c r="J21" s="47" t="str">
        <f>IF(A21="","",IFERROR(INDEX(Calculations!$L$4:$L$67,MATCH("B-5",Calculations!$O$4:$O$67,0)),""))</f>
        <v/>
      </c>
      <c r="K21" s="51"/>
      <c r="L21" s="51"/>
      <c r="M21" s="47" t="str">
        <f>IF(OR(Setup!$B$6&lt;6,5&gt;Setup!$B$7),"",5)</f>
        <v/>
      </c>
      <c r="N21" s="55" t="str">
        <f>IF(M21="","",IFERROR(INDEX(Calculations!$C$4:$C$67,MATCH("F-5",Calculations!$O$4:$O$67,0)),""))</f>
        <v/>
      </c>
      <c r="O21" s="47" t="str">
        <f>IF(M21="","",IFERROR(INDEX(Calculations!$E$4:$E$67,MATCH("F-5",Calculations!$O$4:$O$67,0)),""))</f>
        <v/>
      </c>
      <c r="P21" s="47" t="str">
        <f>IF(M21="","",IFERROR(INDEX(Calculations!$F$4:$F$67,MATCH("F-5",Calculations!$O$4:$O$67,0)),""))</f>
        <v/>
      </c>
      <c r="Q21" s="47" t="str">
        <f>IF(M21="","",IFERROR(INDEX(Calculations!$G$4:$G$67,MATCH("F-5",Calculations!$O$4:$O$67,0)),""))</f>
        <v/>
      </c>
      <c r="R21" s="47" t="str">
        <f>IF(M21="","",IFERROR(INDEX(Calculations!$H$4:$H$67,MATCH("F-5",Calculations!$O$4:$O$67,0)),""))</f>
        <v/>
      </c>
      <c r="S21" s="47" t="str">
        <f>IF(M21="","",IFERROR(INDEX(Calculations!$I$4:$I$67,MATCH("F-5",Calculations!$O$4:$O$67,0)),""))</f>
        <v/>
      </c>
      <c r="T21" s="47" t="str">
        <f>IF(M21="","",IFERROR(INDEX(Calculations!$J$4:$J$67,MATCH("F-5",Calculations!$O$4:$O$67,0)),""))</f>
        <v/>
      </c>
      <c r="U21" s="47" t="str">
        <f>IF(M21="","",IFERROR(INDEX(Calculations!$K$4:$K$67,MATCH("F-5",Calculations!$O$4:$O$67,0)),""))</f>
        <v/>
      </c>
      <c r="V21" s="47" t="str">
        <f>IF(M21="","",IFERROR(INDEX(Calculations!$L$4:$L$67,MATCH("F-5",Calculations!$O$4:$O$67,0)),""))</f>
        <v/>
      </c>
    </row>
    <row r="22" spans="1:22">
      <c r="A22" s="47">
        <f>IF(OR(Setup!$B$6&lt;2,6&gt;Setup!$B$7),"",6)</f>
        <v>6</v>
      </c>
      <c r="B22" s="55" t="str">
        <f>IF(A22="","",IFERROR(INDEX(Calculations!$C$4:$C$67,MATCH("B-6",Calculations!$O$4:$O$67,0)),""))</f>
        <v/>
      </c>
      <c r="C22" s="47" t="str">
        <f>IF(A22="","",IFERROR(INDEX(Calculations!$E$4:$E$67,MATCH("B-6",Calculations!$O$4:$O$67,0)),""))</f>
        <v/>
      </c>
      <c r="D22" s="47" t="str">
        <f>IF(A22="","",IFERROR(INDEX(Calculations!$F$4:$F$67,MATCH("B-6",Calculations!$O$4:$O$67,0)),""))</f>
        <v/>
      </c>
      <c r="E22" s="47" t="str">
        <f>IF(A22="","",IFERROR(INDEX(Calculations!$G$4:$G$67,MATCH("B-6",Calculations!$O$4:$O$67,0)),""))</f>
        <v/>
      </c>
      <c r="F22" s="47" t="str">
        <f>IF(A22="","",IFERROR(INDEX(Calculations!$H$4:$H$67,MATCH("B-6",Calculations!$O$4:$O$67,0)),""))</f>
        <v/>
      </c>
      <c r="G22" s="47" t="str">
        <f>IF(A22="","",IFERROR(INDEX(Calculations!$I$4:$I$67,MATCH("B-6",Calculations!$O$4:$O$67,0)),""))</f>
        <v/>
      </c>
      <c r="H22" s="47" t="str">
        <f>IF(A22="","",IFERROR(INDEX(Calculations!$J$4:$J$67,MATCH("B-6",Calculations!$O$4:$O$67,0)),""))</f>
        <v/>
      </c>
      <c r="I22" s="47" t="str">
        <f>IF(A22="","",IFERROR(INDEX(Calculations!$K$4:$K$67,MATCH("B-6",Calculations!$O$4:$O$67,0)),""))</f>
        <v/>
      </c>
      <c r="J22" s="47" t="str">
        <f>IF(A22="","",IFERROR(INDEX(Calculations!$L$4:$L$67,MATCH("B-6",Calculations!$O$4:$O$67,0)),""))</f>
        <v/>
      </c>
      <c r="K22" s="51"/>
      <c r="L22" s="51"/>
      <c r="M22" s="47" t="str">
        <f>IF(OR(Setup!$B$6&lt;6,6&gt;Setup!$B$7),"",6)</f>
        <v/>
      </c>
      <c r="N22" s="55" t="str">
        <f>IF(M22="","",IFERROR(INDEX(Calculations!$C$4:$C$67,MATCH("F-6",Calculations!$O$4:$O$67,0)),""))</f>
        <v/>
      </c>
      <c r="O22" s="47" t="str">
        <f>IF(M22="","",IFERROR(INDEX(Calculations!$E$4:$E$67,MATCH("F-6",Calculations!$O$4:$O$67,0)),""))</f>
        <v/>
      </c>
      <c r="P22" s="47" t="str">
        <f>IF(M22="","",IFERROR(INDEX(Calculations!$F$4:$F$67,MATCH("F-6",Calculations!$O$4:$O$67,0)),""))</f>
        <v/>
      </c>
      <c r="Q22" s="47" t="str">
        <f>IF(M22="","",IFERROR(INDEX(Calculations!$G$4:$G$67,MATCH("F-6",Calculations!$O$4:$O$67,0)),""))</f>
        <v/>
      </c>
      <c r="R22" s="47" t="str">
        <f>IF(M22="","",IFERROR(INDEX(Calculations!$H$4:$H$67,MATCH("F-6",Calculations!$O$4:$O$67,0)),""))</f>
        <v/>
      </c>
      <c r="S22" s="47" t="str">
        <f>IF(M22="","",IFERROR(INDEX(Calculations!$I$4:$I$67,MATCH("F-6",Calculations!$O$4:$O$67,0)),""))</f>
        <v/>
      </c>
      <c r="T22" s="47" t="str">
        <f>IF(M22="","",IFERROR(INDEX(Calculations!$J$4:$J$67,MATCH("F-6",Calculations!$O$4:$O$67,0)),""))</f>
        <v/>
      </c>
      <c r="U22" s="47" t="str">
        <f>IF(M22="","",IFERROR(INDEX(Calculations!$K$4:$K$67,MATCH("F-6",Calculations!$O$4:$O$67,0)),""))</f>
        <v/>
      </c>
      <c r="V22" s="47" t="str">
        <f>IF(M22="","",IFERROR(INDEX(Calculations!$L$4:$L$67,MATCH("F-6",Calculations!$O$4:$O$67,0)),""))</f>
        <v/>
      </c>
    </row>
    <row r="23" spans="1:22">
      <c r="A23" s="47">
        <f>IF(OR(Setup!$B$6&lt;2,7&gt;Setup!$B$7),"",7)</f>
        <v>7</v>
      </c>
      <c r="B23" s="55" t="str">
        <f>IF(A23="","",IFERROR(INDEX(Calculations!$C$4:$C$67,MATCH("B-7",Calculations!$O$4:$O$67,0)),""))</f>
        <v/>
      </c>
      <c r="C23" s="47" t="str">
        <f>IF(A23="","",IFERROR(INDEX(Calculations!$E$4:$E$67,MATCH("B-7",Calculations!$O$4:$O$67,0)),""))</f>
        <v/>
      </c>
      <c r="D23" s="47" t="str">
        <f>IF(A23="","",IFERROR(INDEX(Calculations!$F$4:$F$67,MATCH("B-7",Calculations!$O$4:$O$67,0)),""))</f>
        <v/>
      </c>
      <c r="E23" s="47" t="str">
        <f>IF(A23="","",IFERROR(INDEX(Calculations!$G$4:$G$67,MATCH("B-7",Calculations!$O$4:$O$67,0)),""))</f>
        <v/>
      </c>
      <c r="F23" s="47" t="str">
        <f>IF(A23="","",IFERROR(INDEX(Calculations!$H$4:$H$67,MATCH("B-7",Calculations!$O$4:$O$67,0)),""))</f>
        <v/>
      </c>
      <c r="G23" s="47" t="str">
        <f>IF(A23="","",IFERROR(INDEX(Calculations!$I$4:$I$67,MATCH("B-7",Calculations!$O$4:$O$67,0)),""))</f>
        <v/>
      </c>
      <c r="H23" s="47" t="str">
        <f>IF(A23="","",IFERROR(INDEX(Calculations!$J$4:$J$67,MATCH("B-7",Calculations!$O$4:$O$67,0)),""))</f>
        <v/>
      </c>
      <c r="I23" s="47" t="str">
        <f>IF(A23="","",IFERROR(INDEX(Calculations!$K$4:$K$67,MATCH("B-7",Calculations!$O$4:$O$67,0)),""))</f>
        <v/>
      </c>
      <c r="J23" s="47" t="str">
        <f>IF(A23="","",IFERROR(INDEX(Calculations!$L$4:$L$67,MATCH("B-7",Calculations!$O$4:$O$67,0)),""))</f>
        <v/>
      </c>
      <c r="K23" s="51"/>
      <c r="L23" s="51"/>
      <c r="M23" s="47" t="str">
        <f>IF(OR(Setup!$B$6&lt;6,7&gt;Setup!$B$7),"",7)</f>
        <v/>
      </c>
      <c r="N23" s="55" t="str">
        <f>IF(M23="","",IFERROR(INDEX(Calculations!$C$4:$C$67,MATCH("F-7",Calculations!$O$4:$O$67,0)),""))</f>
        <v/>
      </c>
      <c r="O23" s="47" t="str">
        <f>IF(M23="","",IFERROR(INDEX(Calculations!$E$4:$E$67,MATCH("F-7",Calculations!$O$4:$O$67,0)),""))</f>
        <v/>
      </c>
      <c r="P23" s="47" t="str">
        <f>IF(M23="","",IFERROR(INDEX(Calculations!$F$4:$F$67,MATCH("F-7",Calculations!$O$4:$O$67,0)),""))</f>
        <v/>
      </c>
      <c r="Q23" s="47" t="str">
        <f>IF(M23="","",IFERROR(INDEX(Calculations!$G$4:$G$67,MATCH("F-7",Calculations!$O$4:$O$67,0)),""))</f>
        <v/>
      </c>
      <c r="R23" s="47" t="str">
        <f>IF(M23="","",IFERROR(INDEX(Calculations!$H$4:$H$67,MATCH("F-7",Calculations!$O$4:$O$67,0)),""))</f>
        <v/>
      </c>
      <c r="S23" s="47" t="str">
        <f>IF(M23="","",IFERROR(INDEX(Calculations!$I$4:$I$67,MATCH("F-7",Calculations!$O$4:$O$67,0)),""))</f>
        <v/>
      </c>
      <c r="T23" s="47" t="str">
        <f>IF(M23="","",IFERROR(INDEX(Calculations!$J$4:$J$67,MATCH("F-7",Calculations!$O$4:$O$67,0)),""))</f>
        <v/>
      </c>
      <c r="U23" s="47" t="str">
        <f>IF(M23="","",IFERROR(INDEX(Calculations!$K$4:$K$67,MATCH("F-7",Calculations!$O$4:$O$67,0)),""))</f>
        <v/>
      </c>
      <c r="V23" s="47" t="str">
        <f>IF(M23="","",IFERROR(INDEX(Calculations!$L$4:$L$67,MATCH("F-7",Calculations!$O$4:$O$67,0)),""))</f>
        <v/>
      </c>
    </row>
    <row r="24" spans="1:22">
      <c r="A24" s="47">
        <f>IF(OR(Setup!$B$6&lt;2,8&gt;Setup!$B$7),"",8)</f>
        <v>8</v>
      </c>
      <c r="B24" s="55" t="str">
        <f>IF(A24="","",IFERROR(INDEX(Calculations!$C$4:$C$67,MATCH("B-8",Calculations!$O$4:$O$67,0)),""))</f>
        <v/>
      </c>
      <c r="C24" s="47" t="str">
        <f>IF(A24="","",IFERROR(INDEX(Calculations!$E$4:$E$67,MATCH("B-8",Calculations!$O$4:$O$67,0)),""))</f>
        <v/>
      </c>
      <c r="D24" s="47" t="str">
        <f>IF(A24="","",IFERROR(INDEX(Calculations!$F$4:$F$67,MATCH("B-8",Calculations!$O$4:$O$67,0)),""))</f>
        <v/>
      </c>
      <c r="E24" s="47" t="str">
        <f>IF(A24="","",IFERROR(INDEX(Calculations!$G$4:$G$67,MATCH("B-8",Calculations!$O$4:$O$67,0)),""))</f>
        <v/>
      </c>
      <c r="F24" s="47" t="str">
        <f>IF(A24="","",IFERROR(INDEX(Calculations!$H$4:$H$67,MATCH("B-8",Calculations!$O$4:$O$67,0)),""))</f>
        <v/>
      </c>
      <c r="G24" s="47" t="str">
        <f>IF(A24="","",IFERROR(INDEX(Calculations!$I$4:$I$67,MATCH("B-8",Calculations!$O$4:$O$67,0)),""))</f>
        <v/>
      </c>
      <c r="H24" s="47" t="str">
        <f>IF(A24="","",IFERROR(INDEX(Calculations!$J$4:$J$67,MATCH("B-8",Calculations!$O$4:$O$67,0)),""))</f>
        <v/>
      </c>
      <c r="I24" s="47" t="str">
        <f>IF(A24="","",IFERROR(INDEX(Calculations!$K$4:$K$67,MATCH("B-8",Calculations!$O$4:$O$67,0)),""))</f>
        <v/>
      </c>
      <c r="J24" s="47" t="str">
        <f>IF(A24="","",IFERROR(INDEX(Calculations!$L$4:$L$67,MATCH("B-8",Calculations!$O$4:$O$67,0)),""))</f>
        <v/>
      </c>
      <c r="K24" s="51"/>
      <c r="L24" s="51"/>
      <c r="M24" s="47" t="str">
        <f>IF(OR(Setup!$B$6&lt;6,8&gt;Setup!$B$7),"",8)</f>
        <v/>
      </c>
      <c r="N24" s="55" t="str">
        <f>IF(M24="","",IFERROR(INDEX(Calculations!$C$4:$C$67,MATCH("F-8",Calculations!$O$4:$O$67,0)),""))</f>
        <v/>
      </c>
      <c r="O24" s="47" t="str">
        <f>IF(M24="","",IFERROR(INDEX(Calculations!$E$4:$E$67,MATCH("F-8",Calculations!$O$4:$O$67,0)),""))</f>
        <v/>
      </c>
      <c r="P24" s="47" t="str">
        <f>IF(M24="","",IFERROR(INDEX(Calculations!$F$4:$F$67,MATCH("F-8",Calculations!$O$4:$O$67,0)),""))</f>
        <v/>
      </c>
      <c r="Q24" s="47" t="str">
        <f>IF(M24="","",IFERROR(INDEX(Calculations!$G$4:$G$67,MATCH("F-8",Calculations!$O$4:$O$67,0)),""))</f>
        <v/>
      </c>
      <c r="R24" s="47" t="str">
        <f>IF(M24="","",IFERROR(INDEX(Calculations!$H$4:$H$67,MATCH("F-8",Calculations!$O$4:$O$67,0)),""))</f>
        <v/>
      </c>
      <c r="S24" s="47" t="str">
        <f>IF(M24="","",IFERROR(INDEX(Calculations!$I$4:$I$67,MATCH("F-8",Calculations!$O$4:$O$67,0)),""))</f>
        <v/>
      </c>
      <c r="T24" s="47" t="str">
        <f>IF(M24="","",IFERROR(INDEX(Calculations!$J$4:$J$67,MATCH("F-8",Calculations!$O$4:$O$67,0)),""))</f>
        <v/>
      </c>
      <c r="U24" s="47" t="str">
        <f>IF(M24="","",IFERROR(INDEX(Calculations!$K$4:$K$67,MATCH("F-8",Calculations!$O$4:$O$67,0)),""))</f>
        <v/>
      </c>
      <c r="V24" s="47" t="str">
        <f>IF(M24="","",IFERROR(INDEX(Calculations!$L$4:$L$67,MATCH("F-8",Calculations!$O$4:$O$67,0)),""))</f>
        <v/>
      </c>
    </row>
    <row r="25" spans="1:22">
      <c r="A25" s="47"/>
      <c r="B25" s="55"/>
      <c r="C25" s="47"/>
      <c r="D25" s="47"/>
      <c r="E25" s="47"/>
      <c r="F25" s="47"/>
      <c r="G25" s="47"/>
      <c r="H25" s="47"/>
      <c r="I25" s="47"/>
      <c r="J25" s="47"/>
      <c r="K25" s="51"/>
      <c r="L25" s="51"/>
      <c r="M25" s="47"/>
      <c r="N25" s="55"/>
      <c r="O25" s="47"/>
      <c r="P25" s="47"/>
      <c r="Q25" s="47"/>
      <c r="R25" s="47"/>
      <c r="S25" s="47"/>
      <c r="T25" s="47"/>
      <c r="U25" s="47"/>
      <c r="V25" s="47"/>
    </row>
    <row r="26" spans="1:22">
      <c r="A26" s="56" t="str">
        <f>IF(Setup!$B$6&gt;=3,"Pool C","")</f>
        <v/>
      </c>
      <c r="B26" s="56"/>
      <c r="C26" s="56"/>
      <c r="D26" s="56"/>
      <c r="E26" s="56"/>
      <c r="F26" s="56"/>
      <c r="G26" s="56"/>
      <c r="H26" s="56"/>
      <c r="I26" s="56"/>
      <c r="J26" s="56"/>
      <c r="K26" s="51"/>
      <c r="L26" s="51"/>
      <c r="M26" s="56" t="str">
        <f>IF(Setup!$B$6&gt;=7,"Pool G","")</f>
        <v/>
      </c>
      <c r="N26" s="56"/>
      <c r="O26" s="56"/>
      <c r="P26" s="56"/>
      <c r="Q26" s="56"/>
      <c r="R26" s="56"/>
      <c r="S26" s="56"/>
      <c r="T26" s="56"/>
      <c r="U26" s="56"/>
      <c r="V26" s="56"/>
    </row>
    <row r="27" spans="1:22">
      <c r="A27" s="59" t="s">
        <v>248</v>
      </c>
      <c r="B27" s="59" t="s">
        <v>237</v>
      </c>
      <c r="C27" s="59" t="s">
        <v>238</v>
      </c>
      <c r="D27" s="59" t="s">
        <v>239</v>
      </c>
      <c r="E27" s="59" t="s">
        <v>71</v>
      </c>
      <c r="F27" s="59" t="s">
        <v>240</v>
      </c>
      <c r="G27" s="59" t="s">
        <v>241</v>
      </c>
      <c r="H27" s="59" t="s">
        <v>242</v>
      </c>
      <c r="I27" s="59" t="s">
        <v>243</v>
      </c>
      <c r="J27" s="59" t="s">
        <v>244</v>
      </c>
      <c r="K27" s="51"/>
      <c r="L27" s="51"/>
      <c r="M27" s="59" t="s">
        <v>248</v>
      </c>
      <c r="N27" s="59" t="s">
        <v>237</v>
      </c>
      <c r="O27" s="59" t="s">
        <v>238</v>
      </c>
      <c r="P27" s="59" t="s">
        <v>239</v>
      </c>
      <c r="Q27" s="59" t="s">
        <v>71</v>
      </c>
      <c r="R27" s="59" t="s">
        <v>240</v>
      </c>
      <c r="S27" s="59" t="s">
        <v>241</v>
      </c>
      <c r="T27" s="59" t="s">
        <v>242</v>
      </c>
      <c r="U27" s="59" t="s">
        <v>243</v>
      </c>
      <c r="V27" s="59" t="s">
        <v>244</v>
      </c>
    </row>
    <row r="28" spans="1:22">
      <c r="A28" s="51" t="str">
        <f>IF(OR(Setup!$B$6&lt;3,1&gt;Setup!$B$7),"",1)</f>
        <v/>
      </c>
      <c r="B28" s="51" t="str">
        <f>IF(A28="","",IFERROR(INDEX(Calculations!$C$4:$C$67,MATCH("C-1",Calculations!$O$4:$O$67,0)),""))</f>
        <v/>
      </c>
      <c r="C28" s="51" t="str">
        <f>IF(A28="","",IFERROR(INDEX(Calculations!$E$4:$E$67,MATCH("C-1",Calculations!$O$4:$O$67,0)),""))</f>
        <v/>
      </c>
      <c r="D28" s="51" t="str">
        <f>IF(A28="","",IFERROR(INDEX(Calculations!$F$4:$F$67,MATCH("C-1",Calculations!$O$4:$O$67,0)),""))</f>
        <v/>
      </c>
      <c r="E28" s="51" t="str">
        <f>IF(A28="","",IFERROR(INDEX(Calculations!$G$4:$G$67,MATCH("C-1",Calculations!$O$4:$O$67,0)),""))</f>
        <v/>
      </c>
      <c r="F28" s="51" t="str">
        <f>IF(A28="","",IFERROR(INDEX(Calculations!$H$4:$H$67,MATCH("C-1",Calculations!$O$4:$O$67,0)),""))</f>
        <v/>
      </c>
      <c r="G28" s="51" t="str">
        <f>IF(A28="","",IFERROR(INDEX(Calculations!$I$4:$I$67,MATCH("C-1",Calculations!$O$4:$O$67,0)),""))</f>
        <v/>
      </c>
      <c r="H28" s="51" t="str">
        <f>IF(A28="","",IFERROR(INDEX(Calculations!$J$4:$J$67,MATCH("C-1",Calculations!$O$4:$O$67,0)),""))</f>
        <v/>
      </c>
      <c r="I28" s="51" t="str">
        <f>IF(A28="","",IFERROR(INDEX(Calculations!$K$4:$K$67,MATCH("C-1",Calculations!$O$4:$O$67,0)),""))</f>
        <v/>
      </c>
      <c r="J28" s="51" t="str">
        <f>IF(A28="","",IFERROR(INDEX(Calculations!$L$4:$L$67,MATCH("C-1",Calculations!$O$4:$O$67,0)),""))</f>
        <v/>
      </c>
      <c r="K28" s="51"/>
      <c r="L28" s="51"/>
      <c r="M28" s="51" t="str">
        <f>IF(OR(Setup!$B$6&lt;7,1&gt;Setup!$B$7),"",1)</f>
        <v/>
      </c>
      <c r="N28" s="51" t="str">
        <f>IF(M28="","",IFERROR(INDEX(Calculations!$C$4:$C$67,MATCH("G-1",Calculations!$O$4:$O$67,0)),""))</f>
        <v/>
      </c>
      <c r="O28" s="51" t="str">
        <f>IF(M28="","",IFERROR(INDEX(Calculations!$E$4:$E$67,MATCH("G-1",Calculations!$O$4:$O$67,0)),""))</f>
        <v/>
      </c>
      <c r="P28" s="51" t="str">
        <f>IF(M28="","",IFERROR(INDEX(Calculations!$F$4:$F$67,MATCH("G-1",Calculations!$O$4:$O$67,0)),""))</f>
        <v/>
      </c>
      <c r="Q28" s="51" t="str">
        <f>IF(M28="","",IFERROR(INDEX(Calculations!$G$4:$G$67,MATCH("G-1",Calculations!$O$4:$O$67,0)),""))</f>
        <v/>
      </c>
      <c r="R28" s="51" t="str">
        <f>IF(M28="","",IFERROR(INDEX(Calculations!$H$4:$H$67,MATCH("G-1",Calculations!$O$4:$O$67,0)),""))</f>
        <v/>
      </c>
      <c r="S28" s="51" t="str">
        <f>IF(M28="","",IFERROR(INDEX(Calculations!$I$4:$I$67,MATCH("G-1",Calculations!$O$4:$O$67,0)),""))</f>
        <v/>
      </c>
      <c r="T28" s="51" t="str">
        <f>IF(M28="","",IFERROR(INDEX(Calculations!$J$4:$J$67,MATCH("G-1",Calculations!$O$4:$O$67,0)),""))</f>
        <v/>
      </c>
      <c r="U28" s="51" t="str">
        <f>IF(M28="","",IFERROR(INDEX(Calculations!$K$4:$K$67,MATCH("G-1",Calculations!$O$4:$O$67,0)),""))</f>
        <v/>
      </c>
      <c r="V28" s="51" t="str">
        <f>IF(M28="","",IFERROR(INDEX(Calculations!$L$4:$L$67,MATCH("G-1",Calculations!$O$4:$O$67,0)),""))</f>
        <v/>
      </c>
    </row>
    <row r="29" spans="1:22">
      <c r="A29" s="50" t="str">
        <f>IF(OR(Setup!$B$6&lt;3,2&gt;Setup!$B$7),"",2)</f>
        <v/>
      </c>
      <c r="B29" s="50" t="str">
        <f>IF(A29="","",IFERROR(INDEX(Calculations!$C$4:$C$67,MATCH("C-2",Calculations!$O$4:$O$67,0)),""))</f>
        <v/>
      </c>
      <c r="C29" s="50" t="str">
        <f>IF(A29="","",IFERROR(INDEX(Calculations!$E$4:$E$67,MATCH("C-2",Calculations!$O$4:$O$67,0)),""))</f>
        <v/>
      </c>
      <c r="D29" s="50" t="str">
        <f>IF(A29="","",IFERROR(INDEX(Calculations!$F$4:$F$67,MATCH("C-2",Calculations!$O$4:$O$67,0)),""))</f>
        <v/>
      </c>
      <c r="E29" s="50" t="str">
        <f>IF(A29="","",IFERROR(INDEX(Calculations!$G$4:$G$67,MATCH("C-2",Calculations!$O$4:$O$67,0)),""))</f>
        <v/>
      </c>
      <c r="F29" s="50" t="str">
        <f>IF(A29="","",IFERROR(INDEX(Calculations!$H$4:$H$67,MATCH("C-2",Calculations!$O$4:$O$67,0)),""))</f>
        <v/>
      </c>
      <c r="G29" s="50" t="str">
        <f>IF(A29="","",IFERROR(INDEX(Calculations!$I$4:$I$67,MATCH("C-2",Calculations!$O$4:$O$67,0)),""))</f>
        <v/>
      </c>
      <c r="H29" s="50" t="str">
        <f>IF(A29="","",IFERROR(INDEX(Calculations!$J$4:$J$67,MATCH("C-2",Calculations!$O$4:$O$67,0)),""))</f>
        <v/>
      </c>
      <c r="I29" s="50" t="str">
        <f>IF(A29="","",IFERROR(INDEX(Calculations!$K$4:$K$67,MATCH("C-2",Calculations!$O$4:$O$67,0)),""))</f>
        <v/>
      </c>
      <c r="J29" s="50" t="str">
        <f>IF(A29="","",IFERROR(INDEX(Calculations!$L$4:$L$67,MATCH("C-2",Calculations!$O$4:$O$67,0)),""))</f>
        <v/>
      </c>
      <c r="K29" s="51"/>
      <c r="L29" s="51"/>
      <c r="M29" s="50" t="str">
        <f>IF(OR(Setup!$B$6&lt;7,2&gt;Setup!$B$7),"",2)</f>
        <v/>
      </c>
      <c r="N29" s="50" t="str">
        <f>IF(M29="","",IFERROR(INDEX(Calculations!$C$4:$C$67,MATCH("G-2",Calculations!$O$4:$O$67,0)),""))</f>
        <v/>
      </c>
      <c r="O29" s="50" t="str">
        <f>IF(M29="","",IFERROR(INDEX(Calculations!$E$4:$E$67,MATCH("G-2",Calculations!$O$4:$O$67,0)),""))</f>
        <v/>
      </c>
      <c r="P29" s="50" t="str">
        <f>IF(M29="","",IFERROR(INDEX(Calculations!$F$4:$F$67,MATCH("G-2",Calculations!$O$4:$O$67,0)),""))</f>
        <v/>
      </c>
      <c r="Q29" s="50" t="str">
        <f>IF(M29="","",IFERROR(INDEX(Calculations!$G$4:$G$67,MATCH("G-2",Calculations!$O$4:$O$67,0)),""))</f>
        <v/>
      </c>
      <c r="R29" s="50" t="str">
        <f>IF(M29="","",IFERROR(INDEX(Calculations!$H$4:$H$67,MATCH("G-2",Calculations!$O$4:$O$67,0)),""))</f>
        <v/>
      </c>
      <c r="S29" s="50" t="str">
        <f>IF(M29="","",IFERROR(INDEX(Calculations!$I$4:$I$67,MATCH("G-2",Calculations!$O$4:$O$67,0)),""))</f>
        <v/>
      </c>
      <c r="T29" s="50" t="str">
        <f>IF(M29="","",IFERROR(INDEX(Calculations!$J$4:$J$67,MATCH("G-2",Calculations!$O$4:$O$67,0)),""))</f>
        <v/>
      </c>
      <c r="U29" s="50" t="str">
        <f>IF(M29="","",IFERROR(INDEX(Calculations!$K$4:$K$67,MATCH("G-2",Calculations!$O$4:$O$67,0)),""))</f>
        <v/>
      </c>
      <c r="V29" s="50" t="str">
        <f>IF(M29="","",IFERROR(INDEX(Calculations!$L$4:$L$67,MATCH("G-2",Calculations!$O$4:$O$67,0)),""))</f>
        <v/>
      </c>
    </row>
    <row r="30" spans="1:22">
      <c r="A30" s="58" t="str">
        <f>IF(OR(Setup!$B$6&lt;3,3&gt;Setup!$B$7),"",3)</f>
        <v/>
      </c>
      <c r="B30" s="58" t="str">
        <f>IF(A30="","",IFERROR(INDEX(Calculations!$C$4:$C$67,MATCH("C-3",Calculations!$O$4:$O$67,0)),""))</f>
        <v/>
      </c>
      <c r="C30" s="58" t="str">
        <f>IF(A30="","",IFERROR(INDEX(Calculations!$E$4:$E$67,MATCH("C-3",Calculations!$O$4:$O$67,0)),""))</f>
        <v/>
      </c>
      <c r="D30" s="58" t="str">
        <f>IF(A30="","",IFERROR(INDEX(Calculations!$F$4:$F$67,MATCH("C-3",Calculations!$O$4:$O$67,0)),""))</f>
        <v/>
      </c>
      <c r="E30" s="58" t="str">
        <f>IF(A30="","",IFERROR(INDEX(Calculations!$G$4:$G$67,MATCH("C-3",Calculations!$O$4:$O$67,0)),""))</f>
        <v/>
      </c>
      <c r="F30" s="58" t="str">
        <f>IF(A30="","",IFERROR(INDEX(Calculations!$H$4:$H$67,MATCH("C-3",Calculations!$O$4:$O$67,0)),""))</f>
        <v/>
      </c>
      <c r="G30" s="58" t="str">
        <f>IF(A30="","",IFERROR(INDEX(Calculations!$I$4:$I$67,MATCH("C-3",Calculations!$O$4:$O$67,0)),""))</f>
        <v/>
      </c>
      <c r="H30" s="58" t="str">
        <f>IF(A30="","",IFERROR(INDEX(Calculations!$J$4:$J$67,MATCH("C-3",Calculations!$O$4:$O$67,0)),""))</f>
        <v/>
      </c>
      <c r="I30" s="58" t="str">
        <f>IF(A30="","",IFERROR(INDEX(Calculations!$K$4:$K$67,MATCH("C-3",Calculations!$O$4:$O$67,0)),""))</f>
        <v/>
      </c>
      <c r="J30" s="58" t="str">
        <f>IF(A30="","",IFERROR(INDEX(Calculations!$L$4:$L$67,MATCH("C-3",Calculations!$O$4:$O$67,0)),""))</f>
        <v/>
      </c>
      <c r="K30" s="51"/>
      <c r="L30" s="51"/>
      <c r="M30" s="58" t="str">
        <f>IF(OR(Setup!$B$6&lt;7,3&gt;Setup!$B$7),"",3)</f>
        <v/>
      </c>
      <c r="N30" s="58" t="str">
        <f>IF(M30="","",IFERROR(INDEX(Calculations!$C$4:$C$67,MATCH("G-3",Calculations!$O$4:$O$67,0)),""))</f>
        <v/>
      </c>
      <c r="O30" s="58" t="str">
        <f>IF(M30="","",IFERROR(INDEX(Calculations!$E$4:$E$67,MATCH("G-3",Calculations!$O$4:$O$67,0)),""))</f>
        <v/>
      </c>
      <c r="P30" s="58" t="str">
        <f>IF(M30="","",IFERROR(INDEX(Calculations!$F$4:$F$67,MATCH("G-3",Calculations!$O$4:$O$67,0)),""))</f>
        <v/>
      </c>
      <c r="Q30" s="58" t="str">
        <f>IF(M30="","",IFERROR(INDEX(Calculations!$G$4:$G$67,MATCH("G-3",Calculations!$O$4:$O$67,0)),""))</f>
        <v/>
      </c>
      <c r="R30" s="58" t="str">
        <f>IF(M30="","",IFERROR(INDEX(Calculations!$H$4:$H$67,MATCH("G-3",Calculations!$O$4:$O$67,0)),""))</f>
        <v/>
      </c>
      <c r="S30" s="58" t="str">
        <f>IF(M30="","",IFERROR(INDEX(Calculations!$I$4:$I$67,MATCH("G-3",Calculations!$O$4:$O$67,0)),""))</f>
        <v/>
      </c>
      <c r="T30" s="58" t="str">
        <f>IF(M30="","",IFERROR(INDEX(Calculations!$J$4:$J$67,MATCH("G-3",Calculations!$O$4:$O$67,0)),""))</f>
        <v/>
      </c>
      <c r="U30" s="58" t="str">
        <f>IF(M30="","",IFERROR(INDEX(Calculations!$K$4:$K$67,MATCH("G-3",Calculations!$O$4:$O$67,0)),""))</f>
        <v/>
      </c>
      <c r="V30" s="58" t="str">
        <f>IF(M30="","",IFERROR(INDEX(Calculations!$L$4:$L$67,MATCH("G-3",Calculations!$O$4:$O$67,0)),""))</f>
        <v/>
      </c>
    </row>
    <row r="31" spans="1:22">
      <c r="A31" s="47" t="str">
        <f>IF(OR(Setup!$B$6&lt;3,4&gt;Setup!$B$7),"",4)</f>
        <v/>
      </c>
      <c r="B31" s="55" t="str">
        <f>IF(A31="","",IFERROR(INDEX(Calculations!$C$4:$C$67,MATCH("C-4",Calculations!$O$4:$O$67,0)),""))</f>
        <v/>
      </c>
      <c r="C31" s="47" t="str">
        <f>IF(A31="","",IFERROR(INDEX(Calculations!$E$4:$E$67,MATCH("C-4",Calculations!$O$4:$O$67,0)),""))</f>
        <v/>
      </c>
      <c r="D31" s="47" t="str">
        <f>IF(A31="","",IFERROR(INDEX(Calculations!$F$4:$F$67,MATCH("C-4",Calculations!$O$4:$O$67,0)),""))</f>
        <v/>
      </c>
      <c r="E31" s="47" t="str">
        <f>IF(A31="","",IFERROR(INDEX(Calculations!$G$4:$G$67,MATCH("C-4",Calculations!$O$4:$O$67,0)),""))</f>
        <v/>
      </c>
      <c r="F31" s="47" t="str">
        <f>IF(A31="","",IFERROR(INDEX(Calculations!$H$4:$H$67,MATCH("C-4",Calculations!$O$4:$O$67,0)),""))</f>
        <v/>
      </c>
      <c r="G31" s="47" t="str">
        <f>IF(A31="","",IFERROR(INDEX(Calculations!$I$4:$I$67,MATCH("C-4",Calculations!$O$4:$O$67,0)),""))</f>
        <v/>
      </c>
      <c r="H31" s="47" t="str">
        <f>IF(A31="","",IFERROR(INDEX(Calculations!$J$4:$J$67,MATCH("C-4",Calculations!$O$4:$O$67,0)),""))</f>
        <v/>
      </c>
      <c r="I31" s="47" t="str">
        <f>IF(A31="","",IFERROR(INDEX(Calculations!$K$4:$K$67,MATCH("C-4",Calculations!$O$4:$O$67,0)),""))</f>
        <v/>
      </c>
      <c r="J31" s="47" t="str">
        <f>IF(A31="","",IFERROR(INDEX(Calculations!$L$4:$L$67,MATCH("C-4",Calculations!$O$4:$O$67,0)),""))</f>
        <v/>
      </c>
      <c r="K31" s="51"/>
      <c r="L31" s="51"/>
      <c r="M31" s="47" t="str">
        <f>IF(OR(Setup!$B$6&lt;7,4&gt;Setup!$B$7),"",4)</f>
        <v/>
      </c>
      <c r="N31" s="55" t="str">
        <f>IF(M31="","",IFERROR(INDEX(Calculations!$C$4:$C$67,MATCH("G-4",Calculations!$O$4:$O$67,0)),""))</f>
        <v/>
      </c>
      <c r="O31" s="47" t="str">
        <f>IF(M31="","",IFERROR(INDEX(Calculations!$E$4:$E$67,MATCH("G-4",Calculations!$O$4:$O$67,0)),""))</f>
        <v/>
      </c>
      <c r="P31" s="47" t="str">
        <f>IF(M31="","",IFERROR(INDEX(Calculations!$F$4:$F$67,MATCH("G-4",Calculations!$O$4:$O$67,0)),""))</f>
        <v/>
      </c>
      <c r="Q31" s="47" t="str">
        <f>IF(M31="","",IFERROR(INDEX(Calculations!$G$4:$G$67,MATCH("G-4",Calculations!$O$4:$O$67,0)),""))</f>
        <v/>
      </c>
      <c r="R31" s="47" t="str">
        <f>IF(M31="","",IFERROR(INDEX(Calculations!$H$4:$H$67,MATCH("G-4",Calculations!$O$4:$O$67,0)),""))</f>
        <v/>
      </c>
      <c r="S31" s="47" t="str">
        <f>IF(M31="","",IFERROR(INDEX(Calculations!$I$4:$I$67,MATCH("G-4",Calculations!$O$4:$O$67,0)),""))</f>
        <v/>
      </c>
      <c r="T31" s="47" t="str">
        <f>IF(M31="","",IFERROR(INDEX(Calculations!$J$4:$J$67,MATCH("G-4",Calculations!$O$4:$O$67,0)),""))</f>
        <v/>
      </c>
      <c r="U31" s="47" t="str">
        <f>IF(M31="","",IFERROR(INDEX(Calculations!$K$4:$K$67,MATCH("G-4",Calculations!$O$4:$O$67,0)),""))</f>
        <v/>
      </c>
      <c r="V31" s="47" t="str">
        <f>IF(M31="","",IFERROR(INDEX(Calculations!$L$4:$L$67,MATCH("G-4",Calculations!$O$4:$O$67,0)),""))</f>
        <v/>
      </c>
    </row>
    <row r="32" spans="1:22">
      <c r="A32" s="47" t="str">
        <f>IF(OR(Setup!$B$6&lt;3,5&gt;Setup!$B$7),"",5)</f>
        <v/>
      </c>
      <c r="B32" s="55" t="str">
        <f>IF(A32="","",IFERROR(INDEX(Calculations!$C$4:$C$67,MATCH("C-5",Calculations!$O$4:$O$67,0)),""))</f>
        <v/>
      </c>
      <c r="C32" s="47" t="str">
        <f>IF(A32="","",IFERROR(INDEX(Calculations!$E$4:$E$67,MATCH("C-5",Calculations!$O$4:$O$67,0)),""))</f>
        <v/>
      </c>
      <c r="D32" s="47" t="str">
        <f>IF(A32="","",IFERROR(INDEX(Calculations!$F$4:$F$67,MATCH("C-5",Calculations!$O$4:$O$67,0)),""))</f>
        <v/>
      </c>
      <c r="E32" s="47" t="str">
        <f>IF(A32="","",IFERROR(INDEX(Calculations!$G$4:$G$67,MATCH("C-5",Calculations!$O$4:$O$67,0)),""))</f>
        <v/>
      </c>
      <c r="F32" s="47" t="str">
        <f>IF(A32="","",IFERROR(INDEX(Calculations!$H$4:$H$67,MATCH("C-5",Calculations!$O$4:$O$67,0)),""))</f>
        <v/>
      </c>
      <c r="G32" s="47" t="str">
        <f>IF(A32="","",IFERROR(INDEX(Calculations!$I$4:$I$67,MATCH("C-5",Calculations!$O$4:$O$67,0)),""))</f>
        <v/>
      </c>
      <c r="H32" s="47" t="str">
        <f>IF(A32="","",IFERROR(INDEX(Calculations!$J$4:$J$67,MATCH("C-5",Calculations!$O$4:$O$67,0)),""))</f>
        <v/>
      </c>
      <c r="I32" s="47" t="str">
        <f>IF(A32="","",IFERROR(INDEX(Calculations!$K$4:$K$67,MATCH("C-5",Calculations!$O$4:$O$67,0)),""))</f>
        <v/>
      </c>
      <c r="J32" s="47" t="str">
        <f>IF(A32="","",IFERROR(INDEX(Calculations!$L$4:$L$67,MATCH("C-5",Calculations!$O$4:$O$67,0)),""))</f>
        <v/>
      </c>
      <c r="K32" s="51"/>
      <c r="L32" s="51"/>
      <c r="M32" s="47" t="str">
        <f>IF(OR(Setup!$B$6&lt;7,5&gt;Setup!$B$7),"",5)</f>
        <v/>
      </c>
      <c r="N32" s="55" t="str">
        <f>IF(M32="","",IFERROR(INDEX(Calculations!$C$4:$C$67,MATCH("G-5",Calculations!$O$4:$O$67,0)),""))</f>
        <v/>
      </c>
      <c r="O32" s="47" t="str">
        <f>IF(M32="","",IFERROR(INDEX(Calculations!$E$4:$E$67,MATCH("G-5",Calculations!$O$4:$O$67,0)),""))</f>
        <v/>
      </c>
      <c r="P32" s="47" t="str">
        <f>IF(M32="","",IFERROR(INDEX(Calculations!$F$4:$F$67,MATCH("G-5",Calculations!$O$4:$O$67,0)),""))</f>
        <v/>
      </c>
      <c r="Q32" s="47" t="str">
        <f>IF(M32="","",IFERROR(INDEX(Calculations!$G$4:$G$67,MATCH("G-5",Calculations!$O$4:$O$67,0)),""))</f>
        <v/>
      </c>
      <c r="R32" s="47" t="str">
        <f>IF(M32="","",IFERROR(INDEX(Calculations!$H$4:$H$67,MATCH("G-5",Calculations!$O$4:$O$67,0)),""))</f>
        <v/>
      </c>
      <c r="S32" s="47" t="str">
        <f>IF(M32="","",IFERROR(INDEX(Calculations!$I$4:$I$67,MATCH("G-5",Calculations!$O$4:$O$67,0)),""))</f>
        <v/>
      </c>
      <c r="T32" s="47" t="str">
        <f>IF(M32="","",IFERROR(INDEX(Calculations!$J$4:$J$67,MATCH("G-5",Calculations!$O$4:$O$67,0)),""))</f>
        <v/>
      </c>
      <c r="U32" s="47" t="str">
        <f>IF(M32="","",IFERROR(INDEX(Calculations!$K$4:$K$67,MATCH("G-5",Calculations!$O$4:$O$67,0)),""))</f>
        <v/>
      </c>
      <c r="V32" s="47" t="str">
        <f>IF(M32="","",IFERROR(INDEX(Calculations!$L$4:$L$67,MATCH("G-5",Calculations!$O$4:$O$67,0)),""))</f>
        <v/>
      </c>
    </row>
    <row r="33" spans="1:22">
      <c r="A33" s="47" t="str">
        <f>IF(OR(Setup!$B$6&lt;3,6&gt;Setup!$B$7),"",6)</f>
        <v/>
      </c>
      <c r="B33" s="55" t="str">
        <f>IF(A33="","",IFERROR(INDEX(Calculations!$C$4:$C$67,MATCH("C-6",Calculations!$O$4:$O$67,0)),""))</f>
        <v/>
      </c>
      <c r="C33" s="47" t="str">
        <f>IF(A33="","",IFERROR(INDEX(Calculations!$E$4:$E$67,MATCH("C-6",Calculations!$O$4:$O$67,0)),""))</f>
        <v/>
      </c>
      <c r="D33" s="47" t="str">
        <f>IF(A33="","",IFERROR(INDEX(Calculations!$F$4:$F$67,MATCH("C-6",Calculations!$O$4:$O$67,0)),""))</f>
        <v/>
      </c>
      <c r="E33" s="47" t="str">
        <f>IF(A33="","",IFERROR(INDEX(Calculations!$G$4:$G$67,MATCH("C-6",Calculations!$O$4:$O$67,0)),""))</f>
        <v/>
      </c>
      <c r="F33" s="47" t="str">
        <f>IF(A33="","",IFERROR(INDEX(Calculations!$H$4:$H$67,MATCH("C-6",Calculations!$O$4:$O$67,0)),""))</f>
        <v/>
      </c>
      <c r="G33" s="47" t="str">
        <f>IF(A33="","",IFERROR(INDEX(Calculations!$I$4:$I$67,MATCH("C-6",Calculations!$O$4:$O$67,0)),""))</f>
        <v/>
      </c>
      <c r="H33" s="47" t="str">
        <f>IF(A33="","",IFERROR(INDEX(Calculations!$J$4:$J$67,MATCH("C-6",Calculations!$O$4:$O$67,0)),""))</f>
        <v/>
      </c>
      <c r="I33" s="47" t="str">
        <f>IF(A33="","",IFERROR(INDEX(Calculations!$K$4:$K$67,MATCH("C-6",Calculations!$O$4:$O$67,0)),""))</f>
        <v/>
      </c>
      <c r="J33" s="47" t="str">
        <f>IF(A33="","",IFERROR(INDEX(Calculations!$L$4:$L$67,MATCH("C-6",Calculations!$O$4:$O$67,0)),""))</f>
        <v/>
      </c>
      <c r="K33" s="51"/>
      <c r="L33" s="51"/>
      <c r="M33" s="47" t="str">
        <f>IF(OR(Setup!$B$6&lt;7,6&gt;Setup!$B$7),"",6)</f>
        <v/>
      </c>
      <c r="N33" s="55" t="str">
        <f>IF(M33="","",IFERROR(INDEX(Calculations!$C$4:$C$67,MATCH("G-6",Calculations!$O$4:$O$67,0)),""))</f>
        <v/>
      </c>
      <c r="O33" s="47" t="str">
        <f>IF(M33="","",IFERROR(INDEX(Calculations!$E$4:$E$67,MATCH("G-6",Calculations!$O$4:$O$67,0)),""))</f>
        <v/>
      </c>
      <c r="P33" s="47" t="str">
        <f>IF(M33="","",IFERROR(INDEX(Calculations!$F$4:$F$67,MATCH("G-6",Calculations!$O$4:$O$67,0)),""))</f>
        <v/>
      </c>
      <c r="Q33" s="47" t="str">
        <f>IF(M33="","",IFERROR(INDEX(Calculations!$G$4:$G$67,MATCH("G-6",Calculations!$O$4:$O$67,0)),""))</f>
        <v/>
      </c>
      <c r="R33" s="47" t="str">
        <f>IF(M33="","",IFERROR(INDEX(Calculations!$H$4:$H$67,MATCH("G-6",Calculations!$O$4:$O$67,0)),""))</f>
        <v/>
      </c>
      <c r="S33" s="47" t="str">
        <f>IF(M33="","",IFERROR(INDEX(Calculations!$I$4:$I$67,MATCH("G-6",Calculations!$O$4:$O$67,0)),""))</f>
        <v/>
      </c>
      <c r="T33" s="47" t="str">
        <f>IF(M33="","",IFERROR(INDEX(Calculations!$J$4:$J$67,MATCH("G-6",Calculations!$O$4:$O$67,0)),""))</f>
        <v/>
      </c>
      <c r="U33" s="47" t="str">
        <f>IF(M33="","",IFERROR(INDEX(Calculations!$K$4:$K$67,MATCH("G-6",Calculations!$O$4:$O$67,0)),""))</f>
        <v/>
      </c>
      <c r="V33" s="47" t="str">
        <f>IF(M33="","",IFERROR(INDEX(Calculations!$L$4:$L$67,MATCH("G-6",Calculations!$O$4:$O$67,0)),""))</f>
        <v/>
      </c>
    </row>
    <row r="34" spans="1:22">
      <c r="A34" s="47" t="str">
        <f>IF(OR(Setup!$B$6&lt;3,7&gt;Setup!$B$7),"",7)</f>
        <v/>
      </c>
      <c r="B34" s="55" t="str">
        <f>IF(A34="","",IFERROR(INDEX(Calculations!$C$4:$C$67,MATCH("C-7",Calculations!$O$4:$O$67,0)),""))</f>
        <v/>
      </c>
      <c r="C34" s="47" t="str">
        <f>IF(A34="","",IFERROR(INDEX(Calculations!$E$4:$E$67,MATCH("C-7",Calculations!$O$4:$O$67,0)),""))</f>
        <v/>
      </c>
      <c r="D34" s="47" t="str">
        <f>IF(A34="","",IFERROR(INDEX(Calculations!$F$4:$F$67,MATCH("C-7",Calculations!$O$4:$O$67,0)),""))</f>
        <v/>
      </c>
      <c r="E34" s="47" t="str">
        <f>IF(A34="","",IFERROR(INDEX(Calculations!$G$4:$G$67,MATCH("C-7",Calculations!$O$4:$O$67,0)),""))</f>
        <v/>
      </c>
      <c r="F34" s="47" t="str">
        <f>IF(A34="","",IFERROR(INDEX(Calculations!$H$4:$H$67,MATCH("C-7",Calculations!$O$4:$O$67,0)),""))</f>
        <v/>
      </c>
      <c r="G34" s="47" t="str">
        <f>IF(A34="","",IFERROR(INDEX(Calculations!$I$4:$I$67,MATCH("C-7",Calculations!$O$4:$O$67,0)),""))</f>
        <v/>
      </c>
      <c r="H34" s="47" t="str">
        <f>IF(A34="","",IFERROR(INDEX(Calculations!$J$4:$J$67,MATCH("C-7",Calculations!$O$4:$O$67,0)),""))</f>
        <v/>
      </c>
      <c r="I34" s="47" t="str">
        <f>IF(A34="","",IFERROR(INDEX(Calculations!$K$4:$K$67,MATCH("C-7",Calculations!$O$4:$O$67,0)),""))</f>
        <v/>
      </c>
      <c r="J34" s="47" t="str">
        <f>IF(A34="","",IFERROR(INDEX(Calculations!$L$4:$L$67,MATCH("C-7",Calculations!$O$4:$O$67,0)),""))</f>
        <v/>
      </c>
      <c r="K34" s="51"/>
      <c r="L34" s="51"/>
      <c r="M34" s="47" t="str">
        <f>IF(OR(Setup!$B$6&lt;7,7&gt;Setup!$B$7),"",7)</f>
        <v/>
      </c>
      <c r="N34" s="55" t="str">
        <f>IF(M34="","",IFERROR(INDEX(Calculations!$C$4:$C$67,MATCH("G-7",Calculations!$O$4:$O$67,0)),""))</f>
        <v/>
      </c>
      <c r="O34" s="47" t="str">
        <f>IF(M34="","",IFERROR(INDEX(Calculations!$E$4:$E$67,MATCH("G-7",Calculations!$O$4:$O$67,0)),""))</f>
        <v/>
      </c>
      <c r="P34" s="47" t="str">
        <f>IF(M34="","",IFERROR(INDEX(Calculations!$F$4:$F$67,MATCH("G-7",Calculations!$O$4:$O$67,0)),""))</f>
        <v/>
      </c>
      <c r="Q34" s="47" t="str">
        <f>IF(M34="","",IFERROR(INDEX(Calculations!$G$4:$G$67,MATCH("G-7",Calculations!$O$4:$O$67,0)),""))</f>
        <v/>
      </c>
      <c r="R34" s="47" t="str">
        <f>IF(M34="","",IFERROR(INDEX(Calculations!$H$4:$H$67,MATCH("G-7",Calculations!$O$4:$O$67,0)),""))</f>
        <v/>
      </c>
      <c r="S34" s="47" t="str">
        <f>IF(M34="","",IFERROR(INDEX(Calculations!$I$4:$I$67,MATCH("G-7",Calculations!$O$4:$O$67,0)),""))</f>
        <v/>
      </c>
      <c r="T34" s="47" t="str">
        <f>IF(M34="","",IFERROR(INDEX(Calculations!$J$4:$J$67,MATCH("G-7",Calculations!$O$4:$O$67,0)),""))</f>
        <v/>
      </c>
      <c r="U34" s="47" t="str">
        <f>IF(M34="","",IFERROR(INDEX(Calculations!$K$4:$K$67,MATCH("G-7",Calculations!$O$4:$O$67,0)),""))</f>
        <v/>
      </c>
      <c r="V34" s="47" t="str">
        <f>IF(M34="","",IFERROR(INDEX(Calculations!$L$4:$L$67,MATCH("G-7",Calculations!$O$4:$O$67,0)),""))</f>
        <v/>
      </c>
    </row>
    <row r="35" spans="1:22">
      <c r="A35" s="47" t="str">
        <f>IF(OR(Setup!$B$6&lt;3,8&gt;Setup!$B$7),"",8)</f>
        <v/>
      </c>
      <c r="B35" s="55" t="str">
        <f>IF(A35="","",IFERROR(INDEX(Calculations!$C$4:$C$67,MATCH("C-8",Calculations!$O$4:$O$67,0)),""))</f>
        <v/>
      </c>
      <c r="C35" s="47" t="str">
        <f>IF(A35="","",IFERROR(INDEX(Calculations!$E$4:$E$67,MATCH("C-8",Calculations!$O$4:$O$67,0)),""))</f>
        <v/>
      </c>
      <c r="D35" s="47" t="str">
        <f>IF(A35="","",IFERROR(INDEX(Calculations!$F$4:$F$67,MATCH("C-8",Calculations!$O$4:$O$67,0)),""))</f>
        <v/>
      </c>
      <c r="E35" s="47" t="str">
        <f>IF(A35="","",IFERROR(INDEX(Calculations!$G$4:$G$67,MATCH("C-8",Calculations!$O$4:$O$67,0)),""))</f>
        <v/>
      </c>
      <c r="F35" s="47" t="str">
        <f>IF(A35="","",IFERROR(INDEX(Calculations!$H$4:$H$67,MATCH("C-8",Calculations!$O$4:$O$67,0)),""))</f>
        <v/>
      </c>
      <c r="G35" s="47" t="str">
        <f>IF(A35="","",IFERROR(INDEX(Calculations!$I$4:$I$67,MATCH("C-8",Calculations!$O$4:$O$67,0)),""))</f>
        <v/>
      </c>
      <c r="H35" s="47" t="str">
        <f>IF(A35="","",IFERROR(INDEX(Calculations!$J$4:$J$67,MATCH("C-8",Calculations!$O$4:$O$67,0)),""))</f>
        <v/>
      </c>
      <c r="I35" s="47" t="str">
        <f>IF(A35="","",IFERROR(INDEX(Calculations!$K$4:$K$67,MATCH("C-8",Calculations!$O$4:$O$67,0)),""))</f>
        <v/>
      </c>
      <c r="J35" s="47" t="str">
        <f>IF(A35="","",IFERROR(INDEX(Calculations!$L$4:$L$67,MATCH("C-8",Calculations!$O$4:$O$67,0)),""))</f>
        <v/>
      </c>
      <c r="K35" s="51"/>
      <c r="L35" s="51"/>
      <c r="M35" s="47" t="str">
        <f>IF(OR(Setup!$B$6&lt;7,8&gt;Setup!$B$7),"",8)</f>
        <v/>
      </c>
      <c r="N35" s="55" t="str">
        <f>IF(M35="","",IFERROR(INDEX(Calculations!$C$4:$C$67,MATCH("G-8",Calculations!$O$4:$O$67,0)),""))</f>
        <v/>
      </c>
      <c r="O35" s="47" t="str">
        <f>IF(M35="","",IFERROR(INDEX(Calculations!$E$4:$E$67,MATCH("G-8",Calculations!$O$4:$O$67,0)),""))</f>
        <v/>
      </c>
      <c r="P35" s="47" t="str">
        <f>IF(M35="","",IFERROR(INDEX(Calculations!$F$4:$F$67,MATCH("G-8",Calculations!$O$4:$O$67,0)),""))</f>
        <v/>
      </c>
      <c r="Q35" s="47" t="str">
        <f>IF(M35="","",IFERROR(INDEX(Calculations!$G$4:$G$67,MATCH("G-8",Calculations!$O$4:$O$67,0)),""))</f>
        <v/>
      </c>
      <c r="R35" s="47" t="str">
        <f>IF(M35="","",IFERROR(INDEX(Calculations!$H$4:$H$67,MATCH("G-8",Calculations!$O$4:$O$67,0)),""))</f>
        <v/>
      </c>
      <c r="S35" s="47" t="str">
        <f>IF(M35="","",IFERROR(INDEX(Calculations!$I$4:$I$67,MATCH("G-8",Calculations!$O$4:$O$67,0)),""))</f>
        <v/>
      </c>
      <c r="T35" s="47" t="str">
        <f>IF(M35="","",IFERROR(INDEX(Calculations!$J$4:$J$67,MATCH("G-8",Calculations!$O$4:$O$67,0)),""))</f>
        <v/>
      </c>
      <c r="U35" s="47" t="str">
        <f>IF(M35="","",IFERROR(INDEX(Calculations!$K$4:$K$67,MATCH("G-8",Calculations!$O$4:$O$67,0)),""))</f>
        <v/>
      </c>
      <c r="V35" s="47" t="str">
        <f>IF(M35="","",IFERROR(INDEX(Calculations!$L$4:$L$67,MATCH("G-8",Calculations!$O$4:$O$67,0)),""))</f>
        <v/>
      </c>
    </row>
    <row r="36" spans="1:22">
      <c r="A36" s="47"/>
      <c r="B36" s="55"/>
      <c r="C36" s="47"/>
      <c r="D36" s="47"/>
      <c r="E36" s="47"/>
      <c r="F36" s="47"/>
      <c r="G36" s="47"/>
      <c r="H36" s="47"/>
      <c r="I36" s="47"/>
      <c r="J36" s="47"/>
      <c r="K36" s="51"/>
      <c r="L36" s="51"/>
      <c r="M36" s="47"/>
      <c r="N36" s="55"/>
      <c r="O36" s="47"/>
      <c r="P36" s="47"/>
      <c r="Q36" s="47"/>
      <c r="R36" s="47"/>
      <c r="S36" s="47"/>
      <c r="T36" s="47"/>
      <c r="U36" s="47"/>
      <c r="V36" s="47"/>
    </row>
    <row r="37" spans="1:22">
      <c r="A37" s="60" t="str">
        <f>IF(Setup!$B$6&gt;=4,"Pool D","")</f>
        <v/>
      </c>
      <c r="B37" s="71"/>
      <c r="C37" s="60"/>
      <c r="D37" s="60"/>
      <c r="E37" s="60"/>
      <c r="F37" s="60"/>
      <c r="G37" s="60"/>
      <c r="H37" s="60"/>
      <c r="I37" s="60"/>
      <c r="J37" s="60"/>
      <c r="K37" s="51"/>
      <c r="L37" s="51"/>
      <c r="M37" s="60" t="str">
        <f>IF(Setup!$B$6&gt;=8,"Pool H","")</f>
        <v/>
      </c>
      <c r="N37" s="71"/>
      <c r="O37" s="60"/>
      <c r="P37" s="60"/>
      <c r="Q37" s="60"/>
      <c r="R37" s="60"/>
      <c r="S37" s="60"/>
      <c r="T37" s="60"/>
      <c r="U37" s="60"/>
      <c r="V37" s="60"/>
    </row>
    <row r="38" spans="1:22">
      <c r="A38" s="53" t="s">
        <v>248</v>
      </c>
      <c r="B38" s="54" t="s">
        <v>237</v>
      </c>
      <c r="C38" s="53" t="s">
        <v>238</v>
      </c>
      <c r="D38" s="53" t="s">
        <v>239</v>
      </c>
      <c r="E38" s="53" t="s">
        <v>71</v>
      </c>
      <c r="F38" s="53" t="s">
        <v>240</v>
      </c>
      <c r="G38" s="53" t="s">
        <v>241</v>
      </c>
      <c r="H38" s="53" t="s">
        <v>242</v>
      </c>
      <c r="I38" s="53" t="s">
        <v>243</v>
      </c>
      <c r="J38" s="53" t="s">
        <v>244</v>
      </c>
      <c r="K38" s="51"/>
      <c r="L38" s="51"/>
      <c r="M38" s="53" t="s">
        <v>248</v>
      </c>
      <c r="N38" s="54" t="s">
        <v>237</v>
      </c>
      <c r="O38" s="53" t="s">
        <v>238</v>
      </c>
      <c r="P38" s="53" t="s">
        <v>239</v>
      </c>
      <c r="Q38" s="53" t="s">
        <v>71</v>
      </c>
      <c r="R38" s="53" t="s">
        <v>240</v>
      </c>
      <c r="S38" s="53" t="s">
        <v>241</v>
      </c>
      <c r="T38" s="53" t="s">
        <v>242</v>
      </c>
      <c r="U38" s="53" t="s">
        <v>243</v>
      </c>
      <c r="V38" s="53" t="s">
        <v>244</v>
      </c>
    </row>
    <row r="39" spans="1:22">
      <c r="A39" s="51" t="str">
        <f>IF(OR(Setup!$B$6&lt;4,1&gt;Setup!$B$7),"",1)</f>
        <v/>
      </c>
      <c r="B39" s="51" t="str">
        <f>IF(A39="","",IFERROR(INDEX(Calculations!$C$4:$C$67,MATCH("D-1",Calculations!$O$4:$O$67,0)),""))</f>
        <v/>
      </c>
      <c r="C39" s="51" t="str">
        <f>IF(A39="","",IFERROR(INDEX(Calculations!$E$4:$E$67,MATCH("D-1",Calculations!$O$4:$O$67,0)),""))</f>
        <v/>
      </c>
      <c r="D39" s="51" t="str">
        <f>IF(A39="","",IFERROR(INDEX(Calculations!$F$4:$F$67,MATCH("D-1",Calculations!$O$4:$O$67,0)),""))</f>
        <v/>
      </c>
      <c r="E39" s="51" t="str">
        <f>IF(A39="","",IFERROR(INDEX(Calculations!$G$4:$G$67,MATCH("D-1",Calculations!$O$4:$O$67,0)),""))</f>
        <v/>
      </c>
      <c r="F39" s="51" t="str">
        <f>IF(A39="","",IFERROR(INDEX(Calculations!$H$4:$H$67,MATCH("D-1",Calculations!$O$4:$O$67,0)),""))</f>
        <v/>
      </c>
      <c r="G39" s="51" t="str">
        <f>IF(A39="","",IFERROR(INDEX(Calculations!$I$4:$I$67,MATCH("D-1",Calculations!$O$4:$O$67,0)),""))</f>
        <v/>
      </c>
      <c r="H39" s="51" t="str">
        <f>IF(A39="","",IFERROR(INDEX(Calculations!$J$4:$J$67,MATCH("D-1",Calculations!$O$4:$O$67,0)),""))</f>
        <v/>
      </c>
      <c r="I39" s="51" t="str">
        <f>IF(A39="","",IFERROR(INDEX(Calculations!$K$4:$K$67,MATCH("D-1",Calculations!$O$4:$O$67,0)),""))</f>
        <v/>
      </c>
      <c r="J39" s="51" t="str">
        <f>IF(A39="","",IFERROR(INDEX(Calculations!$L$4:$L$67,MATCH("D-1",Calculations!$O$4:$O$67,0)),""))</f>
        <v/>
      </c>
      <c r="K39" s="51"/>
      <c r="L39" s="51"/>
      <c r="M39" s="51" t="str">
        <f>IF(OR(Setup!$B$6&lt;8,1&gt;Setup!$B$7),"",1)</f>
        <v/>
      </c>
      <c r="N39" s="51" t="str">
        <f>IF(M39="","",IFERROR(INDEX(Calculations!$C$4:$C$67,MATCH("H-1",Calculations!$O$4:$O$67,0)),""))</f>
        <v/>
      </c>
      <c r="O39" s="51" t="str">
        <f>IF(M39="","",IFERROR(INDEX(Calculations!$E$4:$E$67,MATCH("H-1",Calculations!$O$4:$O$67,0)),""))</f>
        <v/>
      </c>
      <c r="P39" s="51" t="str">
        <f>IF(M39="","",IFERROR(INDEX(Calculations!$F$4:$F$67,MATCH("H-1",Calculations!$O$4:$O$67,0)),""))</f>
        <v/>
      </c>
      <c r="Q39" s="51" t="str">
        <f>IF(M39="","",IFERROR(INDEX(Calculations!$G$4:$G$67,MATCH("H-1",Calculations!$O$4:$O$67,0)),""))</f>
        <v/>
      </c>
      <c r="R39" s="51" t="str">
        <f>IF(M39="","",IFERROR(INDEX(Calculations!$H$4:$H$67,MATCH("H-1",Calculations!$O$4:$O$67,0)),""))</f>
        <v/>
      </c>
      <c r="S39" s="51" t="str">
        <f>IF(M39="","",IFERROR(INDEX(Calculations!$I$4:$I$67,MATCH("H-1",Calculations!$O$4:$O$67,0)),""))</f>
        <v/>
      </c>
      <c r="T39" s="51" t="str">
        <f>IF(M39="","",IFERROR(INDEX(Calculations!$J$4:$J$67,MATCH("H-1",Calculations!$O$4:$O$67,0)),""))</f>
        <v/>
      </c>
      <c r="U39" s="51" t="str">
        <f>IF(M39="","",IFERROR(INDEX(Calculations!$K$4:$K$67,MATCH("H-1",Calculations!$O$4:$O$67,0)),""))</f>
        <v/>
      </c>
      <c r="V39" s="51" t="str">
        <f>IF(M39="","",IFERROR(INDEX(Calculations!$L$4:$L$67,MATCH("H-1",Calculations!$O$4:$O$67,0)),""))</f>
        <v/>
      </c>
    </row>
    <row r="40" spans="1:22">
      <c r="A40" s="51" t="str">
        <f>IF(OR(Setup!$B$6&lt;4,2&gt;Setup!$B$7),"",2)</f>
        <v/>
      </c>
      <c r="B40" s="51" t="str">
        <f>IF(A40="","",IFERROR(INDEX(Calculations!$C$4:$C$67,MATCH("D-2",Calculations!$O$4:$O$67,0)),""))</f>
        <v/>
      </c>
      <c r="C40" s="51" t="str">
        <f>IF(A40="","",IFERROR(INDEX(Calculations!$E$4:$E$67,MATCH("D-2",Calculations!$O$4:$O$67,0)),""))</f>
        <v/>
      </c>
      <c r="D40" s="51" t="str">
        <f>IF(A40="","",IFERROR(INDEX(Calculations!$F$4:$F$67,MATCH("D-2",Calculations!$O$4:$O$67,0)),""))</f>
        <v/>
      </c>
      <c r="E40" s="51" t="str">
        <f>IF(A40="","",IFERROR(INDEX(Calculations!$G$4:$G$67,MATCH("D-2",Calculations!$O$4:$O$67,0)),""))</f>
        <v/>
      </c>
      <c r="F40" s="51" t="str">
        <f>IF(A40="","",IFERROR(INDEX(Calculations!$H$4:$H$67,MATCH("D-2",Calculations!$O$4:$O$67,0)),""))</f>
        <v/>
      </c>
      <c r="G40" s="51" t="str">
        <f>IF(A40="","",IFERROR(INDEX(Calculations!$I$4:$I$67,MATCH("D-2",Calculations!$O$4:$O$67,0)),""))</f>
        <v/>
      </c>
      <c r="H40" s="51" t="str">
        <f>IF(A40="","",IFERROR(INDEX(Calculations!$J$4:$J$67,MATCH("D-2",Calculations!$O$4:$O$67,0)),""))</f>
        <v/>
      </c>
      <c r="I40" s="51" t="str">
        <f>IF(A40="","",IFERROR(INDEX(Calculations!$K$4:$K$67,MATCH("D-2",Calculations!$O$4:$O$67,0)),""))</f>
        <v/>
      </c>
      <c r="J40" s="51" t="str">
        <f>IF(A40="","",IFERROR(INDEX(Calculations!$L$4:$L$67,MATCH("D-2",Calculations!$O$4:$O$67,0)),""))</f>
        <v/>
      </c>
      <c r="K40" s="51"/>
      <c r="L40" s="51"/>
      <c r="M40" s="51" t="str">
        <f>IF(OR(Setup!$B$6&lt;8,2&gt;Setup!$B$7),"",2)</f>
        <v/>
      </c>
      <c r="N40" s="51" t="str">
        <f>IF(M40="","",IFERROR(INDEX(Calculations!$C$4:$C$67,MATCH("H-2",Calculations!$O$4:$O$67,0)),""))</f>
        <v/>
      </c>
      <c r="O40" s="51" t="str">
        <f>IF(M40="","",IFERROR(INDEX(Calculations!$E$4:$E$67,MATCH("H-2",Calculations!$O$4:$O$67,0)),""))</f>
        <v/>
      </c>
      <c r="P40" s="51" t="str">
        <f>IF(M40="","",IFERROR(INDEX(Calculations!$F$4:$F$67,MATCH("H-2",Calculations!$O$4:$O$67,0)),""))</f>
        <v/>
      </c>
      <c r="Q40" s="51" t="str">
        <f>IF(M40="","",IFERROR(INDEX(Calculations!$G$4:$G$67,MATCH("H-2",Calculations!$O$4:$O$67,0)),""))</f>
        <v/>
      </c>
      <c r="R40" s="51" t="str">
        <f>IF(M40="","",IFERROR(INDEX(Calculations!$H$4:$H$67,MATCH("H-2",Calculations!$O$4:$O$67,0)),""))</f>
        <v/>
      </c>
      <c r="S40" s="51" t="str">
        <f>IF(M40="","",IFERROR(INDEX(Calculations!$I$4:$I$67,MATCH("H-2",Calculations!$O$4:$O$67,0)),""))</f>
        <v/>
      </c>
      <c r="T40" s="51" t="str">
        <f>IF(M40="","",IFERROR(INDEX(Calculations!$J$4:$J$67,MATCH("H-2",Calculations!$O$4:$O$67,0)),""))</f>
        <v/>
      </c>
      <c r="U40" s="51" t="str">
        <f>IF(M40="","",IFERROR(INDEX(Calculations!$K$4:$K$67,MATCH("H-2",Calculations!$O$4:$O$67,0)),""))</f>
        <v/>
      </c>
      <c r="V40" s="51" t="str">
        <f>IF(M40="","",IFERROR(INDEX(Calculations!$L$4:$L$67,MATCH("H-2",Calculations!$O$4:$O$67,0)),""))</f>
        <v/>
      </c>
    </row>
    <row r="41" spans="1:22">
      <c r="A41" s="51" t="str">
        <f>IF(OR(Setup!$B$6&lt;4,3&gt;Setup!$B$7),"",3)</f>
        <v/>
      </c>
      <c r="B41" s="51" t="str">
        <f>IF(A41="","",IFERROR(INDEX(Calculations!$C$4:$C$67,MATCH("D-3",Calculations!$O$4:$O$67,0)),""))</f>
        <v/>
      </c>
      <c r="C41" s="51" t="str">
        <f>IF(A41="","",IFERROR(INDEX(Calculations!$E$4:$E$67,MATCH("D-3",Calculations!$O$4:$O$67,0)),""))</f>
        <v/>
      </c>
      <c r="D41" s="51" t="str">
        <f>IF(A41="","",IFERROR(INDEX(Calculations!$F$4:$F$67,MATCH("D-3",Calculations!$O$4:$O$67,0)),""))</f>
        <v/>
      </c>
      <c r="E41" s="51" t="str">
        <f>IF(A41="","",IFERROR(INDEX(Calculations!$G$4:$G$67,MATCH("D-3",Calculations!$O$4:$O$67,0)),""))</f>
        <v/>
      </c>
      <c r="F41" s="51" t="str">
        <f>IF(A41="","",IFERROR(INDEX(Calculations!$H$4:$H$67,MATCH("D-3",Calculations!$O$4:$O$67,0)),""))</f>
        <v/>
      </c>
      <c r="G41" s="51" t="str">
        <f>IF(A41="","",IFERROR(INDEX(Calculations!$I$4:$I$67,MATCH("D-3",Calculations!$O$4:$O$67,0)),""))</f>
        <v/>
      </c>
      <c r="H41" s="51" t="str">
        <f>IF(A41="","",IFERROR(INDEX(Calculations!$J$4:$J$67,MATCH("D-3",Calculations!$O$4:$O$67,0)),""))</f>
        <v/>
      </c>
      <c r="I41" s="51" t="str">
        <f>IF(A41="","",IFERROR(INDEX(Calculations!$K$4:$K$67,MATCH("D-3",Calculations!$O$4:$O$67,0)),""))</f>
        <v/>
      </c>
      <c r="J41" s="51" t="str">
        <f>IF(A41="","",IFERROR(INDEX(Calculations!$L$4:$L$67,MATCH("D-3",Calculations!$O$4:$O$67,0)),""))</f>
        <v/>
      </c>
      <c r="K41" s="51"/>
      <c r="L41" s="51"/>
      <c r="M41" s="51" t="str">
        <f>IF(OR(Setup!$B$6&lt;8,3&gt;Setup!$B$7),"",3)</f>
        <v/>
      </c>
      <c r="N41" s="51" t="str">
        <f>IF(M41="","",IFERROR(INDEX(Calculations!$C$4:$C$67,MATCH("H-3",Calculations!$O$4:$O$67,0)),""))</f>
        <v/>
      </c>
      <c r="O41" s="51" t="str">
        <f>IF(M41="","",IFERROR(INDEX(Calculations!$E$4:$E$67,MATCH("H-3",Calculations!$O$4:$O$67,0)),""))</f>
        <v/>
      </c>
      <c r="P41" s="51" t="str">
        <f>IF(M41="","",IFERROR(INDEX(Calculations!$F$4:$F$67,MATCH("H-3",Calculations!$O$4:$O$67,0)),""))</f>
        <v/>
      </c>
      <c r="Q41" s="51" t="str">
        <f>IF(M41="","",IFERROR(INDEX(Calculations!$G$4:$G$67,MATCH("H-3",Calculations!$O$4:$O$67,0)),""))</f>
        <v/>
      </c>
      <c r="R41" s="51" t="str">
        <f>IF(M41="","",IFERROR(INDEX(Calculations!$H$4:$H$67,MATCH("H-3",Calculations!$O$4:$O$67,0)),""))</f>
        <v/>
      </c>
      <c r="S41" s="51" t="str">
        <f>IF(M41="","",IFERROR(INDEX(Calculations!$I$4:$I$67,MATCH("H-3",Calculations!$O$4:$O$67,0)),""))</f>
        <v/>
      </c>
      <c r="T41" s="51" t="str">
        <f>IF(M41="","",IFERROR(INDEX(Calculations!$J$4:$J$67,MATCH("H-3",Calculations!$O$4:$O$67,0)),""))</f>
        <v/>
      </c>
      <c r="U41" s="51" t="str">
        <f>IF(M41="","",IFERROR(INDEX(Calculations!$K$4:$K$67,MATCH("H-3",Calculations!$O$4:$O$67,0)),""))</f>
        <v/>
      </c>
      <c r="V41" s="51" t="str">
        <f>IF(M41="","",IFERROR(INDEX(Calculations!$L$4:$L$67,MATCH("H-3",Calculations!$O$4:$O$67,0)),""))</f>
        <v/>
      </c>
    </row>
    <row r="42" spans="1:22">
      <c r="A42" s="50" t="str">
        <f>IF(OR(Setup!$B$6&lt;4,4&gt;Setup!$B$7),"",4)</f>
        <v/>
      </c>
      <c r="B42" s="50" t="str">
        <f>IF(A42="","",IFERROR(INDEX(Calculations!$C$4:$C$67,MATCH("D-4",Calculations!$O$4:$O$67,0)),""))</f>
        <v/>
      </c>
      <c r="C42" s="50" t="str">
        <f>IF(A42="","",IFERROR(INDEX(Calculations!$E$4:$E$67,MATCH("D-4",Calculations!$O$4:$O$67,0)),""))</f>
        <v/>
      </c>
      <c r="D42" s="50" t="str">
        <f>IF(A42="","",IFERROR(INDEX(Calculations!$F$4:$F$67,MATCH("D-4",Calculations!$O$4:$O$67,0)),""))</f>
        <v/>
      </c>
      <c r="E42" s="50" t="str">
        <f>IF(A42="","",IFERROR(INDEX(Calculations!$G$4:$G$67,MATCH("D-4",Calculations!$O$4:$O$67,0)),""))</f>
        <v/>
      </c>
      <c r="F42" s="50" t="str">
        <f>IF(A42="","",IFERROR(INDEX(Calculations!$H$4:$H$67,MATCH("D-4",Calculations!$O$4:$O$67,0)),""))</f>
        <v/>
      </c>
      <c r="G42" s="50" t="str">
        <f>IF(A42="","",IFERROR(INDEX(Calculations!$I$4:$I$67,MATCH("D-4",Calculations!$O$4:$O$67,0)),""))</f>
        <v/>
      </c>
      <c r="H42" s="50" t="str">
        <f>IF(A42="","",IFERROR(INDEX(Calculations!$J$4:$J$67,MATCH("D-4",Calculations!$O$4:$O$67,0)),""))</f>
        <v/>
      </c>
      <c r="I42" s="50" t="str">
        <f>IF(A42="","",IFERROR(INDEX(Calculations!$K$4:$K$67,MATCH("D-4",Calculations!$O$4:$O$67,0)),""))</f>
        <v/>
      </c>
      <c r="J42" s="50" t="str">
        <f>IF(A42="","",IFERROR(INDEX(Calculations!$L$4:$L$67,MATCH("D-4",Calculations!$O$4:$O$67,0)),""))</f>
        <v/>
      </c>
      <c r="K42" s="51"/>
      <c r="L42" s="51"/>
      <c r="M42" s="50" t="str">
        <f>IF(OR(Setup!$B$6&lt;8,4&gt;Setup!$B$7),"",4)</f>
        <v/>
      </c>
      <c r="N42" s="50" t="str">
        <f>IF(M42="","",IFERROR(INDEX(Calculations!$C$4:$C$67,MATCH("H-4",Calculations!$O$4:$O$67,0)),""))</f>
        <v/>
      </c>
      <c r="O42" s="50" t="str">
        <f>IF(M42="","",IFERROR(INDEX(Calculations!$E$4:$E$67,MATCH("H-4",Calculations!$O$4:$O$67,0)),""))</f>
        <v/>
      </c>
      <c r="P42" s="50" t="str">
        <f>IF(M42="","",IFERROR(INDEX(Calculations!$F$4:$F$67,MATCH("H-4",Calculations!$O$4:$O$67,0)),""))</f>
        <v/>
      </c>
      <c r="Q42" s="50" t="str">
        <f>IF(M42="","",IFERROR(INDEX(Calculations!$G$4:$G$67,MATCH("H-4",Calculations!$O$4:$O$67,0)),""))</f>
        <v/>
      </c>
      <c r="R42" s="50" t="str">
        <f>IF(M42="","",IFERROR(INDEX(Calculations!$H$4:$H$67,MATCH("H-4",Calculations!$O$4:$O$67,0)),""))</f>
        <v/>
      </c>
      <c r="S42" s="50" t="str">
        <f>IF(M42="","",IFERROR(INDEX(Calculations!$I$4:$I$67,MATCH("H-4",Calculations!$O$4:$O$67,0)),""))</f>
        <v/>
      </c>
      <c r="T42" s="50" t="str">
        <f>IF(M42="","",IFERROR(INDEX(Calculations!$J$4:$J$67,MATCH("H-4",Calculations!$O$4:$O$67,0)),""))</f>
        <v/>
      </c>
      <c r="U42" s="50" t="str">
        <f>IF(M42="","",IFERROR(INDEX(Calculations!$K$4:$K$67,MATCH("H-4",Calculations!$O$4:$O$67,0)),""))</f>
        <v/>
      </c>
      <c r="V42" s="50" t="str">
        <f>IF(M42="","",IFERROR(INDEX(Calculations!$L$4:$L$67,MATCH("H-4",Calculations!$O$4:$O$67,0)),""))</f>
        <v/>
      </c>
    </row>
    <row r="43" spans="1:22">
      <c r="A43" s="58" t="str">
        <f>IF(OR(Setup!$B$6&lt;4,5&gt;Setup!$B$7),"",5)</f>
        <v/>
      </c>
      <c r="B43" s="58" t="str">
        <f>IF(A43="","",IFERROR(INDEX(Calculations!$C$4:$C$67,MATCH("D-5",Calculations!$O$4:$O$67,0)),""))</f>
        <v/>
      </c>
      <c r="C43" s="58" t="str">
        <f>IF(A43="","",IFERROR(INDEX(Calculations!$E$4:$E$67,MATCH("D-5",Calculations!$O$4:$O$67,0)),""))</f>
        <v/>
      </c>
      <c r="D43" s="58" t="str">
        <f>IF(A43="","",IFERROR(INDEX(Calculations!$F$4:$F$67,MATCH("D-5",Calculations!$O$4:$O$67,0)),""))</f>
        <v/>
      </c>
      <c r="E43" s="58" t="str">
        <f>IF(A43="","",IFERROR(INDEX(Calculations!$G$4:$G$67,MATCH("D-5",Calculations!$O$4:$O$67,0)),""))</f>
        <v/>
      </c>
      <c r="F43" s="58" t="str">
        <f>IF(A43="","",IFERROR(INDEX(Calculations!$H$4:$H$67,MATCH("D-5",Calculations!$O$4:$O$67,0)),""))</f>
        <v/>
      </c>
      <c r="G43" s="58" t="str">
        <f>IF(A43="","",IFERROR(INDEX(Calculations!$I$4:$I$67,MATCH("D-5",Calculations!$O$4:$O$67,0)),""))</f>
        <v/>
      </c>
      <c r="H43" s="58" t="str">
        <f>IF(A43="","",IFERROR(INDEX(Calculations!$J$4:$J$67,MATCH("D-5",Calculations!$O$4:$O$67,0)),""))</f>
        <v/>
      </c>
      <c r="I43" s="58" t="str">
        <f>IF(A43="","",IFERROR(INDEX(Calculations!$K$4:$K$67,MATCH("D-5",Calculations!$O$4:$O$67,0)),""))</f>
        <v/>
      </c>
      <c r="J43" s="58" t="str">
        <f>IF(A43="","",IFERROR(INDEX(Calculations!$L$4:$L$67,MATCH("D-5",Calculations!$O$4:$O$67,0)),""))</f>
        <v/>
      </c>
      <c r="K43" s="51"/>
      <c r="L43" s="51"/>
      <c r="M43" s="58" t="str">
        <f>IF(OR(Setup!$B$6&lt;8,5&gt;Setup!$B$7),"",5)</f>
        <v/>
      </c>
      <c r="N43" s="58" t="str">
        <f>IF(M43="","",IFERROR(INDEX(Calculations!$C$4:$C$67,MATCH("H-5",Calculations!$O$4:$O$67,0)),""))</f>
        <v/>
      </c>
      <c r="O43" s="58" t="str">
        <f>IF(M43="","",IFERROR(INDEX(Calculations!$E$4:$E$67,MATCH("H-5",Calculations!$O$4:$O$67,0)),""))</f>
        <v/>
      </c>
      <c r="P43" s="58" t="str">
        <f>IF(M43="","",IFERROR(INDEX(Calculations!$F$4:$F$67,MATCH("H-5",Calculations!$O$4:$O$67,0)),""))</f>
        <v/>
      </c>
      <c r="Q43" s="58" t="str">
        <f>IF(M43="","",IFERROR(INDEX(Calculations!$G$4:$G$67,MATCH("H-5",Calculations!$O$4:$O$67,0)),""))</f>
        <v/>
      </c>
      <c r="R43" s="58" t="str">
        <f>IF(M43="","",IFERROR(INDEX(Calculations!$H$4:$H$67,MATCH("H-5",Calculations!$O$4:$O$67,0)),""))</f>
        <v/>
      </c>
      <c r="S43" s="58" t="str">
        <f>IF(M43="","",IFERROR(INDEX(Calculations!$I$4:$I$67,MATCH("H-5",Calculations!$O$4:$O$67,0)),""))</f>
        <v/>
      </c>
      <c r="T43" s="58" t="str">
        <f>IF(M43="","",IFERROR(INDEX(Calculations!$J$4:$J$67,MATCH("H-5",Calculations!$O$4:$O$67,0)),""))</f>
        <v/>
      </c>
      <c r="U43" s="58" t="str">
        <f>IF(M43="","",IFERROR(INDEX(Calculations!$K$4:$K$67,MATCH("H-5",Calculations!$O$4:$O$67,0)),""))</f>
        <v/>
      </c>
      <c r="V43" s="58" t="str">
        <f>IF(M43="","",IFERROR(INDEX(Calculations!$L$4:$L$67,MATCH("H-5",Calculations!$O$4:$O$67,0)),""))</f>
        <v/>
      </c>
    </row>
    <row r="44" spans="1:22">
      <c r="A44" s="47" t="str">
        <f>IF(OR(Setup!$B$6&lt;4,6&gt;Setup!$B$7),"",6)</f>
        <v/>
      </c>
      <c r="B44" s="55" t="str">
        <f>IF(A44="","",IFERROR(INDEX(Calculations!$C$4:$C$67,MATCH("D-6",Calculations!$O$4:$O$67,0)),""))</f>
        <v/>
      </c>
      <c r="C44" s="47" t="str">
        <f>IF(A44="","",IFERROR(INDEX(Calculations!$E$4:$E$67,MATCH("D-6",Calculations!$O$4:$O$67,0)),""))</f>
        <v/>
      </c>
      <c r="D44" s="47" t="str">
        <f>IF(A44="","",IFERROR(INDEX(Calculations!$F$4:$F$67,MATCH("D-6",Calculations!$O$4:$O$67,0)),""))</f>
        <v/>
      </c>
      <c r="E44" s="47" t="str">
        <f>IF(A44="","",IFERROR(INDEX(Calculations!$G$4:$G$67,MATCH("D-6",Calculations!$O$4:$O$67,0)),""))</f>
        <v/>
      </c>
      <c r="F44" s="47" t="str">
        <f>IF(A44="","",IFERROR(INDEX(Calculations!$H$4:$H$67,MATCH("D-6",Calculations!$O$4:$O$67,0)),""))</f>
        <v/>
      </c>
      <c r="G44" s="47" t="str">
        <f>IF(A44="","",IFERROR(INDEX(Calculations!$I$4:$I$67,MATCH("D-6",Calculations!$O$4:$O$67,0)),""))</f>
        <v/>
      </c>
      <c r="H44" s="47" t="str">
        <f>IF(A44="","",IFERROR(INDEX(Calculations!$J$4:$J$67,MATCH("D-6",Calculations!$O$4:$O$67,0)),""))</f>
        <v/>
      </c>
      <c r="I44" s="47" t="str">
        <f>IF(A44="","",IFERROR(INDEX(Calculations!$K$4:$K$67,MATCH("D-6",Calculations!$O$4:$O$67,0)),""))</f>
        <v/>
      </c>
      <c r="J44" s="47" t="str">
        <f>IF(A44="","",IFERROR(INDEX(Calculations!$L$4:$L$67,MATCH("D-6",Calculations!$O$4:$O$67,0)),""))</f>
        <v/>
      </c>
      <c r="K44" s="51"/>
      <c r="L44" s="51"/>
      <c r="M44" s="47" t="str">
        <f>IF(OR(Setup!$B$6&lt;8,6&gt;Setup!$B$7),"",6)</f>
        <v/>
      </c>
      <c r="N44" s="55" t="str">
        <f>IF(M44="","",IFERROR(INDEX(Calculations!$C$4:$C$67,MATCH("H-6",Calculations!$O$4:$O$67,0)),""))</f>
        <v/>
      </c>
      <c r="O44" s="47" t="str">
        <f>IF(M44="","",IFERROR(INDEX(Calculations!$E$4:$E$67,MATCH("H-6",Calculations!$O$4:$O$67,0)),""))</f>
        <v/>
      </c>
      <c r="P44" s="47" t="str">
        <f>IF(M44="","",IFERROR(INDEX(Calculations!$F$4:$F$67,MATCH("H-6",Calculations!$O$4:$O$67,0)),""))</f>
        <v/>
      </c>
      <c r="Q44" s="47" t="str">
        <f>IF(M44="","",IFERROR(INDEX(Calculations!$G$4:$G$67,MATCH("H-6",Calculations!$O$4:$O$67,0)),""))</f>
        <v/>
      </c>
      <c r="R44" s="47" t="str">
        <f>IF(M44="","",IFERROR(INDEX(Calculations!$H$4:$H$67,MATCH("H-6",Calculations!$O$4:$O$67,0)),""))</f>
        <v/>
      </c>
      <c r="S44" s="47" t="str">
        <f>IF(M44="","",IFERROR(INDEX(Calculations!$I$4:$I$67,MATCH("H-6",Calculations!$O$4:$O$67,0)),""))</f>
        <v/>
      </c>
      <c r="T44" s="47" t="str">
        <f>IF(M44="","",IFERROR(INDEX(Calculations!$J$4:$J$67,MATCH("H-6",Calculations!$O$4:$O$67,0)),""))</f>
        <v/>
      </c>
      <c r="U44" s="47" t="str">
        <f>IF(M44="","",IFERROR(INDEX(Calculations!$K$4:$K$67,MATCH("H-6",Calculations!$O$4:$O$67,0)),""))</f>
        <v/>
      </c>
      <c r="V44" s="47" t="str">
        <f>IF(M44="","",IFERROR(INDEX(Calculations!$L$4:$L$67,MATCH("H-6",Calculations!$O$4:$O$67,0)),""))</f>
        <v/>
      </c>
    </row>
    <row r="45" spans="1:22">
      <c r="A45" s="47" t="str">
        <f>IF(OR(Setup!$B$6&lt;4,7&gt;Setup!$B$7),"",7)</f>
        <v/>
      </c>
      <c r="B45" s="55" t="str">
        <f>IF(A45="","",IFERROR(INDEX(Calculations!$C$4:$C$67,MATCH("D-7",Calculations!$O$4:$O$67,0)),""))</f>
        <v/>
      </c>
      <c r="C45" s="47" t="str">
        <f>IF(A45="","",IFERROR(INDEX(Calculations!$E$4:$E$67,MATCH("D-7",Calculations!$O$4:$O$67,0)),""))</f>
        <v/>
      </c>
      <c r="D45" s="47" t="str">
        <f>IF(A45="","",IFERROR(INDEX(Calculations!$F$4:$F$67,MATCH("D-7",Calculations!$O$4:$O$67,0)),""))</f>
        <v/>
      </c>
      <c r="E45" s="47" t="str">
        <f>IF(A45="","",IFERROR(INDEX(Calculations!$G$4:$G$67,MATCH("D-7",Calculations!$O$4:$O$67,0)),""))</f>
        <v/>
      </c>
      <c r="F45" s="47" t="str">
        <f>IF(A45="","",IFERROR(INDEX(Calculations!$H$4:$H$67,MATCH("D-7",Calculations!$O$4:$O$67,0)),""))</f>
        <v/>
      </c>
      <c r="G45" s="47" t="str">
        <f>IF(A45="","",IFERROR(INDEX(Calculations!$I$4:$I$67,MATCH("D-7",Calculations!$O$4:$O$67,0)),""))</f>
        <v/>
      </c>
      <c r="H45" s="47" t="str">
        <f>IF(A45="","",IFERROR(INDEX(Calculations!$J$4:$J$67,MATCH("D-7",Calculations!$O$4:$O$67,0)),""))</f>
        <v/>
      </c>
      <c r="I45" s="47" t="str">
        <f>IF(A45="","",IFERROR(INDEX(Calculations!$K$4:$K$67,MATCH("D-7",Calculations!$O$4:$O$67,0)),""))</f>
        <v/>
      </c>
      <c r="J45" s="47" t="str">
        <f>IF(A45="","",IFERROR(INDEX(Calculations!$L$4:$L$67,MATCH("D-7",Calculations!$O$4:$O$67,0)),""))</f>
        <v/>
      </c>
      <c r="K45" s="51"/>
      <c r="L45" s="51"/>
      <c r="M45" s="47" t="str">
        <f>IF(OR(Setup!$B$6&lt;8,7&gt;Setup!$B$7),"",7)</f>
        <v/>
      </c>
      <c r="N45" s="55" t="str">
        <f>IF(M45="","",IFERROR(INDEX(Calculations!$C$4:$C$67,MATCH("H-7",Calculations!$O$4:$O$67,0)),""))</f>
        <v/>
      </c>
      <c r="O45" s="47" t="str">
        <f>IF(M45="","",IFERROR(INDEX(Calculations!$E$4:$E$67,MATCH("H-7",Calculations!$O$4:$O$67,0)),""))</f>
        <v/>
      </c>
      <c r="P45" s="47" t="str">
        <f>IF(M45="","",IFERROR(INDEX(Calculations!$F$4:$F$67,MATCH("H-7",Calculations!$O$4:$O$67,0)),""))</f>
        <v/>
      </c>
      <c r="Q45" s="47" t="str">
        <f>IF(M45="","",IFERROR(INDEX(Calculations!$G$4:$G$67,MATCH("H-7",Calculations!$O$4:$O$67,0)),""))</f>
        <v/>
      </c>
      <c r="R45" s="47" t="str">
        <f>IF(M45="","",IFERROR(INDEX(Calculations!$H$4:$H$67,MATCH("H-7",Calculations!$O$4:$O$67,0)),""))</f>
        <v/>
      </c>
      <c r="S45" s="47" t="str">
        <f>IF(M45="","",IFERROR(INDEX(Calculations!$I$4:$I$67,MATCH("H-7",Calculations!$O$4:$O$67,0)),""))</f>
        <v/>
      </c>
      <c r="T45" s="47" t="str">
        <f>IF(M45="","",IFERROR(INDEX(Calculations!$J$4:$J$67,MATCH("H-7",Calculations!$O$4:$O$67,0)),""))</f>
        <v/>
      </c>
      <c r="U45" s="47" t="str">
        <f>IF(M45="","",IFERROR(INDEX(Calculations!$K$4:$K$67,MATCH("H-7",Calculations!$O$4:$O$67,0)),""))</f>
        <v/>
      </c>
      <c r="V45" s="47" t="str">
        <f>IF(M45="","",IFERROR(INDEX(Calculations!$L$4:$L$67,MATCH("H-7",Calculations!$O$4:$O$67,0)),""))</f>
        <v/>
      </c>
    </row>
    <row r="46" spans="1:22">
      <c r="A46" s="47" t="str">
        <f>IF(OR(Setup!$B$6&lt;4,8&gt;Setup!$B$7),"",8)</f>
        <v/>
      </c>
      <c r="B46" s="55" t="str">
        <f>IF(A46="","",IFERROR(INDEX(Calculations!$C$4:$C$67,MATCH("D-8",Calculations!$O$4:$O$67,0)),""))</f>
        <v/>
      </c>
      <c r="C46" s="47" t="str">
        <f>IF(A46="","",IFERROR(INDEX(Calculations!$E$4:$E$67,MATCH("D-8",Calculations!$O$4:$O$67,0)),""))</f>
        <v/>
      </c>
      <c r="D46" s="47" t="str">
        <f>IF(A46="","",IFERROR(INDEX(Calculations!$F$4:$F$67,MATCH("D-8",Calculations!$O$4:$O$67,0)),""))</f>
        <v/>
      </c>
      <c r="E46" s="47" t="str">
        <f>IF(A46="","",IFERROR(INDEX(Calculations!$G$4:$G$67,MATCH("D-8",Calculations!$O$4:$O$67,0)),""))</f>
        <v/>
      </c>
      <c r="F46" s="47" t="str">
        <f>IF(A46="","",IFERROR(INDEX(Calculations!$H$4:$H$67,MATCH("D-8",Calculations!$O$4:$O$67,0)),""))</f>
        <v/>
      </c>
      <c r="G46" s="47" t="str">
        <f>IF(A46="","",IFERROR(INDEX(Calculations!$I$4:$I$67,MATCH("D-8",Calculations!$O$4:$O$67,0)),""))</f>
        <v/>
      </c>
      <c r="H46" s="47" t="str">
        <f>IF(A46="","",IFERROR(INDEX(Calculations!$J$4:$J$67,MATCH("D-8",Calculations!$O$4:$O$67,0)),""))</f>
        <v/>
      </c>
      <c r="I46" s="47" t="str">
        <f>IF(A46="","",IFERROR(INDEX(Calculations!$K$4:$K$67,MATCH("D-8",Calculations!$O$4:$O$67,0)),""))</f>
        <v/>
      </c>
      <c r="J46" s="47" t="str">
        <f>IF(A46="","",IFERROR(INDEX(Calculations!$L$4:$L$67,MATCH("D-8",Calculations!$O$4:$O$67,0)),""))</f>
        <v/>
      </c>
      <c r="K46" s="51"/>
      <c r="L46" s="51"/>
      <c r="M46" s="47" t="str">
        <f>IF(OR(Setup!$B$6&lt;8,8&gt;Setup!$B$7),"",8)</f>
        <v/>
      </c>
      <c r="N46" s="55" t="str">
        <f>IF(M46="","",IFERROR(INDEX(Calculations!$C$4:$C$67,MATCH("H-8",Calculations!$O$4:$O$67,0)),""))</f>
        <v/>
      </c>
      <c r="O46" s="47" t="str">
        <f>IF(M46="","",IFERROR(INDEX(Calculations!$E$4:$E$67,MATCH("H-8",Calculations!$O$4:$O$67,0)),""))</f>
        <v/>
      </c>
      <c r="P46" s="47" t="str">
        <f>IF(M46="","",IFERROR(INDEX(Calculations!$F$4:$F$67,MATCH("H-8",Calculations!$O$4:$O$67,0)),""))</f>
        <v/>
      </c>
      <c r="Q46" s="47" t="str">
        <f>IF(M46="","",IFERROR(INDEX(Calculations!$G$4:$G$67,MATCH("H-8",Calculations!$O$4:$O$67,0)),""))</f>
        <v/>
      </c>
      <c r="R46" s="47" t="str">
        <f>IF(M46="","",IFERROR(INDEX(Calculations!$H$4:$H$67,MATCH("H-8",Calculations!$O$4:$O$67,0)),""))</f>
        <v/>
      </c>
      <c r="S46" s="47" t="str">
        <f>IF(M46="","",IFERROR(INDEX(Calculations!$I$4:$I$67,MATCH("H-8",Calculations!$O$4:$O$67,0)),""))</f>
        <v/>
      </c>
      <c r="T46" s="47" t="str">
        <f>IF(M46="","",IFERROR(INDEX(Calculations!$J$4:$J$67,MATCH("H-8",Calculations!$O$4:$O$67,0)),""))</f>
        <v/>
      </c>
      <c r="U46" s="47" t="str">
        <f>IF(M46="","",IFERROR(INDEX(Calculations!$K$4:$K$67,MATCH("H-8",Calculations!$O$4:$O$67,0)),""))</f>
        <v/>
      </c>
      <c r="V46" s="47" t="str">
        <f>IF(M46="","",IFERROR(INDEX(Calculations!$L$4:$L$67,MATCH("H-8",Calculations!$O$4:$O$67,0)),""))</f>
        <v/>
      </c>
    </row>
    <row r="47" spans="1:22">
      <c r="A47" s="47"/>
      <c r="B47" s="55"/>
      <c r="C47" s="47"/>
      <c r="D47" s="47"/>
      <c r="E47" s="47"/>
      <c r="F47" s="47"/>
      <c r="G47" s="47"/>
      <c r="H47" s="47"/>
      <c r="I47" s="47"/>
      <c r="J47" s="47"/>
      <c r="K47" s="51"/>
      <c r="L47" s="51"/>
      <c r="M47" s="47"/>
      <c r="N47" s="55"/>
      <c r="O47" s="47"/>
      <c r="P47" s="47"/>
      <c r="Q47" s="47"/>
      <c r="R47" s="47"/>
      <c r="S47" s="47"/>
      <c r="T47" s="47"/>
      <c r="U47" s="47"/>
      <c r="V47" s="47"/>
    </row>
    <row r="48" spans="1:22">
      <c r="A48" s="47"/>
      <c r="B48" s="55"/>
      <c r="C48" s="47"/>
      <c r="D48" s="47"/>
      <c r="E48" s="47"/>
      <c r="F48" s="47"/>
      <c r="G48" s="47"/>
      <c r="H48" s="47"/>
      <c r="I48" s="47"/>
      <c r="J48" s="47"/>
      <c r="K48" s="51"/>
      <c r="L48" s="51"/>
      <c r="M48" s="47"/>
      <c r="N48" s="55"/>
      <c r="O48" s="47"/>
      <c r="P48" s="47"/>
      <c r="Q48" s="47"/>
      <c r="R48" s="47"/>
      <c r="S48" s="47"/>
      <c r="T48" s="47"/>
      <c r="U48" s="47"/>
      <c r="V48" s="47"/>
    </row>
    <row r="49" spans="1:22">
      <c r="A49" s="47"/>
      <c r="B49" s="55"/>
      <c r="C49" s="47"/>
      <c r="D49" s="47"/>
      <c r="E49" s="47"/>
      <c r="F49" s="47"/>
      <c r="G49" s="47"/>
      <c r="H49" s="47"/>
      <c r="I49" s="47"/>
      <c r="J49" s="47"/>
      <c r="K49" s="51"/>
      <c r="L49" s="51"/>
      <c r="M49" s="47"/>
      <c r="N49" s="55"/>
      <c r="O49" s="47"/>
      <c r="P49" s="47"/>
      <c r="Q49" s="47"/>
      <c r="R49" s="47"/>
      <c r="S49" s="47"/>
      <c r="T49" s="47"/>
      <c r="U49" s="47"/>
      <c r="V49" s="47"/>
    </row>
    <row r="50" spans="1:22">
      <c r="A50" s="47"/>
      <c r="B50" s="55"/>
      <c r="C50" s="47"/>
      <c r="D50" s="47"/>
      <c r="E50" s="47"/>
      <c r="F50" s="47"/>
      <c r="G50" s="47"/>
      <c r="H50" s="47"/>
      <c r="I50" s="47"/>
      <c r="J50" s="47"/>
      <c r="K50" s="51"/>
      <c r="L50" s="51"/>
      <c r="M50" s="47"/>
      <c r="N50" s="55"/>
      <c r="O50" s="47"/>
      <c r="P50" s="47"/>
      <c r="Q50" s="47"/>
      <c r="R50" s="47"/>
      <c r="S50" s="47"/>
      <c r="T50" s="47"/>
      <c r="U50" s="47"/>
      <c r="V50" s="47"/>
    </row>
    <row r="51" spans="1:22">
      <c r="A51" s="3" t="str">
        <f>IF(AND(4&lt;=Setup!$B$6,8&lt;=Setup!$B$7),8,"")</f>
        <v/>
      </c>
      <c r="B51" s="4" t="str">
        <f>IF($A51="","",IFERROR(INDEX(Calculations!$C$4:$C$67,MATCH("D-"&amp;$A51,Calculations!$O$4:$O$67,0)),""))</f>
        <v/>
      </c>
      <c r="C51" s="3" t="str">
        <f>IF($A51="","",IFERROR(INDEX(Calculations!$E$4:$E$67,MATCH("D-"&amp;$A51,Calculations!$O$4:$O$67,0)),""))</f>
        <v/>
      </c>
      <c r="D51" s="3" t="str">
        <f>IF($A51="","",IFERROR(INDEX(Calculations!$F$4:$F$67,MATCH("D-"&amp;$A51,Calculations!$O$4:$O$67,0)),""))</f>
        <v/>
      </c>
      <c r="E51" s="3" t="str">
        <f>IF($A51="","",IFERROR(INDEX(Calculations!$G$4:$G$67,MATCH("D-"&amp;$A51,Calculations!$O$4:$O$67,0)),""))</f>
        <v/>
      </c>
      <c r="F51" s="3" t="str">
        <f>IF($A51="","",IFERROR(INDEX(Calculations!$H$4:$H$67,MATCH("D-"&amp;$A51,Calculations!$O$4:$O$67,0)),""))</f>
        <v/>
      </c>
      <c r="G51" s="3" t="str">
        <f>IF($A51="","",IFERROR(INDEX(Calculations!$I$4:$I$67,MATCH("D-"&amp;$A51,Calculations!$O$4:$O$67,0)),""))</f>
        <v/>
      </c>
      <c r="H51" s="3" t="str">
        <f>IF($A51="","",IFERROR(INDEX(Calculations!$J$4:$J$67,MATCH("D-"&amp;$A51,Calculations!$O$4:$O$67,0)),""))</f>
        <v/>
      </c>
      <c r="I51" s="3" t="str">
        <f>IF($A51="","",IFERROR(INDEX(Calculations!$K$4:$K$67,MATCH("D-"&amp;$A51,Calculations!$O$4:$O$67,0)),""))</f>
        <v/>
      </c>
      <c r="J51" s="3" t="str">
        <f>IF($A51="","",IFERROR(INDEX(Calculations!$L$4:$L$67,MATCH("D-"&amp;$A51,Calculations!$O$4:$O$67,0)),""))</f>
        <v/>
      </c>
      <c r="M51" s="3" t="str">
        <f>IF(AND(8&lt;=Setup!$B$6,8&lt;=Setup!$B$7),8,"")</f>
        <v/>
      </c>
      <c r="N51" s="4" t="str">
        <f>IF($M51="","",IFERROR(INDEX(Calculations!$C$4:$C$67,MATCH("H-"&amp;$M51,Calculations!$O$4:$O$67,0)),""))</f>
        <v/>
      </c>
      <c r="O51" s="3" t="str">
        <f>IF($M51="","",IFERROR(INDEX(Calculations!$E$4:$E$67,MATCH("H-"&amp;$M51,Calculations!$O$4:$O$67,0)),""))</f>
        <v/>
      </c>
      <c r="P51" s="3" t="str">
        <f>IF($M51="","",IFERROR(INDEX(Calculations!$F$4:$F$67,MATCH("H-"&amp;$M51,Calculations!$O$4:$O$67,0)),""))</f>
        <v/>
      </c>
      <c r="Q51" s="3" t="str">
        <f>IF($M51="","",IFERROR(INDEX(Calculations!$G$4:$G$67,MATCH("H-"&amp;$M51,Calculations!$O$4:$O$67,0)),""))</f>
        <v/>
      </c>
      <c r="R51" s="3" t="str">
        <f>IF($M51="","",IFERROR(INDEX(Calculations!$H$4:$H$67,MATCH("H-"&amp;$M51,Calculations!$O$4:$O$67,0)),""))</f>
        <v/>
      </c>
      <c r="S51" s="3" t="str">
        <f>IF($M51="","",IFERROR(INDEX(Calculations!$I$4:$I$67,MATCH("H-"&amp;$M51,Calculations!$O$4:$O$67,0)),""))</f>
        <v/>
      </c>
      <c r="T51" s="3" t="str">
        <f>IF($M51="","",IFERROR(INDEX(Calculations!$J$4:$J$67,MATCH("H-"&amp;$M51,Calculations!$O$4:$O$67,0)),""))</f>
        <v/>
      </c>
      <c r="U51" s="3" t="str">
        <f>IF($M51="","",IFERROR(INDEX(Calculations!$K$4:$K$67,MATCH("H-"&amp;$M51,Calculations!$O$4:$O$67,0)),""))</f>
        <v/>
      </c>
      <c r="V51" s="3" t="str">
        <f>IF($M51="","",IFERROR(INDEX(Calculations!$L$4:$L$67,MATCH("H-"&amp;$M51,Calculations!$O$4:$O$67,0)),""))</f>
        <v/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60"/>
  <sheetViews>
    <sheetView workbookViewId="0"/>
  </sheetViews>
  <sheetFormatPr defaultRowHeight="14.25"/>
  <cols>
    <col min="1" max="1" width="15" style="3" customWidth="1"/>
    <col min="2" max="2" width="11" customWidth="1"/>
    <col min="3" max="3" width="27" customWidth="1"/>
    <col min="4" max="4" width="9" customWidth="1"/>
    <col min="5" max="5" width="27" customWidth="1"/>
    <col min="6" max="6" width="9" customWidth="1"/>
    <col min="7" max="7" width="27" customWidth="1"/>
    <col min="8" max="8" width="18" customWidth="1"/>
  </cols>
  <sheetData>
    <row r="1" spans="1:8" ht="24" customHeight="1">
      <c r="A1" s="28" t="s">
        <v>249</v>
      </c>
      <c r="B1" s="28"/>
      <c r="C1" s="28"/>
      <c r="D1" s="28"/>
      <c r="E1" s="27"/>
      <c r="F1" s="27"/>
      <c r="G1" s="27"/>
      <c r="H1" s="27"/>
    </row>
    <row r="2" spans="1:8" ht="38.25">
      <c r="A2" s="34" t="s">
        <v>250</v>
      </c>
      <c r="B2" s="61" t="str">
        <f>Setup!$B$4</f>
        <v>Simple Score Tournament</v>
      </c>
      <c r="C2" s="34" t="s">
        <v>251</v>
      </c>
      <c r="D2" s="61" t="str">
        <f>Setup!$E$5</f>
        <v>Semi-finals + Final</v>
      </c>
      <c r="E2" s="34" t="s">
        <v>252</v>
      </c>
      <c r="F2" s="61" t="str">
        <f>Setup!$E$6</f>
        <v>No</v>
      </c>
      <c r="G2" s="37"/>
      <c r="H2" s="37"/>
    </row>
    <row r="3" spans="1:8" ht="89.25">
      <c r="A3" s="72" t="s">
        <v>253</v>
      </c>
      <c r="B3" s="61"/>
      <c r="C3" s="61"/>
      <c r="D3" s="61"/>
      <c r="E3" s="61"/>
      <c r="F3" s="62"/>
      <c r="G3" s="33"/>
      <c r="H3" s="33"/>
    </row>
    <row r="4" spans="1:8" ht="8.1" customHeight="1">
      <c r="A4" s="58"/>
      <c r="B4" s="58"/>
      <c r="C4" s="58"/>
      <c r="D4" s="58"/>
      <c r="E4" s="58"/>
      <c r="F4" s="33"/>
      <c r="G4" s="33"/>
      <c r="H4" s="33"/>
    </row>
    <row r="5" spans="1:8">
      <c r="A5" s="70" t="s">
        <v>215</v>
      </c>
      <c r="B5" s="70" t="s">
        <v>214</v>
      </c>
      <c r="C5" s="70" t="s">
        <v>216</v>
      </c>
      <c r="D5" s="70" t="s">
        <v>217</v>
      </c>
      <c r="E5" s="70" t="s">
        <v>219</v>
      </c>
      <c r="F5" s="70" t="s">
        <v>218</v>
      </c>
      <c r="G5" s="70" t="s">
        <v>221</v>
      </c>
      <c r="H5" s="70" t="s">
        <v>220</v>
      </c>
    </row>
    <row r="6" spans="1:8">
      <c r="A6" s="45" t="str">
        <f>IF(Setup!$E$4=16,"Round of 16","")</f>
        <v/>
      </c>
      <c r="B6" s="33" t="str">
        <f>IF(A6="","","R16 1")</f>
        <v/>
      </c>
      <c r="C6" s="33" t="str">
        <f>IF(A6="","",IF(Setup!$B$6=8,IFERROR(INDEX(Calculations!$C$4:$C$67,MATCH("A-1",Calculations!$O$4:$O$67,0)),""),IFERROR(INDEX(Calculations!$C$4:$C$67,MATCH("A-1",Calculations!$O$4:$O$67,0)),"")))</f>
        <v/>
      </c>
      <c r="D6" s="76"/>
      <c r="E6" s="45" t="str">
        <f>IF(A6="","",IF(Setup!$B$6=8,IFERROR(INDEX(Calculations!$C$4:$C$67,MATCH("B-2",Calculations!$O$4:$O$67,0)),""),IFERROR(INDEX(Calculations!$C$4:$C$67,MATCH("B-4",Calculations!$O$4:$O$67,0)),"")))</f>
        <v/>
      </c>
      <c r="F6" s="76"/>
      <c r="G6" s="33" t="str">
        <f t="shared" ref="G6:G13" si="0">IF(A6="","",IF(OR(D6="",F6=""),"",IF(D6&gt;F6,C6,IF(F6&gt;D6,E6,""))))</f>
        <v/>
      </c>
      <c r="H6" s="33" t="str">
        <f t="shared" ref="H6:H13" si="1">IF(A6="","",IF(OR(C6="",E6=""),"Waiting for teams",IF(OR(D6="",F6=""),"Waiting",IF(D6=F6,"TIE - resolve","Complete"))))</f>
        <v/>
      </c>
    </row>
    <row r="7" spans="1:8">
      <c r="A7" s="45" t="str">
        <f>IF(Setup!$E$4=16,"Round of 16","")</f>
        <v/>
      </c>
      <c r="B7" s="33" t="str">
        <f>IF(A7="","","R16 2")</f>
        <v/>
      </c>
      <c r="C7" s="33" t="str">
        <f>IF(A7="","",IF(Setup!$B$6=8,IFERROR(INDEX(Calculations!$C$4:$C$67,MATCH("C-1",Calculations!$O$4:$O$67,0)),""),IFERROR(INDEX(Calculations!$C$4:$C$67,MATCH("C-1",Calculations!$O$4:$O$67,0)),"")))</f>
        <v/>
      </c>
      <c r="D7" s="76"/>
      <c r="E7" s="45" t="str">
        <f>IF(A7="","",IF(Setup!$B$6=8,IFERROR(INDEX(Calculations!$C$4:$C$67,MATCH("D-2",Calculations!$O$4:$O$67,0)),""),IFERROR(INDEX(Calculations!$C$4:$C$67,MATCH("D-4",Calculations!$O$4:$O$67,0)),"")))</f>
        <v/>
      </c>
      <c r="F7" s="76"/>
      <c r="G7" s="33" t="str">
        <f t="shared" si="0"/>
        <v/>
      </c>
      <c r="H7" s="33" t="str">
        <f t="shared" si="1"/>
        <v/>
      </c>
    </row>
    <row r="8" spans="1:8">
      <c r="A8" s="45" t="str">
        <f>IF(Setup!$E$4=16,"Round of 16","")</f>
        <v/>
      </c>
      <c r="B8" s="33" t="str">
        <f>IF(A8="","","R16 3")</f>
        <v/>
      </c>
      <c r="C8" s="33" t="str">
        <f>IF(A8="","",IF(Setup!$B$6=8,IFERROR(INDEX(Calculations!$C$4:$C$67,MATCH("B-1",Calculations!$O$4:$O$67,0)),""),IFERROR(INDEX(Calculations!$C$4:$C$67,MATCH("B-1",Calculations!$O$4:$O$67,0)),"")))</f>
        <v/>
      </c>
      <c r="D8" s="76"/>
      <c r="E8" s="45" t="str">
        <f>IF(A8="","",IF(Setup!$B$6=8,IFERROR(INDEX(Calculations!$C$4:$C$67,MATCH("A-2",Calculations!$O$4:$O$67,0)),""),IFERROR(INDEX(Calculations!$C$4:$C$67,MATCH("A-4",Calculations!$O$4:$O$67,0)),"")))</f>
        <v/>
      </c>
      <c r="F8" s="76"/>
      <c r="G8" s="33" t="str">
        <f t="shared" si="0"/>
        <v/>
      </c>
      <c r="H8" s="33" t="str">
        <f t="shared" si="1"/>
        <v/>
      </c>
    </row>
    <row r="9" spans="1:8">
      <c r="A9" s="45" t="str">
        <f>IF(Setup!$E$4=16,"Round of 16","")</f>
        <v/>
      </c>
      <c r="B9" s="33" t="str">
        <f>IF(A9="","","R16 4")</f>
        <v/>
      </c>
      <c r="C9" s="33" t="str">
        <f>IF(A9="","",IF(Setup!$B$6=8,IFERROR(INDEX(Calculations!$C$4:$C$67,MATCH("D-1",Calculations!$O$4:$O$67,0)),""),IFERROR(INDEX(Calculations!$C$4:$C$67,MATCH("D-1",Calculations!$O$4:$O$67,0)),"")))</f>
        <v/>
      </c>
      <c r="D9" s="76"/>
      <c r="E9" s="45" t="str">
        <f>IF(A9="","",IF(Setup!$B$6=8,IFERROR(INDEX(Calculations!$C$4:$C$67,MATCH("C-2",Calculations!$O$4:$O$67,0)),""),IFERROR(INDEX(Calculations!$C$4:$C$67,MATCH("C-4",Calculations!$O$4:$O$67,0)),"")))</f>
        <v/>
      </c>
      <c r="F9" s="76"/>
      <c r="G9" s="33" t="str">
        <f t="shared" si="0"/>
        <v/>
      </c>
      <c r="H9" s="33" t="str">
        <f t="shared" si="1"/>
        <v/>
      </c>
    </row>
    <row r="10" spans="1:8">
      <c r="A10" s="45" t="str">
        <f>IF(Setup!$E$4=16,"Round of 16","")</f>
        <v/>
      </c>
      <c r="B10" s="33" t="str">
        <f>IF(A10="","","R16 5")</f>
        <v/>
      </c>
      <c r="C10" s="33" t="str">
        <f>IF(A10="","",IF(Setup!$B$6=8,IFERROR(INDEX(Calculations!$C$4:$C$67,MATCH("E-1",Calculations!$O$4:$O$67,0)),""),IFERROR(INDEX(Calculations!$C$4:$C$67,MATCH("A-2",Calculations!$O$4:$O$67,0)),"")))</f>
        <v/>
      </c>
      <c r="D10" s="76"/>
      <c r="E10" s="45" t="str">
        <f>IF(A10="","",IF(Setup!$B$6=8,IFERROR(INDEX(Calculations!$C$4:$C$67,MATCH("F-2",Calculations!$O$4:$O$67,0)),""),IFERROR(INDEX(Calculations!$C$4:$C$67,MATCH("B-3",Calculations!$O$4:$O$67,0)),"")))</f>
        <v/>
      </c>
      <c r="F10" s="76"/>
      <c r="G10" s="33" t="str">
        <f t="shared" si="0"/>
        <v/>
      </c>
      <c r="H10" s="33" t="str">
        <f t="shared" si="1"/>
        <v/>
      </c>
    </row>
    <row r="11" spans="1:8">
      <c r="A11" s="45" t="str">
        <f>IF(Setup!$E$4=16,"Round of 16","")</f>
        <v/>
      </c>
      <c r="B11" s="33" t="str">
        <f>IF(A11="","","R16 6")</f>
        <v/>
      </c>
      <c r="C11" s="33" t="str">
        <f>IF(A11="","",IF(Setup!$B$6=8,IFERROR(INDEX(Calculations!$C$4:$C$67,MATCH("G-1",Calculations!$O$4:$O$67,0)),""),IFERROR(INDEX(Calculations!$C$4:$C$67,MATCH("C-2",Calculations!$O$4:$O$67,0)),"")))</f>
        <v/>
      </c>
      <c r="D11" s="76"/>
      <c r="E11" s="45" t="str">
        <f>IF(A11="","",IF(Setup!$B$6=8,IFERROR(INDEX(Calculations!$C$4:$C$67,MATCH("H-2",Calculations!$O$4:$O$67,0)),""),IFERROR(INDEX(Calculations!$C$4:$C$67,MATCH("D-3",Calculations!$O$4:$O$67,0)),"")))</f>
        <v/>
      </c>
      <c r="F11" s="76"/>
      <c r="G11" s="33" t="str">
        <f t="shared" si="0"/>
        <v/>
      </c>
      <c r="H11" s="33" t="str">
        <f t="shared" si="1"/>
        <v/>
      </c>
    </row>
    <row r="12" spans="1:8">
      <c r="A12" s="45" t="str">
        <f>IF(Setup!$E$4=16,"Round of 16","")</f>
        <v/>
      </c>
      <c r="B12" s="33" t="str">
        <f>IF(A12="","","R16 7")</f>
        <v/>
      </c>
      <c r="C12" s="33" t="str">
        <f>IF(A12="","",IF(Setup!$B$6=8,IFERROR(INDEX(Calculations!$C$4:$C$67,MATCH("F-1",Calculations!$O$4:$O$67,0)),""),IFERROR(INDEX(Calculations!$C$4:$C$67,MATCH("B-2",Calculations!$O$4:$O$67,0)),"")))</f>
        <v/>
      </c>
      <c r="D12" s="76"/>
      <c r="E12" s="45" t="str">
        <f>IF(A12="","",IF(Setup!$B$6=8,IFERROR(INDEX(Calculations!$C$4:$C$67,MATCH("E-2",Calculations!$O$4:$O$67,0)),""),IFERROR(INDEX(Calculations!$C$4:$C$67,MATCH("A-3",Calculations!$O$4:$O$67,0)),"")))</f>
        <v/>
      </c>
      <c r="F12" s="76"/>
      <c r="G12" s="33" t="str">
        <f t="shared" si="0"/>
        <v/>
      </c>
      <c r="H12" s="33" t="str">
        <f t="shared" si="1"/>
        <v/>
      </c>
    </row>
    <row r="13" spans="1:8">
      <c r="A13" s="45" t="str">
        <f>IF(Setup!$E$4=16,"Round of 16","")</f>
        <v/>
      </c>
      <c r="B13" s="33" t="str">
        <f>IF(A13="","","R16 8")</f>
        <v/>
      </c>
      <c r="C13" s="33" t="str">
        <f>IF(A13="","",IF(Setup!$B$6=8,IFERROR(INDEX(Calculations!$C$4:$C$67,MATCH("H-1",Calculations!$O$4:$O$67,0)),""),IFERROR(INDEX(Calculations!$C$4:$C$67,MATCH("D-2",Calculations!$O$4:$O$67,0)),"")))</f>
        <v/>
      </c>
      <c r="D13" s="76"/>
      <c r="E13" s="45" t="str">
        <f>IF(A13="","",IF(Setup!$B$6=8,IFERROR(INDEX(Calculations!$C$4:$C$67,MATCH("G-2",Calculations!$O$4:$O$67,0)),""),IFERROR(INDEX(Calculations!$C$4:$C$67,MATCH("C-3",Calculations!$O$4:$O$67,0)),"")))</f>
        <v/>
      </c>
      <c r="F13" s="76"/>
      <c r="G13" s="33" t="str">
        <f t="shared" si="0"/>
        <v/>
      </c>
      <c r="H13" s="33" t="str">
        <f t="shared" si="1"/>
        <v/>
      </c>
    </row>
    <row r="14" spans="1:8">
      <c r="A14" s="45"/>
      <c r="B14" s="33"/>
      <c r="C14" s="33"/>
      <c r="D14" s="77"/>
      <c r="E14" s="33"/>
      <c r="F14" s="77"/>
      <c r="G14" s="33"/>
      <c r="H14" s="33"/>
    </row>
    <row r="15" spans="1:8">
      <c r="A15" s="37"/>
      <c r="B15" s="37"/>
      <c r="C15" s="37"/>
      <c r="D15" s="78"/>
      <c r="E15" s="37"/>
      <c r="F15" s="78"/>
      <c r="G15" s="33"/>
      <c r="H15" s="33"/>
    </row>
    <row r="16" spans="1:8">
      <c r="A16" s="58" t="str">
        <f>IF(OR(Setup!$E$4=8,Setup!$E$4=16),"Quarter-final","")</f>
        <v/>
      </c>
      <c r="B16" s="58" t="str">
        <f>IF(A16="","","QF 1")</f>
        <v/>
      </c>
      <c r="C16" s="58" t="str">
        <f>IF(A16="","",IF(Setup!$E$4=16,IF(H6&lt;&gt;"Complete","Winner R16 1",G6),IF(Setup!$B$6=2,IFERROR(INDEX(Calculations!$C$4:$C$67,MATCH("A-1",Calculations!$O$4:$O$67,0)),""),IF(Setup!$B$6=4,IFERROR(INDEX(Calculations!$C$4:$C$67,MATCH("A-1",Calculations!$O$4:$O$67,0)),""),IFERROR(INDEX(Calculations!$C$4:$C$67,MATCH("A-1",Calculations!$O$4:$O$67,0)),"")))))</f>
        <v/>
      </c>
      <c r="D16" s="79"/>
      <c r="E16" s="58" t="str">
        <f>IF(A16="","",IF(Setup!$E$4=16,IF(H7&lt;&gt;"Complete","Winner R16 2",G7),IF(Setup!$B$6=2,IFERROR(INDEX(Calculations!$C$4:$C$67,MATCH("B-4",Calculations!$O$4:$O$67,0)),""),IF(Setup!$B$6=4,IFERROR(INDEX(Calculations!$C$4:$C$67,MATCH("B-2",Calculations!$O$4:$O$67,0)),""),IFERROR(INDEX(Calculations!$C$4:$C$67,MATCH("B-1",Calculations!$O$4:$O$67,0)),"")))))</f>
        <v/>
      </c>
      <c r="F16" s="79"/>
      <c r="G16" s="33" t="str">
        <f>IF(A16="","",IF(OR(D16="",F16=""),"",IF(D16&gt;F16,C16,IF(F16&gt;D16,E16,""))))</f>
        <v/>
      </c>
      <c r="H16" s="33" t="str">
        <f>IF(A16="","",IF(OR(C16="",E16=""),"Waiting for teams",IF(OR(D16="",F16=""),"Waiting",IF(D16=F16,"TIE - resolve","Complete"))))</f>
        <v/>
      </c>
    </row>
    <row r="17" spans="1:8">
      <c r="A17" s="45" t="str">
        <f>IF(OR(Setup!$E$4=8,Setup!$E$4=16),"Quarter-final","")</f>
        <v/>
      </c>
      <c r="B17" s="33" t="str">
        <f>IF(A17="","","QF 2")</f>
        <v/>
      </c>
      <c r="C17" s="45" t="str">
        <f>IF(A17="","",IF(Setup!$E$4=16,IF(H8&lt;&gt;"Complete","Winner R16 3",G8),IF(Setup!$B$6=2,IFERROR(INDEX(Calculations!$C$4:$C$67,MATCH("A-2",Calculations!$O$4:$O$67,0)),""),IF(Setup!$B$6=4,IFERROR(INDEX(Calculations!$C$4:$C$67,MATCH("C-1",Calculations!$O$4:$O$67,0)),""),IFERROR(INDEX(Calculations!$C$4:$C$67,MATCH("C-1",Calculations!$O$4:$O$67,0)),"")))))</f>
        <v/>
      </c>
      <c r="D17" s="76"/>
      <c r="E17" s="45" t="str">
        <f>IF(A17="","",IF(Setup!$E$4=16,IF(H9&lt;&gt;"Complete","Winner R16 4",G9),IF(Setup!$B$6=2,IFERROR(INDEX(Calculations!$C$4:$C$67,MATCH("B-3",Calculations!$O$4:$O$67,0)),""),IF(Setup!$B$6=4,IFERROR(INDEX(Calculations!$C$4:$C$67,MATCH("D-2",Calculations!$O$4:$O$67,0)),""),IFERROR(INDEX(Calculations!$C$4:$C$67,MATCH("D-1",Calculations!$O$4:$O$67,0)),"")))))</f>
        <v/>
      </c>
      <c r="F17" s="76"/>
      <c r="G17" s="33" t="str">
        <f>IF(A17="","",IF(OR(D17="",F17=""),"",IF(D17&gt;F17,C17,IF(F17&gt;D17,E17,""))))</f>
        <v/>
      </c>
      <c r="H17" s="33" t="str">
        <f>IF(A17="","",IF(OR(C17="",E17=""),"Waiting for teams",IF(OR(D17="",F17=""),"Waiting",IF(D17=F17,"TIE - resolve","Complete"))))</f>
        <v/>
      </c>
    </row>
    <row r="18" spans="1:8">
      <c r="A18" s="45" t="str">
        <f>IF(OR(Setup!$E$4=8,Setup!$E$4=16),"Quarter-final","")</f>
        <v/>
      </c>
      <c r="B18" s="33" t="str">
        <f>IF(A18="","","QF 3")</f>
        <v/>
      </c>
      <c r="C18" s="45" t="str">
        <f>IF(A18="","",IF(Setup!$E$4=16,IF(H10&lt;&gt;"Complete","Winner R16 5",G10),IF(Setup!$B$6=2,IFERROR(INDEX(Calculations!$C$4:$C$67,MATCH("B-1",Calculations!$O$4:$O$67,0)),""),IF(Setup!$B$6=4,IFERROR(INDEX(Calculations!$C$4:$C$67,MATCH("B-1",Calculations!$O$4:$O$67,0)),""),IFERROR(INDEX(Calculations!$C$4:$C$67,MATCH("E-1",Calculations!$O$4:$O$67,0)),"")))))</f>
        <v/>
      </c>
      <c r="D18" s="76"/>
      <c r="E18" s="45" t="str">
        <f>IF(A18="","",IF(Setup!$E$4=16,IF(H11&lt;&gt;"Complete","Winner R16 6",G11),IF(Setup!$B$6=2,IFERROR(INDEX(Calculations!$C$4:$C$67,MATCH("A-4",Calculations!$O$4:$O$67,0)),""),IF(Setup!$B$6=4,IFERROR(INDEX(Calculations!$C$4:$C$67,MATCH("A-2",Calculations!$O$4:$O$67,0)),""),IFERROR(INDEX(Calculations!$C$4:$C$67,MATCH("F-1",Calculations!$O$4:$O$67,0)),"")))))</f>
        <v/>
      </c>
      <c r="F18" s="76"/>
      <c r="G18" s="33" t="str">
        <f>IF(A18="","",IF(OR(D18="",F18=""),"",IF(D18&gt;F18,C18,IF(F18&gt;D18,E18,""))))</f>
        <v/>
      </c>
      <c r="H18" s="33" t="str">
        <f>IF(A18="","",IF(OR(C18="",E18=""),"Waiting for teams",IF(OR(D18="",F18=""),"Waiting",IF(D18=F18,"TIE - resolve","Complete"))))</f>
        <v/>
      </c>
    </row>
    <row r="19" spans="1:8">
      <c r="A19" s="45" t="str">
        <f>IF(OR(Setup!$E$4=8,Setup!$E$4=16),"Quarter-final","")</f>
        <v/>
      </c>
      <c r="B19" s="33" t="str">
        <f>IF(A19="","","QF 4")</f>
        <v/>
      </c>
      <c r="C19" s="33" t="str">
        <f>IF(A19="","",IF(Setup!$E$4=16,IF(H12&lt;&gt;"Complete","Winner R16 7",G12),IF(Setup!$B$6=2,IFERROR(INDEX(Calculations!$C$4:$C$67,MATCH("B-2",Calculations!$O$4:$O$67,0)),""),IF(Setup!$B$6=4,IFERROR(INDEX(Calculations!$C$4:$C$67,MATCH("D-1",Calculations!$O$4:$O$67,0)),""),IFERROR(INDEX(Calculations!$C$4:$C$67,MATCH("G-1",Calculations!$O$4:$O$67,0)),"")))))</f>
        <v/>
      </c>
      <c r="D19" s="76"/>
      <c r="E19" s="45" t="str">
        <f>IF(A19="","",IF(Setup!$E$4=16,IF(H13&lt;&gt;"Complete","Winner R16 8",G13),IF(Setup!$B$6=2,IFERROR(INDEX(Calculations!$C$4:$C$67,MATCH("A-3",Calculations!$O$4:$O$67,0)),""),IF(Setup!$B$6=4,IFERROR(INDEX(Calculations!$C$4:$C$67,MATCH("C-2",Calculations!$O$4:$O$67,0)),""),IFERROR(INDEX(Calculations!$C$4:$C$67,MATCH("H-1",Calculations!$O$4:$O$67,0)),"")))))</f>
        <v/>
      </c>
      <c r="F19" s="76"/>
      <c r="G19" s="33" t="str">
        <f>IF(A19="","",IF(OR(D19="",F19=""),"",IF(D19&gt;F19,C19,IF(F19&gt;D19,E19,""))))</f>
        <v/>
      </c>
      <c r="H19" s="33" t="str">
        <f>IF(A19="","",IF(OR(C19="",E19=""),"Waiting for teams",IF(OR(D19="",F19=""),"Waiting",IF(D19=F19,"TIE - resolve","Complete"))))</f>
        <v/>
      </c>
    </row>
    <row r="20" spans="1:8">
      <c r="A20" s="45"/>
      <c r="B20" s="33"/>
      <c r="C20" s="33"/>
      <c r="D20" s="77"/>
      <c r="E20" s="33"/>
      <c r="F20" s="77"/>
      <c r="G20" s="33"/>
      <c r="H20" s="33"/>
    </row>
    <row r="21" spans="1:8">
      <c r="A21" s="45"/>
      <c r="B21" s="33"/>
      <c r="C21" s="33"/>
      <c r="D21" s="77"/>
      <c r="E21" s="33"/>
      <c r="F21" s="77"/>
      <c r="G21" s="33"/>
      <c r="H21" s="33"/>
    </row>
    <row r="22" spans="1:8">
      <c r="A22" s="37" t="str">
        <f>IF(OR(Setup!$E$4=4,Setup!$E$4=8,Setup!$E$4=16),"Semi-final","")</f>
        <v>Semi-final</v>
      </c>
      <c r="B22" s="37" t="str">
        <f>IF(A22="","","SF 1")</f>
        <v>SF 1</v>
      </c>
      <c r="C22" s="37" t="str">
        <f>IF(A22="","",IF(OR(Setup!$E$4=8,Setup!$E$4=16),IF(H16&lt;&gt;"Complete","Winner QF 1",G16),IF(Setup!$B$6=1,IFERROR(INDEX(Calculations!$C$4:$C$67,MATCH("A-1",Calculations!$O$4:$O$67,0)),""),IF(Setup!$B$6=2,IFERROR(INDEX(Calculations!$C$4:$C$67,MATCH("A-1",Calculations!$O$4:$O$67,0)),""),IFERROR(INDEX(Calculations!$C$4:$C$67,MATCH("A-1",Calculations!$O$4:$O$67,0)),"")))))</f>
        <v/>
      </c>
      <c r="D22" s="79"/>
      <c r="E22" s="58" t="str">
        <f>IF(A22="","",IF(OR(Setup!$E$4=8,Setup!$E$4=16),IF(H17&lt;&gt;"Complete","Winner QF 2",G17),IF(Setup!$B$6=1,IFERROR(INDEX(Calculations!$C$4:$C$67,MATCH("A-4",Calculations!$O$4:$O$67,0)),""),IF(Setup!$B$6=2,IFERROR(INDEX(Calculations!$C$4:$C$67,MATCH("B-2",Calculations!$O$4:$O$67,0)),""),IFERROR(INDEX(Calculations!$C$4:$C$67,MATCH("B-1",Calculations!$O$4:$O$67,0)),"")))))</f>
        <v/>
      </c>
      <c r="F22" s="79"/>
      <c r="G22" s="33" t="str">
        <f>IF(A22="","",IF(OR(D22="",F22=""),"",IF(D22&gt;F22,C22,IF(F22&gt;D22,E22,""))))</f>
        <v/>
      </c>
      <c r="H22" s="33" t="str">
        <f>IF(A22="","",IF(OR(C22="",E22=""),"Waiting for teams",IF(OR(D22="",F22=""),"Waiting",IF(D22=F22,"TIE - resolve","Complete"))))</f>
        <v>Waiting for teams</v>
      </c>
    </row>
    <row r="23" spans="1:8">
      <c r="A23" s="58" t="str">
        <f>IF(OR(Setup!$E$4=4,Setup!$E$4=8,Setup!$E$4=16),"Semi-final","")</f>
        <v>Semi-final</v>
      </c>
      <c r="B23" s="58" t="str">
        <f>IF(A23="","","SF 2")</f>
        <v>SF 2</v>
      </c>
      <c r="C23" s="58" t="str">
        <f>IF(A23="","",IF(OR(Setup!$E$4=8,Setup!$E$4=16),IF(H18&lt;&gt;"Complete","Winner QF 3",G18),IF(Setup!$B$6=1,IFERROR(INDEX(Calculations!$C$4:$C$67,MATCH("A-2",Calculations!$O$4:$O$67,0)),""),IF(Setup!$B$6=2,IFERROR(INDEX(Calculations!$C$4:$C$67,MATCH("B-1",Calculations!$O$4:$O$67,0)),""),IFERROR(INDEX(Calculations!$C$4:$C$67,MATCH("C-1",Calculations!$O$4:$O$67,0)),"")))))</f>
        <v/>
      </c>
      <c r="D23" s="79"/>
      <c r="E23" s="58" t="str">
        <f>IF(A23="","",IF(OR(Setup!$E$4=8,Setup!$E$4=16),IF(H19&lt;&gt;"Complete","Winner QF 4",G19),IF(Setup!$B$6=1,IFERROR(INDEX(Calculations!$C$4:$C$67,MATCH("A-3",Calculations!$O$4:$O$67,0)),""),IF(Setup!$B$6=2,IFERROR(INDEX(Calculations!$C$4:$C$67,MATCH("A-2",Calculations!$O$4:$O$67,0)),""),IFERROR(INDEX(Calculations!$C$4:$C$67,MATCH("D-1",Calculations!$O$4:$O$67,0)),"")))))</f>
        <v/>
      </c>
      <c r="F23" s="79"/>
      <c r="G23" s="33" t="str">
        <f>IF(A23="","",IF(OR(D23="",F23=""),"",IF(D23&gt;F23,C23,IF(F23&gt;D23,E23,""))))</f>
        <v/>
      </c>
      <c r="H23" s="33" t="str">
        <f>IF(A23="","",IF(OR(C23="",E23=""),"Waiting for teams",IF(OR(D23="",F23=""),"Waiting",IF(D23=F23,"TIE - resolve","Complete"))))</f>
        <v>Waiting for teams</v>
      </c>
    </row>
    <row r="24" spans="1:8">
      <c r="A24" s="45"/>
      <c r="B24" s="33"/>
      <c r="C24" s="45"/>
      <c r="D24" s="77"/>
      <c r="E24" s="45"/>
      <c r="F24" s="77"/>
      <c r="G24" s="33"/>
      <c r="H24" s="33"/>
    </row>
    <row r="25" spans="1:8">
      <c r="A25" s="45"/>
      <c r="B25" s="33"/>
      <c r="C25" s="45"/>
      <c r="D25" s="77"/>
      <c r="E25" s="45"/>
      <c r="F25" s="77"/>
      <c r="G25" s="33"/>
      <c r="H25" s="33"/>
    </row>
    <row r="26" spans="1:8">
      <c r="A26" s="45" t="str">
        <f>IF(OR(Setup!$E$4=2,Setup!$E$4=4,Setup!$E$4=8,Setup!$E$4=16),"Final","")</f>
        <v>Final</v>
      </c>
      <c r="B26" s="33" t="str">
        <f>IF(A26="","","Final")</f>
        <v>Final</v>
      </c>
      <c r="C26" s="33" t="str">
        <f>IF(A26="","",IF(Setup!$E$4=2,IF(Setup!$B$6=1,IFERROR(INDEX(Calculations!$C$4:$C$67,MATCH("A-1",Calculations!$O$4:$O$67,0)),""),IFERROR(INDEX(Calculations!$C$4:$C$67,MATCH("A-1",Calculations!$O$4:$O$67,0)),"")),IF(H22&lt;&gt;"Complete","Winner SF 1",G22)))</f>
        <v>Winner SF 1</v>
      </c>
      <c r="D26" s="76"/>
      <c r="E26" s="45" t="str">
        <f>IF(A26="","",IF(Setup!$E$4=2,IF(Setup!$B$6=1,IFERROR(INDEX(Calculations!$C$4:$C$67,MATCH("A-2",Calculations!$O$4:$O$67,0)),""),IFERROR(INDEX(Calculations!$C$4:$C$67,MATCH("B-1",Calculations!$O$4:$O$67,0)),"")),IF(H23&lt;&gt;"Complete","Winner SF 2",G23)))</f>
        <v>Winner SF 2</v>
      </c>
      <c r="F26" s="76"/>
      <c r="G26" s="33" t="str">
        <f>IF(A26="","",IF(OR(D26="",F26=""),"",IF(D26&gt;F26,C26,IF(F26&gt;D26,E26,""))))</f>
        <v/>
      </c>
      <c r="H26" s="33" t="str">
        <f>IF(A26="","",IF(OR(C26="",E26=""),"Waiting for teams",IF(OR(D26="",F26=""),"Waiting",IF(D26=F26,"TIE - resolve","Complete"))))</f>
        <v>Waiting</v>
      </c>
    </row>
    <row r="27" spans="1:8">
      <c r="A27" s="45"/>
      <c r="B27" s="33"/>
      <c r="C27" s="33"/>
      <c r="D27" s="77"/>
      <c r="E27" s="33"/>
      <c r="F27" s="77"/>
      <c r="G27" s="33"/>
      <c r="H27" s="33"/>
    </row>
    <row r="28" spans="1:8">
      <c r="A28" s="45"/>
      <c r="B28" s="33"/>
      <c r="C28" s="33"/>
      <c r="D28" s="77"/>
      <c r="E28" s="33"/>
      <c r="F28" s="77"/>
      <c r="G28" s="33"/>
      <c r="H28" s="33"/>
    </row>
    <row r="29" spans="1:8">
      <c r="A29" s="37" t="str">
        <f>IF(AND(Setup!$E$6="Yes",OR(Setup!$E$4=4,Setup!$E$4=8,Setup!$E$4=16)),"Third Place","")</f>
        <v/>
      </c>
      <c r="B29" s="37" t="str">
        <f>IF(A29="","","Third Place")</f>
        <v/>
      </c>
      <c r="C29" s="37" t="str">
        <f>IF(A29="","",IF(H22&lt;&gt;"Complete","Loser SF 1",IF(G22=C22,E22,C22)))</f>
        <v/>
      </c>
      <c r="D29" s="79"/>
      <c r="E29" s="58" t="str">
        <f>IF(A29="","",IF(H23&lt;&gt;"Complete","Loser SF 2",IF(G23=C23,E23,C23)))</f>
        <v/>
      </c>
      <c r="F29" s="79"/>
      <c r="G29" s="33" t="str">
        <f>IF(A29="","",IF(OR(D29="",F29=""),"",IF(D29&gt;F29,C29,IF(F29&gt;D29,E29,""))))</f>
        <v/>
      </c>
      <c r="H29" s="33" t="str">
        <f>IF(A29="","",IF(OR(C29="",E29=""),"Waiting for teams",IF(OR(D29="",F29=""),"Waiting",IF(D29=F29,"TIE - resolve","Complete"))))</f>
        <v/>
      </c>
    </row>
    <row r="30" spans="1:8">
      <c r="A30" s="58"/>
      <c r="B30" s="58"/>
      <c r="C30" s="58"/>
      <c r="D30" s="79"/>
      <c r="E30" s="58"/>
      <c r="F30" s="79"/>
      <c r="G30" s="33"/>
      <c r="H30" s="33"/>
    </row>
    <row r="31" spans="1:8">
      <c r="A31" s="45"/>
      <c r="B31" s="33"/>
      <c r="C31" s="45"/>
      <c r="D31" s="77"/>
      <c r="E31" s="45"/>
      <c r="F31" s="77"/>
      <c r="G31" s="33"/>
      <c r="H31" s="33"/>
    </row>
    <row r="32" spans="1:8">
      <c r="A32" s="45"/>
      <c r="B32" s="33"/>
      <c r="C32" s="45"/>
      <c r="D32" s="77"/>
      <c r="E32" s="45"/>
      <c r="F32" s="77"/>
      <c r="G32" s="33"/>
      <c r="H32" s="33"/>
    </row>
    <row r="33" spans="1:8">
      <c r="A33" s="45"/>
      <c r="B33" s="33"/>
      <c r="C33" s="45"/>
      <c r="D33" s="77"/>
      <c r="E33" s="45"/>
      <c r="F33" s="77"/>
      <c r="G33" s="33"/>
      <c r="H33" s="33"/>
    </row>
    <row r="34" spans="1:8">
      <c r="A34" s="45"/>
      <c r="B34" s="33"/>
      <c r="C34" s="45"/>
      <c r="D34" s="77"/>
      <c r="E34" s="45"/>
      <c r="F34" s="77"/>
      <c r="G34" s="33"/>
      <c r="H34" s="33"/>
    </row>
    <row r="35" spans="1:8">
      <c r="A35" s="45"/>
      <c r="B35" s="33"/>
      <c r="C35" s="33"/>
      <c r="D35" s="77"/>
      <c r="E35" s="33"/>
      <c r="F35" s="77"/>
      <c r="G35" s="33"/>
      <c r="H35" s="33"/>
    </row>
    <row r="36" spans="1:8">
      <c r="A36" s="7"/>
      <c r="B36" s="5"/>
      <c r="C36" s="5"/>
      <c r="D36" s="5"/>
      <c r="E36" s="5"/>
      <c r="F36" s="5"/>
      <c r="G36" s="5"/>
      <c r="H36" s="5"/>
    </row>
    <row r="37" spans="1:8">
      <c r="A37" s="7"/>
      <c r="B37" s="5"/>
      <c r="C37" s="5"/>
      <c r="D37" s="5"/>
      <c r="E37" s="5"/>
      <c r="F37" s="5"/>
      <c r="G37" s="5"/>
      <c r="H37" s="5"/>
    </row>
    <row r="38" spans="1:8">
      <c r="A38" s="7"/>
      <c r="B38" s="5"/>
      <c r="C38" s="5"/>
      <c r="D38" s="5"/>
      <c r="E38" s="5"/>
      <c r="F38" s="5"/>
      <c r="G38" s="5"/>
      <c r="H38" s="5"/>
    </row>
    <row r="39" spans="1:8" ht="15">
      <c r="A39" s="104" t="s">
        <v>254</v>
      </c>
      <c r="B39" s="104"/>
      <c r="C39" s="104"/>
      <c r="D39" s="104"/>
      <c r="E39" s="104"/>
      <c r="F39" s="104"/>
      <c r="G39" s="5"/>
      <c r="H39" s="5"/>
    </row>
    <row r="40" spans="1:8" ht="15">
      <c r="A40" s="2" t="s">
        <v>255</v>
      </c>
      <c r="B40" s="2" t="s">
        <v>216</v>
      </c>
      <c r="C40" s="2" t="s">
        <v>217</v>
      </c>
      <c r="D40" s="2" t="s">
        <v>219</v>
      </c>
      <c r="E40" s="2" t="s">
        <v>218</v>
      </c>
      <c r="F40" s="2" t="s">
        <v>221</v>
      </c>
      <c r="G40" s="5"/>
      <c r="H40" s="5"/>
    </row>
    <row r="41" spans="1:8">
      <c r="A41" s="7" t="s">
        <v>256</v>
      </c>
      <c r="B41" s="5" t="str">
        <f>IFERROR(INDEX($B$5:$E$12,MATCH("A",$A$5:$A$12,0),1),"")</f>
        <v/>
      </c>
      <c r="C41" s="6"/>
      <c r="D41" s="5" t="str">
        <f>IFERROR(INDEX($B$5:$E$12,MATCH("B",$A$5:$A$12,0),2),"")</f>
        <v/>
      </c>
      <c r="E41" s="6"/>
      <c r="F41" s="5" t="str">
        <f t="shared" ref="F41:F48" si="2">IF(AND(ISNUMBER(C41),ISNUMBER(E41)),IF(C41&gt;E41,B41,IF(E41&gt;C41,D41,"Draw/Check")),"")</f>
        <v/>
      </c>
      <c r="G41" s="5"/>
      <c r="H41" s="5"/>
    </row>
    <row r="42" spans="1:8">
      <c r="A42" s="7" t="s">
        <v>257</v>
      </c>
      <c r="B42" s="5" t="str">
        <f>IFERROR(INDEX($B$5:$E$12,MATCH("B",$A$5:$A$12,0),1),"")</f>
        <v/>
      </c>
      <c r="C42" s="6"/>
      <c r="D42" s="5" t="str">
        <f>IFERROR(INDEX($B$5:$E$12,MATCH("A",$A$5:$A$12,0),2),"")</f>
        <v/>
      </c>
      <c r="E42" s="6"/>
      <c r="F42" s="5" t="str">
        <f t="shared" si="2"/>
        <v/>
      </c>
      <c r="G42" s="5"/>
      <c r="H42" s="5"/>
    </row>
    <row r="43" spans="1:8">
      <c r="A43" s="7" t="s">
        <v>258</v>
      </c>
      <c r="B43" s="5" t="str">
        <f>IFERROR(INDEX($B$5:$E$12,MATCH("C",$A$5:$A$12,0),1),"")</f>
        <v/>
      </c>
      <c r="C43" s="6"/>
      <c r="D43" s="5" t="str">
        <f>IFERROR(INDEX($B$5:$E$12,MATCH("D",$A$5:$A$12,0),2),"")</f>
        <v/>
      </c>
      <c r="E43" s="6"/>
      <c r="F43" s="5" t="str">
        <f t="shared" si="2"/>
        <v/>
      </c>
      <c r="G43" s="5"/>
      <c r="H43" s="5"/>
    </row>
    <row r="44" spans="1:8">
      <c r="A44" s="7" t="s">
        <v>259</v>
      </c>
      <c r="B44" s="5" t="str">
        <f>IFERROR(INDEX($B$5:$E$12,MATCH("D",$A$5:$A$12,0),1),"")</f>
        <v/>
      </c>
      <c r="C44" s="6"/>
      <c r="D44" s="5" t="str">
        <f>IFERROR(INDEX($B$5:$E$12,MATCH("C",$A$5:$A$12,0),2),"")</f>
        <v/>
      </c>
      <c r="E44" s="6"/>
      <c r="F44" s="5" t="str">
        <f t="shared" si="2"/>
        <v/>
      </c>
      <c r="G44" s="5"/>
      <c r="H44" s="5"/>
    </row>
    <row r="45" spans="1:8">
      <c r="A45" s="7" t="s">
        <v>260</v>
      </c>
      <c r="B45" s="5" t="str">
        <f>IFERROR(INDEX($B$5:$E$12,MATCH("E",$A$5:$A$12,0),1),"")</f>
        <v/>
      </c>
      <c r="C45" s="6"/>
      <c r="D45" s="5" t="str">
        <f>IFERROR(INDEX($B$5:$E$12,MATCH("F",$A$5:$A$12,0),2),"")</f>
        <v/>
      </c>
      <c r="E45" s="6"/>
      <c r="F45" s="5" t="str">
        <f t="shared" si="2"/>
        <v/>
      </c>
      <c r="G45" s="5"/>
      <c r="H45" s="5"/>
    </row>
    <row r="46" spans="1:8">
      <c r="A46" s="7" t="s">
        <v>261</v>
      </c>
      <c r="B46" s="5" t="str">
        <f>IFERROR(INDEX($B$5:$E$12,MATCH("F",$A$5:$A$12,0),1),"")</f>
        <v/>
      </c>
      <c r="C46" s="6"/>
      <c r="D46" s="5" t="str">
        <f>IFERROR(INDEX($B$5:$E$12,MATCH("E",$A$5:$A$12,0),2),"")</f>
        <v/>
      </c>
      <c r="E46" s="6"/>
      <c r="F46" s="5" t="str">
        <f t="shared" si="2"/>
        <v/>
      </c>
      <c r="G46" s="5"/>
      <c r="H46" s="5"/>
    </row>
    <row r="47" spans="1:8">
      <c r="A47" s="7" t="s">
        <v>262</v>
      </c>
      <c r="B47" s="5" t="str">
        <f>IFERROR(INDEX($B$5:$E$12,MATCH("G",$A$5:$A$12,0),1),"")</f>
        <v/>
      </c>
      <c r="C47" s="6"/>
      <c r="D47" s="5" t="str">
        <f>IFERROR(INDEX($B$5:$E$12,MATCH("H",$A$5:$A$12,0),2),"")</f>
        <v/>
      </c>
      <c r="E47" s="6"/>
      <c r="F47" s="5" t="str">
        <f t="shared" si="2"/>
        <v/>
      </c>
      <c r="G47" s="5"/>
      <c r="H47" s="5"/>
    </row>
    <row r="48" spans="1:8">
      <c r="A48" s="7" t="s">
        <v>263</v>
      </c>
      <c r="B48" s="5" t="str">
        <f>IFERROR(INDEX($B$5:$E$12,MATCH("H",$A$5:$A$12,0),1),"")</f>
        <v/>
      </c>
      <c r="C48" s="6"/>
      <c r="D48" s="5" t="str">
        <f>IFERROR(INDEX($B$5:$E$12,MATCH("G",$A$5:$A$12,0),2),"")</f>
        <v/>
      </c>
      <c r="E48" s="6"/>
      <c r="F48" s="5" t="str">
        <f t="shared" si="2"/>
        <v/>
      </c>
      <c r="G48" s="5"/>
      <c r="H48" s="5"/>
    </row>
    <row r="49" spans="1:8">
      <c r="A49" s="7"/>
      <c r="B49" s="5"/>
      <c r="C49" s="5"/>
      <c r="D49" s="5"/>
      <c r="E49" s="5"/>
      <c r="F49" s="5"/>
      <c r="G49" s="5"/>
      <c r="H49" s="5"/>
    </row>
    <row r="50" spans="1:8">
      <c r="A50" s="7"/>
      <c r="B50" s="5"/>
      <c r="C50" s="5"/>
      <c r="D50" s="5"/>
      <c r="E50" s="5"/>
      <c r="F50" s="5"/>
      <c r="G50" s="5"/>
      <c r="H50" s="5"/>
    </row>
    <row r="51" spans="1:8">
      <c r="A51" s="7"/>
      <c r="B51" s="5"/>
      <c r="C51" s="5"/>
      <c r="D51" s="5"/>
      <c r="E51" s="5"/>
      <c r="F51" s="5"/>
      <c r="G51" s="5"/>
      <c r="H51" s="5"/>
    </row>
    <row r="52" spans="1:8">
      <c r="A52" s="7"/>
      <c r="B52" s="5"/>
      <c r="C52" s="5"/>
      <c r="D52" s="5"/>
      <c r="E52" s="5"/>
      <c r="F52" s="5"/>
      <c r="G52" s="5"/>
      <c r="H52" s="5"/>
    </row>
    <row r="53" spans="1:8">
      <c r="A53" s="7"/>
      <c r="B53" s="5"/>
      <c r="C53" s="5"/>
      <c r="D53" s="5"/>
      <c r="E53" s="5"/>
      <c r="F53" s="5"/>
      <c r="G53" s="5"/>
      <c r="H53" s="5"/>
    </row>
    <row r="54" spans="1:8">
      <c r="A54" s="7"/>
      <c r="B54" s="5"/>
      <c r="C54" s="5"/>
      <c r="D54" s="5"/>
      <c r="E54" s="5"/>
      <c r="F54" s="5"/>
      <c r="G54" s="5"/>
      <c r="H54" s="5"/>
    </row>
    <row r="55" spans="1:8">
      <c r="A55" s="7"/>
      <c r="B55" s="5"/>
      <c r="C55" s="5"/>
      <c r="D55" s="5"/>
      <c r="E55" s="5"/>
      <c r="F55" s="5"/>
      <c r="G55" s="5"/>
      <c r="H55" s="5"/>
    </row>
    <row r="56" spans="1:8">
      <c r="A56" s="7"/>
      <c r="B56" s="5"/>
      <c r="C56" s="5"/>
      <c r="D56" s="5"/>
      <c r="E56" s="5"/>
      <c r="F56" s="5"/>
      <c r="G56" s="5"/>
      <c r="H56" s="5"/>
    </row>
    <row r="57" spans="1:8">
      <c r="A57" s="7"/>
      <c r="B57" s="5"/>
      <c r="C57" s="5"/>
      <c r="D57" s="5"/>
      <c r="E57" s="5"/>
      <c r="F57" s="5"/>
      <c r="G57" s="5"/>
      <c r="H57" s="5"/>
    </row>
    <row r="58" spans="1:8">
      <c r="A58" s="7"/>
      <c r="B58" s="5"/>
      <c r="C58" s="5"/>
      <c r="D58" s="5"/>
      <c r="E58" s="5"/>
      <c r="F58" s="5"/>
      <c r="G58" s="5"/>
      <c r="H58" s="5"/>
    </row>
    <row r="59" spans="1:8">
      <c r="A59" s="7"/>
      <c r="B59" s="5"/>
      <c r="C59" s="5"/>
      <c r="D59" s="5"/>
      <c r="E59" s="5"/>
      <c r="F59" s="5"/>
      <c r="G59" s="5"/>
      <c r="H59" s="5"/>
    </row>
    <row r="60" spans="1:8">
      <c r="A60" s="7"/>
      <c r="B60" s="5"/>
      <c r="C60" s="5"/>
      <c r="D60" s="5"/>
      <c r="E60" s="5"/>
      <c r="F60" s="5"/>
      <c r="G60" s="5"/>
      <c r="H60" s="5"/>
    </row>
  </sheetData>
  <mergeCells count="1">
    <mergeCell ref="A39:F39"/>
  </mergeCells>
  <conditionalFormatting sqref="D6:D35">
    <cfRule type="expression" dxfId="6" priority="1">
      <formula>$A6&lt;&gt;""</formula>
    </cfRule>
  </conditionalFormatting>
  <conditionalFormatting sqref="F6:F35">
    <cfRule type="expression" dxfId="5" priority="2">
      <formula>$A6&lt;&gt;""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83"/>
  <sheetViews>
    <sheetView workbookViewId="0">
      <selection sqref="A1:F1"/>
    </sheetView>
  </sheetViews>
  <sheetFormatPr defaultRowHeight="14.25"/>
  <cols>
    <col min="1" max="1" width="14.5" customWidth="1"/>
    <col min="2" max="2" width="7.25" customWidth="1"/>
    <col min="3" max="3" width="8" customWidth="1"/>
    <col min="4" max="4" width="5.5" customWidth="1"/>
    <col min="5" max="6" width="4.875" customWidth="1"/>
  </cols>
  <sheetData>
    <row r="1" spans="1:6" ht="24" customHeight="1">
      <c r="A1" s="105" t="s">
        <v>264</v>
      </c>
      <c r="B1" s="105"/>
      <c r="C1" s="105"/>
      <c r="D1" s="105"/>
      <c r="E1" s="105"/>
      <c r="F1" s="105"/>
    </row>
    <row r="3" spans="1:6" ht="30">
      <c r="A3" s="2" t="s">
        <v>82</v>
      </c>
      <c r="B3" s="2" t="s">
        <v>265</v>
      </c>
      <c r="C3" s="2" t="s">
        <v>225</v>
      </c>
      <c r="D3" s="2" t="s">
        <v>215</v>
      </c>
      <c r="E3" s="2" t="s">
        <v>227</v>
      </c>
      <c r="F3" s="2" t="s">
        <v>228</v>
      </c>
    </row>
    <row r="4" spans="1:6">
      <c r="A4" t="s">
        <v>266</v>
      </c>
      <c r="B4">
        <v>4</v>
      </c>
      <c r="C4">
        <v>1</v>
      </c>
      <c r="D4">
        <v>1</v>
      </c>
      <c r="E4">
        <v>1</v>
      </c>
      <c r="F4">
        <v>4</v>
      </c>
    </row>
    <row r="5" spans="1:6">
      <c r="A5" t="s">
        <v>267</v>
      </c>
      <c r="B5">
        <v>4</v>
      </c>
      <c r="C5">
        <v>2</v>
      </c>
      <c r="D5">
        <v>1</v>
      </c>
      <c r="E5">
        <v>2</v>
      </c>
      <c r="F5">
        <v>3</v>
      </c>
    </row>
    <row r="6" spans="1:6">
      <c r="A6" t="s">
        <v>268</v>
      </c>
      <c r="B6">
        <v>4</v>
      </c>
      <c r="C6">
        <v>3</v>
      </c>
      <c r="D6">
        <v>2</v>
      </c>
      <c r="E6">
        <v>3</v>
      </c>
      <c r="F6">
        <v>1</v>
      </c>
    </row>
    <row r="7" spans="1:6">
      <c r="A7" t="s">
        <v>269</v>
      </c>
      <c r="B7">
        <v>4</v>
      </c>
      <c r="C7">
        <v>4</v>
      </c>
      <c r="D7">
        <v>2</v>
      </c>
      <c r="E7">
        <v>2</v>
      </c>
      <c r="F7">
        <v>4</v>
      </c>
    </row>
    <row r="8" spans="1:6">
      <c r="A8" t="s">
        <v>270</v>
      </c>
      <c r="B8">
        <v>4</v>
      </c>
      <c r="C8">
        <v>5</v>
      </c>
      <c r="D8">
        <v>3</v>
      </c>
      <c r="E8">
        <v>1</v>
      </c>
      <c r="F8">
        <v>2</v>
      </c>
    </row>
    <row r="9" spans="1:6">
      <c r="A9" t="s">
        <v>271</v>
      </c>
      <c r="B9">
        <v>4</v>
      </c>
      <c r="C9">
        <v>6</v>
      </c>
      <c r="D9">
        <v>3</v>
      </c>
      <c r="E9">
        <v>3</v>
      </c>
      <c r="F9">
        <v>4</v>
      </c>
    </row>
    <row r="10" spans="1:6">
      <c r="A10" t="s">
        <v>272</v>
      </c>
      <c r="B10">
        <v>5</v>
      </c>
      <c r="C10">
        <v>1</v>
      </c>
      <c r="D10">
        <v>1</v>
      </c>
      <c r="E10">
        <v>2</v>
      </c>
      <c r="F10">
        <v>5</v>
      </c>
    </row>
    <row r="11" spans="1:6">
      <c r="A11" t="s">
        <v>273</v>
      </c>
      <c r="B11">
        <v>5</v>
      </c>
      <c r="C11">
        <v>2</v>
      </c>
      <c r="D11">
        <v>1</v>
      </c>
      <c r="E11">
        <v>3</v>
      </c>
      <c r="F11">
        <v>4</v>
      </c>
    </row>
    <row r="12" spans="1:6">
      <c r="A12" t="s">
        <v>274</v>
      </c>
      <c r="B12">
        <v>5</v>
      </c>
      <c r="C12">
        <v>3</v>
      </c>
      <c r="D12">
        <v>2</v>
      </c>
      <c r="E12">
        <v>5</v>
      </c>
      <c r="F12">
        <v>1</v>
      </c>
    </row>
    <row r="13" spans="1:6">
      <c r="A13" t="s">
        <v>275</v>
      </c>
      <c r="B13">
        <v>5</v>
      </c>
      <c r="C13">
        <v>4</v>
      </c>
      <c r="D13">
        <v>2</v>
      </c>
      <c r="E13">
        <v>3</v>
      </c>
      <c r="F13">
        <v>2</v>
      </c>
    </row>
    <row r="14" spans="1:6">
      <c r="A14" t="s">
        <v>276</v>
      </c>
      <c r="B14">
        <v>5</v>
      </c>
      <c r="C14">
        <v>5</v>
      </c>
      <c r="D14">
        <v>3</v>
      </c>
      <c r="E14">
        <v>1</v>
      </c>
      <c r="F14">
        <v>4</v>
      </c>
    </row>
    <row r="15" spans="1:6">
      <c r="A15" t="s">
        <v>277</v>
      </c>
      <c r="B15">
        <v>5</v>
      </c>
      <c r="C15">
        <v>6</v>
      </c>
      <c r="D15">
        <v>3</v>
      </c>
      <c r="E15">
        <v>5</v>
      </c>
      <c r="F15">
        <v>3</v>
      </c>
    </row>
    <row r="16" spans="1:6">
      <c r="A16" t="s">
        <v>278</v>
      </c>
      <c r="B16">
        <v>5</v>
      </c>
      <c r="C16">
        <v>7</v>
      </c>
      <c r="D16">
        <v>4</v>
      </c>
      <c r="E16">
        <v>3</v>
      </c>
      <c r="F16">
        <v>1</v>
      </c>
    </row>
    <row r="17" spans="1:6">
      <c r="A17" t="s">
        <v>279</v>
      </c>
      <c r="B17">
        <v>5</v>
      </c>
      <c r="C17">
        <v>8</v>
      </c>
      <c r="D17">
        <v>4</v>
      </c>
      <c r="E17">
        <v>2</v>
      </c>
      <c r="F17">
        <v>4</v>
      </c>
    </row>
    <row r="18" spans="1:6">
      <c r="A18" t="s">
        <v>280</v>
      </c>
      <c r="B18">
        <v>5</v>
      </c>
      <c r="C18">
        <v>9</v>
      </c>
      <c r="D18">
        <v>5</v>
      </c>
      <c r="E18">
        <v>1</v>
      </c>
      <c r="F18">
        <v>2</v>
      </c>
    </row>
    <row r="19" spans="1:6">
      <c r="A19" t="s">
        <v>281</v>
      </c>
      <c r="B19">
        <v>5</v>
      </c>
      <c r="C19">
        <v>10</v>
      </c>
      <c r="D19">
        <v>5</v>
      </c>
      <c r="E19">
        <v>4</v>
      </c>
      <c r="F19">
        <v>5</v>
      </c>
    </row>
    <row r="20" spans="1:6">
      <c r="A20" t="s">
        <v>282</v>
      </c>
      <c r="B20">
        <v>6</v>
      </c>
      <c r="C20">
        <v>1</v>
      </c>
      <c r="D20">
        <v>1</v>
      </c>
      <c r="E20">
        <v>1</v>
      </c>
      <c r="F20">
        <v>6</v>
      </c>
    </row>
    <row r="21" spans="1:6">
      <c r="A21" t="s">
        <v>283</v>
      </c>
      <c r="B21">
        <v>6</v>
      </c>
      <c r="C21">
        <v>2</v>
      </c>
      <c r="D21">
        <v>1</v>
      </c>
      <c r="E21">
        <v>2</v>
      </c>
      <c r="F21">
        <v>5</v>
      </c>
    </row>
    <row r="22" spans="1:6">
      <c r="A22" t="s">
        <v>284</v>
      </c>
      <c r="B22">
        <v>6</v>
      </c>
      <c r="C22">
        <v>3</v>
      </c>
      <c r="D22">
        <v>1</v>
      </c>
      <c r="E22">
        <v>3</v>
      </c>
      <c r="F22">
        <v>4</v>
      </c>
    </row>
    <row r="23" spans="1:6">
      <c r="A23" t="s">
        <v>285</v>
      </c>
      <c r="B23">
        <v>6</v>
      </c>
      <c r="C23">
        <v>4</v>
      </c>
      <c r="D23">
        <v>2</v>
      </c>
      <c r="E23">
        <v>5</v>
      </c>
      <c r="F23">
        <v>1</v>
      </c>
    </row>
    <row r="24" spans="1:6">
      <c r="A24" t="s">
        <v>286</v>
      </c>
      <c r="B24">
        <v>6</v>
      </c>
      <c r="C24">
        <v>5</v>
      </c>
      <c r="D24">
        <v>2</v>
      </c>
      <c r="E24">
        <v>4</v>
      </c>
      <c r="F24">
        <v>6</v>
      </c>
    </row>
    <row r="25" spans="1:6">
      <c r="A25" t="s">
        <v>287</v>
      </c>
      <c r="B25">
        <v>6</v>
      </c>
      <c r="C25">
        <v>6</v>
      </c>
      <c r="D25">
        <v>2</v>
      </c>
      <c r="E25">
        <v>3</v>
      </c>
      <c r="F25">
        <v>2</v>
      </c>
    </row>
    <row r="26" spans="1:6">
      <c r="A26" t="s">
        <v>288</v>
      </c>
      <c r="B26">
        <v>6</v>
      </c>
      <c r="C26">
        <v>7</v>
      </c>
      <c r="D26">
        <v>3</v>
      </c>
      <c r="E26">
        <v>1</v>
      </c>
      <c r="F26">
        <v>4</v>
      </c>
    </row>
    <row r="27" spans="1:6">
      <c r="A27" t="s">
        <v>289</v>
      </c>
      <c r="B27">
        <v>6</v>
      </c>
      <c r="C27">
        <v>8</v>
      </c>
      <c r="D27">
        <v>3</v>
      </c>
      <c r="E27">
        <v>5</v>
      </c>
      <c r="F27">
        <v>3</v>
      </c>
    </row>
    <row r="28" spans="1:6">
      <c r="A28" t="s">
        <v>290</v>
      </c>
      <c r="B28">
        <v>6</v>
      </c>
      <c r="C28">
        <v>9</v>
      </c>
      <c r="D28">
        <v>3</v>
      </c>
      <c r="E28">
        <v>6</v>
      </c>
      <c r="F28">
        <v>2</v>
      </c>
    </row>
    <row r="29" spans="1:6">
      <c r="A29" t="s">
        <v>291</v>
      </c>
      <c r="B29">
        <v>6</v>
      </c>
      <c r="C29">
        <v>10</v>
      </c>
      <c r="D29">
        <v>4</v>
      </c>
      <c r="E29">
        <v>3</v>
      </c>
      <c r="F29">
        <v>1</v>
      </c>
    </row>
    <row r="30" spans="1:6">
      <c r="A30" t="s">
        <v>292</v>
      </c>
      <c r="B30">
        <v>6</v>
      </c>
      <c r="C30">
        <v>11</v>
      </c>
      <c r="D30">
        <v>4</v>
      </c>
      <c r="E30">
        <v>2</v>
      </c>
      <c r="F30">
        <v>4</v>
      </c>
    </row>
    <row r="31" spans="1:6">
      <c r="A31" t="s">
        <v>293</v>
      </c>
      <c r="B31">
        <v>6</v>
      </c>
      <c r="C31">
        <v>12</v>
      </c>
      <c r="D31">
        <v>4</v>
      </c>
      <c r="E31">
        <v>6</v>
      </c>
      <c r="F31">
        <v>5</v>
      </c>
    </row>
    <row r="32" spans="1:6">
      <c r="A32" t="s">
        <v>294</v>
      </c>
      <c r="B32">
        <v>6</v>
      </c>
      <c r="C32">
        <v>13</v>
      </c>
      <c r="D32">
        <v>5</v>
      </c>
      <c r="E32">
        <v>1</v>
      </c>
      <c r="F32">
        <v>2</v>
      </c>
    </row>
    <row r="33" spans="1:6">
      <c r="A33" t="s">
        <v>295</v>
      </c>
      <c r="B33">
        <v>6</v>
      </c>
      <c r="C33">
        <v>14</v>
      </c>
      <c r="D33">
        <v>5</v>
      </c>
      <c r="E33">
        <v>3</v>
      </c>
      <c r="F33">
        <v>6</v>
      </c>
    </row>
    <row r="34" spans="1:6">
      <c r="A34" t="s">
        <v>296</v>
      </c>
      <c r="B34">
        <v>6</v>
      </c>
      <c r="C34">
        <v>15</v>
      </c>
      <c r="D34">
        <v>5</v>
      </c>
      <c r="E34">
        <v>4</v>
      </c>
      <c r="F34">
        <v>5</v>
      </c>
    </row>
    <row r="35" spans="1:6">
      <c r="A35" t="s">
        <v>297</v>
      </c>
      <c r="B35">
        <v>7</v>
      </c>
      <c r="C35">
        <v>1</v>
      </c>
      <c r="D35">
        <v>1</v>
      </c>
      <c r="E35">
        <v>2</v>
      </c>
      <c r="F35">
        <v>7</v>
      </c>
    </row>
    <row r="36" spans="1:6">
      <c r="A36" t="s">
        <v>298</v>
      </c>
      <c r="B36">
        <v>7</v>
      </c>
      <c r="C36">
        <v>2</v>
      </c>
      <c r="D36">
        <v>1</v>
      </c>
      <c r="E36">
        <v>3</v>
      </c>
      <c r="F36">
        <v>6</v>
      </c>
    </row>
    <row r="37" spans="1:6">
      <c r="A37" t="s">
        <v>299</v>
      </c>
      <c r="B37">
        <v>7</v>
      </c>
      <c r="C37">
        <v>3</v>
      </c>
      <c r="D37">
        <v>1</v>
      </c>
      <c r="E37">
        <v>4</v>
      </c>
      <c r="F37">
        <v>5</v>
      </c>
    </row>
    <row r="38" spans="1:6">
      <c r="A38" t="s">
        <v>300</v>
      </c>
      <c r="B38">
        <v>7</v>
      </c>
      <c r="C38">
        <v>4</v>
      </c>
      <c r="D38">
        <v>2</v>
      </c>
      <c r="E38">
        <v>7</v>
      </c>
      <c r="F38">
        <v>1</v>
      </c>
    </row>
    <row r="39" spans="1:6">
      <c r="A39" t="s">
        <v>301</v>
      </c>
      <c r="B39">
        <v>7</v>
      </c>
      <c r="C39">
        <v>5</v>
      </c>
      <c r="D39">
        <v>2</v>
      </c>
      <c r="E39">
        <v>5</v>
      </c>
      <c r="F39">
        <v>2</v>
      </c>
    </row>
    <row r="40" spans="1:6">
      <c r="A40" t="s">
        <v>302</v>
      </c>
      <c r="B40">
        <v>7</v>
      </c>
      <c r="C40">
        <v>6</v>
      </c>
      <c r="D40">
        <v>2</v>
      </c>
      <c r="E40">
        <v>4</v>
      </c>
      <c r="F40">
        <v>3</v>
      </c>
    </row>
    <row r="41" spans="1:6">
      <c r="A41" t="s">
        <v>303</v>
      </c>
      <c r="B41">
        <v>7</v>
      </c>
      <c r="C41">
        <v>7</v>
      </c>
      <c r="D41">
        <v>3</v>
      </c>
      <c r="E41">
        <v>1</v>
      </c>
      <c r="F41">
        <v>6</v>
      </c>
    </row>
    <row r="42" spans="1:6">
      <c r="A42" t="s">
        <v>304</v>
      </c>
      <c r="B42">
        <v>7</v>
      </c>
      <c r="C42">
        <v>8</v>
      </c>
      <c r="D42">
        <v>3</v>
      </c>
      <c r="E42">
        <v>7</v>
      </c>
      <c r="F42">
        <v>5</v>
      </c>
    </row>
    <row r="43" spans="1:6">
      <c r="A43" t="s">
        <v>305</v>
      </c>
      <c r="B43">
        <v>7</v>
      </c>
      <c r="C43">
        <v>9</v>
      </c>
      <c r="D43">
        <v>3</v>
      </c>
      <c r="E43">
        <v>2</v>
      </c>
      <c r="F43">
        <v>3</v>
      </c>
    </row>
    <row r="44" spans="1:6">
      <c r="A44" t="s">
        <v>306</v>
      </c>
      <c r="B44">
        <v>7</v>
      </c>
      <c r="C44">
        <v>10</v>
      </c>
      <c r="D44">
        <v>4</v>
      </c>
      <c r="E44">
        <v>5</v>
      </c>
      <c r="F44">
        <v>1</v>
      </c>
    </row>
    <row r="45" spans="1:6">
      <c r="A45" t="s">
        <v>307</v>
      </c>
      <c r="B45">
        <v>7</v>
      </c>
      <c r="C45">
        <v>11</v>
      </c>
      <c r="D45">
        <v>4</v>
      </c>
      <c r="E45">
        <v>4</v>
      </c>
      <c r="F45">
        <v>6</v>
      </c>
    </row>
    <row r="46" spans="1:6">
      <c r="A46" t="s">
        <v>308</v>
      </c>
      <c r="B46">
        <v>7</v>
      </c>
      <c r="C46">
        <v>12</v>
      </c>
      <c r="D46">
        <v>4</v>
      </c>
      <c r="E46">
        <v>3</v>
      </c>
      <c r="F46">
        <v>7</v>
      </c>
    </row>
    <row r="47" spans="1:6">
      <c r="A47" t="s">
        <v>309</v>
      </c>
      <c r="B47">
        <v>7</v>
      </c>
      <c r="C47">
        <v>13</v>
      </c>
      <c r="D47">
        <v>5</v>
      </c>
      <c r="E47">
        <v>1</v>
      </c>
      <c r="F47">
        <v>4</v>
      </c>
    </row>
    <row r="48" spans="1:6">
      <c r="A48" t="s">
        <v>310</v>
      </c>
      <c r="B48">
        <v>7</v>
      </c>
      <c r="C48">
        <v>14</v>
      </c>
      <c r="D48">
        <v>5</v>
      </c>
      <c r="E48">
        <v>5</v>
      </c>
      <c r="F48">
        <v>3</v>
      </c>
    </row>
    <row r="49" spans="1:6">
      <c r="A49" t="s">
        <v>311</v>
      </c>
      <c r="B49">
        <v>7</v>
      </c>
      <c r="C49">
        <v>15</v>
      </c>
      <c r="D49">
        <v>5</v>
      </c>
      <c r="E49">
        <v>6</v>
      </c>
      <c r="F49">
        <v>2</v>
      </c>
    </row>
    <row r="50" spans="1:6">
      <c r="A50" t="s">
        <v>312</v>
      </c>
      <c r="B50">
        <v>7</v>
      </c>
      <c r="C50">
        <v>16</v>
      </c>
      <c r="D50">
        <v>6</v>
      </c>
      <c r="E50">
        <v>3</v>
      </c>
      <c r="F50">
        <v>1</v>
      </c>
    </row>
    <row r="51" spans="1:6">
      <c r="A51" t="s">
        <v>313</v>
      </c>
      <c r="B51">
        <v>7</v>
      </c>
      <c r="C51">
        <v>17</v>
      </c>
      <c r="D51">
        <v>6</v>
      </c>
      <c r="E51">
        <v>2</v>
      </c>
      <c r="F51">
        <v>4</v>
      </c>
    </row>
    <row r="52" spans="1:6">
      <c r="A52" t="s">
        <v>314</v>
      </c>
      <c r="B52">
        <v>7</v>
      </c>
      <c r="C52">
        <v>18</v>
      </c>
      <c r="D52">
        <v>6</v>
      </c>
      <c r="E52">
        <v>7</v>
      </c>
      <c r="F52">
        <v>6</v>
      </c>
    </row>
    <row r="53" spans="1:6">
      <c r="A53" t="s">
        <v>315</v>
      </c>
      <c r="B53">
        <v>7</v>
      </c>
      <c r="C53">
        <v>19</v>
      </c>
      <c r="D53">
        <v>7</v>
      </c>
      <c r="E53">
        <v>1</v>
      </c>
      <c r="F53">
        <v>2</v>
      </c>
    </row>
    <row r="54" spans="1:6">
      <c r="A54" t="s">
        <v>316</v>
      </c>
      <c r="B54">
        <v>7</v>
      </c>
      <c r="C54">
        <v>20</v>
      </c>
      <c r="D54">
        <v>7</v>
      </c>
      <c r="E54">
        <v>4</v>
      </c>
      <c r="F54">
        <v>7</v>
      </c>
    </row>
    <row r="55" spans="1:6">
      <c r="A55" t="s">
        <v>317</v>
      </c>
      <c r="B55">
        <v>7</v>
      </c>
      <c r="C55">
        <v>21</v>
      </c>
      <c r="D55">
        <v>7</v>
      </c>
      <c r="E55">
        <v>5</v>
      </c>
      <c r="F55">
        <v>6</v>
      </c>
    </row>
    <row r="56" spans="1:6">
      <c r="A56" t="s">
        <v>318</v>
      </c>
      <c r="B56">
        <v>8</v>
      </c>
      <c r="C56">
        <v>1</v>
      </c>
      <c r="D56">
        <v>1</v>
      </c>
      <c r="E56">
        <v>1</v>
      </c>
      <c r="F56">
        <v>8</v>
      </c>
    </row>
    <row r="57" spans="1:6">
      <c r="A57" t="s">
        <v>319</v>
      </c>
      <c r="B57">
        <v>8</v>
      </c>
      <c r="C57">
        <v>2</v>
      </c>
      <c r="D57">
        <v>1</v>
      </c>
      <c r="E57">
        <v>2</v>
      </c>
      <c r="F57">
        <v>7</v>
      </c>
    </row>
    <row r="58" spans="1:6">
      <c r="A58" t="s">
        <v>320</v>
      </c>
      <c r="B58">
        <v>8</v>
      </c>
      <c r="C58">
        <v>3</v>
      </c>
      <c r="D58">
        <v>1</v>
      </c>
      <c r="E58">
        <v>3</v>
      </c>
      <c r="F58">
        <v>6</v>
      </c>
    </row>
    <row r="59" spans="1:6">
      <c r="A59" t="s">
        <v>321</v>
      </c>
      <c r="B59">
        <v>8</v>
      </c>
      <c r="C59">
        <v>4</v>
      </c>
      <c r="D59">
        <v>1</v>
      </c>
      <c r="E59">
        <v>4</v>
      </c>
      <c r="F59">
        <v>5</v>
      </c>
    </row>
    <row r="60" spans="1:6">
      <c r="A60" t="s">
        <v>322</v>
      </c>
      <c r="B60">
        <v>8</v>
      </c>
      <c r="C60">
        <v>5</v>
      </c>
      <c r="D60">
        <v>2</v>
      </c>
      <c r="E60">
        <v>7</v>
      </c>
      <c r="F60">
        <v>1</v>
      </c>
    </row>
    <row r="61" spans="1:6">
      <c r="A61" t="s">
        <v>323</v>
      </c>
      <c r="B61">
        <v>8</v>
      </c>
      <c r="C61">
        <v>6</v>
      </c>
      <c r="D61">
        <v>2</v>
      </c>
      <c r="E61">
        <v>6</v>
      </c>
      <c r="F61">
        <v>8</v>
      </c>
    </row>
    <row r="62" spans="1:6">
      <c r="A62" t="s">
        <v>324</v>
      </c>
      <c r="B62">
        <v>8</v>
      </c>
      <c r="C62">
        <v>7</v>
      </c>
      <c r="D62">
        <v>2</v>
      </c>
      <c r="E62">
        <v>5</v>
      </c>
      <c r="F62">
        <v>2</v>
      </c>
    </row>
    <row r="63" spans="1:6">
      <c r="A63" t="s">
        <v>325</v>
      </c>
      <c r="B63">
        <v>8</v>
      </c>
      <c r="C63">
        <v>8</v>
      </c>
      <c r="D63">
        <v>2</v>
      </c>
      <c r="E63">
        <v>4</v>
      </c>
      <c r="F63">
        <v>3</v>
      </c>
    </row>
    <row r="64" spans="1:6">
      <c r="A64" t="s">
        <v>326</v>
      </c>
      <c r="B64">
        <v>8</v>
      </c>
      <c r="C64">
        <v>9</v>
      </c>
      <c r="D64">
        <v>3</v>
      </c>
      <c r="E64">
        <v>1</v>
      </c>
      <c r="F64">
        <v>6</v>
      </c>
    </row>
    <row r="65" spans="1:6">
      <c r="A65" t="s">
        <v>327</v>
      </c>
      <c r="B65">
        <v>8</v>
      </c>
      <c r="C65">
        <v>10</v>
      </c>
      <c r="D65">
        <v>3</v>
      </c>
      <c r="E65">
        <v>7</v>
      </c>
      <c r="F65">
        <v>5</v>
      </c>
    </row>
    <row r="66" spans="1:6">
      <c r="A66" t="s">
        <v>328</v>
      </c>
      <c r="B66">
        <v>8</v>
      </c>
      <c r="C66">
        <v>11</v>
      </c>
      <c r="D66">
        <v>3</v>
      </c>
      <c r="E66">
        <v>8</v>
      </c>
      <c r="F66">
        <v>4</v>
      </c>
    </row>
    <row r="67" spans="1:6">
      <c r="A67" t="s">
        <v>329</v>
      </c>
      <c r="B67">
        <v>8</v>
      </c>
      <c r="C67">
        <v>12</v>
      </c>
      <c r="D67">
        <v>3</v>
      </c>
      <c r="E67">
        <v>2</v>
      </c>
      <c r="F67">
        <v>3</v>
      </c>
    </row>
    <row r="68" spans="1:6">
      <c r="A68" t="s">
        <v>330</v>
      </c>
      <c r="B68">
        <v>8</v>
      </c>
      <c r="C68">
        <v>13</v>
      </c>
      <c r="D68">
        <v>4</v>
      </c>
      <c r="E68">
        <v>5</v>
      </c>
      <c r="F68">
        <v>1</v>
      </c>
    </row>
    <row r="69" spans="1:6">
      <c r="A69" t="s">
        <v>331</v>
      </c>
      <c r="B69">
        <v>8</v>
      </c>
      <c r="C69">
        <v>14</v>
      </c>
      <c r="D69">
        <v>4</v>
      </c>
      <c r="E69">
        <v>4</v>
      </c>
      <c r="F69">
        <v>6</v>
      </c>
    </row>
    <row r="70" spans="1:6">
      <c r="A70" t="s">
        <v>332</v>
      </c>
      <c r="B70">
        <v>8</v>
      </c>
      <c r="C70">
        <v>15</v>
      </c>
      <c r="D70">
        <v>4</v>
      </c>
      <c r="E70">
        <v>3</v>
      </c>
      <c r="F70">
        <v>7</v>
      </c>
    </row>
    <row r="71" spans="1:6">
      <c r="A71" t="s">
        <v>333</v>
      </c>
      <c r="B71">
        <v>8</v>
      </c>
      <c r="C71">
        <v>16</v>
      </c>
      <c r="D71">
        <v>4</v>
      </c>
      <c r="E71">
        <v>2</v>
      </c>
      <c r="F71">
        <v>8</v>
      </c>
    </row>
    <row r="72" spans="1:6">
      <c r="A72" t="s">
        <v>334</v>
      </c>
      <c r="B72">
        <v>8</v>
      </c>
      <c r="C72">
        <v>17</v>
      </c>
      <c r="D72">
        <v>5</v>
      </c>
      <c r="E72">
        <v>1</v>
      </c>
      <c r="F72">
        <v>4</v>
      </c>
    </row>
    <row r="73" spans="1:6">
      <c r="A73" t="s">
        <v>335</v>
      </c>
      <c r="B73">
        <v>8</v>
      </c>
      <c r="C73">
        <v>18</v>
      </c>
      <c r="D73">
        <v>5</v>
      </c>
      <c r="E73">
        <v>5</v>
      </c>
      <c r="F73">
        <v>3</v>
      </c>
    </row>
    <row r="74" spans="1:6">
      <c r="A74" t="s">
        <v>336</v>
      </c>
      <c r="B74">
        <v>8</v>
      </c>
      <c r="C74">
        <v>19</v>
      </c>
      <c r="D74">
        <v>5</v>
      </c>
      <c r="E74">
        <v>6</v>
      </c>
      <c r="F74">
        <v>2</v>
      </c>
    </row>
    <row r="75" spans="1:6">
      <c r="A75" t="s">
        <v>337</v>
      </c>
      <c r="B75">
        <v>8</v>
      </c>
      <c r="C75">
        <v>20</v>
      </c>
      <c r="D75">
        <v>5</v>
      </c>
      <c r="E75">
        <v>7</v>
      </c>
      <c r="F75">
        <v>8</v>
      </c>
    </row>
    <row r="76" spans="1:6">
      <c r="A76" t="s">
        <v>338</v>
      </c>
      <c r="B76">
        <v>8</v>
      </c>
      <c r="C76">
        <v>21</v>
      </c>
      <c r="D76">
        <v>6</v>
      </c>
      <c r="E76">
        <v>3</v>
      </c>
      <c r="F76">
        <v>1</v>
      </c>
    </row>
    <row r="77" spans="1:6">
      <c r="A77" t="s">
        <v>339</v>
      </c>
      <c r="B77">
        <v>8</v>
      </c>
      <c r="C77">
        <v>22</v>
      </c>
      <c r="D77">
        <v>6</v>
      </c>
      <c r="E77">
        <v>2</v>
      </c>
      <c r="F77">
        <v>4</v>
      </c>
    </row>
    <row r="78" spans="1:6">
      <c r="A78" t="s">
        <v>340</v>
      </c>
      <c r="B78">
        <v>8</v>
      </c>
      <c r="C78">
        <v>23</v>
      </c>
      <c r="D78">
        <v>6</v>
      </c>
      <c r="E78">
        <v>8</v>
      </c>
      <c r="F78">
        <v>5</v>
      </c>
    </row>
    <row r="79" spans="1:6">
      <c r="A79" t="s">
        <v>341</v>
      </c>
      <c r="B79">
        <v>8</v>
      </c>
      <c r="C79">
        <v>24</v>
      </c>
      <c r="D79">
        <v>6</v>
      </c>
      <c r="E79">
        <v>7</v>
      </c>
      <c r="F79">
        <v>6</v>
      </c>
    </row>
    <row r="80" spans="1:6">
      <c r="A80" t="s">
        <v>342</v>
      </c>
      <c r="B80">
        <v>8</v>
      </c>
      <c r="C80">
        <v>25</v>
      </c>
      <c r="D80">
        <v>7</v>
      </c>
      <c r="E80">
        <v>1</v>
      </c>
      <c r="F80">
        <v>2</v>
      </c>
    </row>
    <row r="81" spans="1:6">
      <c r="A81" t="s">
        <v>343</v>
      </c>
      <c r="B81">
        <v>8</v>
      </c>
      <c r="C81">
        <v>26</v>
      </c>
      <c r="D81">
        <v>7</v>
      </c>
      <c r="E81">
        <v>3</v>
      </c>
      <c r="F81">
        <v>8</v>
      </c>
    </row>
    <row r="82" spans="1:6">
      <c r="A82" t="s">
        <v>344</v>
      </c>
      <c r="B82">
        <v>8</v>
      </c>
      <c r="C82">
        <v>27</v>
      </c>
      <c r="D82">
        <v>7</v>
      </c>
      <c r="E82">
        <v>4</v>
      </c>
      <c r="F82">
        <v>7</v>
      </c>
    </row>
    <row r="83" spans="1:6">
      <c r="A83" t="s">
        <v>345</v>
      </c>
      <c r="B83">
        <v>8</v>
      </c>
      <c r="C83">
        <v>28</v>
      </c>
      <c r="D83">
        <v>7</v>
      </c>
      <c r="E83">
        <v>5</v>
      </c>
      <c r="F83">
        <v>6</v>
      </c>
    </row>
  </sheetData>
  <mergeCells count="1">
    <mergeCell ref="A1:F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B45"/>
  <sheetViews>
    <sheetView workbookViewId="0"/>
  </sheetViews>
  <sheetFormatPr defaultRowHeight="14.25"/>
  <cols>
    <col min="1" max="1" width="2" customWidth="1"/>
    <col min="2" max="2" width="25" customWidth="1"/>
    <col min="3" max="3" width="2" customWidth="1"/>
    <col min="4" max="4" width="8" customWidth="1"/>
    <col min="5" max="7" width="3" customWidth="1"/>
    <col min="8" max="8" width="25" customWidth="1"/>
    <col min="9" max="9" width="2" customWidth="1"/>
    <col min="10" max="10" width="8" customWidth="1"/>
    <col min="11" max="13" width="3" customWidth="1"/>
    <col min="14" max="14" width="25" customWidth="1"/>
    <col min="15" max="15" width="2" customWidth="1"/>
    <col min="16" max="16" width="8" customWidth="1"/>
    <col min="17" max="19" width="3" customWidth="1"/>
    <col min="20" max="20" width="25" customWidth="1"/>
    <col min="21" max="21" width="2" customWidth="1"/>
    <col min="22" max="22" width="8" customWidth="1"/>
    <col min="23" max="25" width="3" customWidth="1"/>
    <col min="26" max="26" width="25" customWidth="1"/>
    <col min="27" max="27" width="2" customWidth="1"/>
    <col min="28" max="28" width="8" customWidth="1"/>
  </cols>
  <sheetData>
    <row r="1" spans="1:28" ht="18.95" customHeight="1">
      <c r="A1" s="29"/>
      <c r="B1" s="29" t="s">
        <v>346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</row>
    <row r="2" spans="1:28" ht="18.95" customHeight="1">
      <c r="A2" s="63"/>
      <c r="B2" s="63" t="str">
        <f>"Competition: "&amp;Setup!$B$4&amp;"   |   "&amp;Setup!$E$5</f>
        <v>Competition: Simple Score Tournament   |   Semi-finals + Final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</row>
    <row r="3" spans="1:28" ht="18.95" customHeight="1">
      <c r="A3" s="64"/>
      <c r="B3" s="73" t="s">
        <v>347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</row>
    <row r="4" spans="1:28" ht="18.95" customHeight="1">
      <c r="A4" s="64"/>
      <c r="B4" s="74" t="str">
        <f>IF(Setup!$E$4=16,"ROUND OF 16",IF(Setup!$E$4=8,"QUARTER-FINALS",IF(Setup!$E$4=4,"SEMI-FINALS",IF(Setup!$E$4=2,"FINAL",""))))</f>
        <v>SEMI-FINALS</v>
      </c>
      <c r="C4" s="64"/>
      <c r="D4" s="64"/>
      <c r="E4" s="64"/>
      <c r="F4" s="64"/>
      <c r="G4" s="64"/>
      <c r="H4" s="74" t="str">
        <f>IF(Setup!$E$4=16,"QUARTER-FINALS",IF(Setup!$E$4=8,"SEMI-FINALS",IF(Setup!$E$4=4,"FINAL",IF(Setup!$E$4=2,"CHAMPION",""))))</f>
        <v>FINAL</v>
      </c>
      <c r="I4" s="64"/>
      <c r="J4" s="64"/>
      <c r="K4" s="64"/>
      <c r="L4" s="64"/>
      <c r="M4" s="64"/>
      <c r="N4" s="74" t="str">
        <f>IF(Setup!$E$4=16,"SEMI-FINALS",IF(Setup!$E$4=8,"FINAL",IF(Setup!$E$4=4,"CHAMPION","")))</f>
        <v>CHAMPION</v>
      </c>
      <c r="O4" s="64"/>
      <c r="P4" s="64"/>
      <c r="Q4" s="64"/>
      <c r="R4" s="64"/>
      <c r="S4" s="64"/>
      <c r="T4" s="74" t="str">
        <f>IF(Setup!$E$4=16,"FINAL",IF(Setup!$E$4=8,"CHAMPION",""))</f>
        <v/>
      </c>
      <c r="U4" s="64"/>
      <c r="V4" s="64"/>
      <c r="W4" s="64"/>
      <c r="X4" s="64"/>
      <c r="Y4" s="64"/>
      <c r="Z4" s="74" t="str">
        <f>IF(Setup!$E$4=16,"CHAMPION","")</f>
        <v/>
      </c>
      <c r="AA4" s="64"/>
      <c r="AB4" s="64"/>
    </row>
    <row r="5" spans="1:28" ht="18.95" customHeight="1">
      <c r="A5" s="64"/>
      <c r="B5" s="64"/>
      <c r="C5" s="64"/>
      <c r="D5" s="48"/>
      <c r="E5" s="64"/>
      <c r="F5" s="64"/>
      <c r="G5" s="64"/>
      <c r="H5" s="64"/>
      <c r="I5" s="64"/>
      <c r="J5" s="48"/>
      <c r="K5" s="64"/>
      <c r="L5" s="64"/>
      <c r="M5" s="64"/>
      <c r="N5" s="64"/>
      <c r="O5" s="64"/>
      <c r="P5" s="48"/>
      <c r="Q5" s="64"/>
      <c r="R5" s="64"/>
      <c r="S5" s="64"/>
      <c r="T5" s="64"/>
      <c r="U5" s="64"/>
      <c r="V5" s="48"/>
      <c r="W5" s="64"/>
      <c r="X5" s="64"/>
      <c r="Y5" s="64"/>
      <c r="Z5" s="64"/>
      <c r="AA5" s="64"/>
      <c r="AB5" s="48"/>
    </row>
    <row r="6" spans="1:28" ht="18.95" customHeight="1">
      <c r="A6" s="64"/>
      <c r="B6" s="64" t="str">
        <f>IF(Setup!$E$4=16,Finals!$B$6,"")</f>
        <v/>
      </c>
      <c r="C6" s="64"/>
      <c r="D6" s="48"/>
      <c r="E6" s="64"/>
      <c r="F6" s="64"/>
      <c r="G6" s="64"/>
      <c r="H6" s="64"/>
      <c r="I6" s="64"/>
      <c r="J6" s="48"/>
      <c r="K6" s="64"/>
      <c r="L6" s="64"/>
      <c r="M6" s="64"/>
      <c r="N6" s="64"/>
      <c r="O6" s="64"/>
      <c r="P6" s="48"/>
      <c r="Q6" s="64"/>
      <c r="R6" s="64"/>
      <c r="S6" s="64"/>
      <c r="T6" s="64"/>
      <c r="U6" s="64"/>
      <c r="V6" s="48"/>
      <c r="W6" s="64"/>
      <c r="X6" s="64"/>
      <c r="Y6" s="64"/>
      <c r="Z6" s="64"/>
      <c r="AA6" s="64"/>
      <c r="AB6" s="48"/>
    </row>
    <row r="7" spans="1:28" ht="18.95" customHeight="1">
      <c r="A7" s="64"/>
      <c r="B7" s="64" t="str">
        <f>IF(Setup!$E$4=16,Finals!$C$6,"")</f>
        <v/>
      </c>
      <c r="C7" s="64"/>
      <c r="D7" s="48" t="str">
        <f>IF(Setup!$E$4=16,IF(Finals!$H$6="Complete",Finals!$D$6,""),"")</f>
        <v/>
      </c>
      <c r="E7" s="64"/>
      <c r="F7" s="64"/>
      <c r="G7" s="64"/>
      <c r="H7" s="64"/>
      <c r="I7" s="64"/>
      <c r="J7" s="48"/>
      <c r="K7" s="64"/>
      <c r="L7" s="64"/>
      <c r="M7" s="64"/>
      <c r="N7" s="64"/>
      <c r="O7" s="64"/>
      <c r="P7" s="48"/>
      <c r="Q7" s="64"/>
      <c r="R7" s="64"/>
      <c r="S7" s="64"/>
      <c r="T7" s="64"/>
      <c r="U7" s="64"/>
      <c r="V7" s="48"/>
      <c r="W7" s="64"/>
      <c r="X7" s="64"/>
      <c r="Y7" s="64"/>
      <c r="Z7" s="64"/>
      <c r="AA7" s="64"/>
      <c r="AB7" s="48"/>
    </row>
    <row r="8" spans="1:28" ht="18.95" customHeight="1">
      <c r="A8" s="64"/>
      <c r="B8" s="64" t="str">
        <f>IF(Setup!$E$4=8,Finals!$B$16,IF(Setup!$E$4=16,Finals!$E$6,""))</f>
        <v/>
      </c>
      <c r="C8" s="64"/>
      <c r="D8" s="48" t="str">
        <f>IF(Setup!$E$4=16,IF(Finals!$H$6="Complete",Finals!$F$6,""),"")</f>
        <v/>
      </c>
      <c r="E8" s="64"/>
      <c r="F8" s="64"/>
      <c r="G8" s="64"/>
      <c r="H8" s="64" t="str">
        <f>IF(Setup!$E$4=16,Finals!$B$16,"")</f>
        <v/>
      </c>
      <c r="I8" s="64"/>
      <c r="J8" s="48"/>
      <c r="K8" s="64"/>
      <c r="L8" s="64"/>
      <c r="M8" s="64"/>
      <c r="N8" s="64"/>
      <c r="O8" s="64"/>
      <c r="P8" s="48"/>
      <c r="Q8" s="64"/>
      <c r="R8" s="64"/>
      <c r="S8" s="64"/>
      <c r="T8" s="64"/>
      <c r="U8" s="64"/>
      <c r="V8" s="48"/>
      <c r="W8" s="64"/>
      <c r="X8" s="64"/>
      <c r="Y8" s="64"/>
      <c r="Z8" s="64"/>
      <c r="AA8" s="64"/>
      <c r="AB8" s="48"/>
    </row>
    <row r="9" spans="1:28" ht="18.95" customHeight="1">
      <c r="A9" s="64"/>
      <c r="B9" s="64" t="str">
        <f>IF(Setup!$E$4=8,Finals!$C$16,"")</f>
        <v/>
      </c>
      <c r="C9" s="64"/>
      <c r="D9" s="48" t="str">
        <f>IF(Setup!$E$4=8,IF(Finals!$H$16="Complete",Finals!$D$16,""),"")</f>
        <v/>
      </c>
      <c r="E9" s="64"/>
      <c r="F9" s="64"/>
      <c r="G9" s="64"/>
      <c r="H9" s="64" t="str">
        <f>IF(Setup!$E$4=16,Finals!$C$16,"")</f>
        <v/>
      </c>
      <c r="I9" s="64"/>
      <c r="J9" s="48" t="str">
        <f>IF(Setup!$E$4=16,IF(Finals!$H$16="Complete",Finals!$D$16,""),"")</f>
        <v/>
      </c>
      <c r="K9" s="64"/>
      <c r="L9" s="64"/>
      <c r="M9" s="64"/>
      <c r="N9" s="64"/>
      <c r="O9" s="64"/>
      <c r="P9" s="48"/>
      <c r="Q9" s="64"/>
      <c r="R9" s="64"/>
      <c r="S9" s="64"/>
      <c r="T9" s="64"/>
      <c r="U9" s="64"/>
      <c r="V9" s="48"/>
      <c r="W9" s="64"/>
      <c r="X9" s="64"/>
      <c r="Y9" s="64"/>
      <c r="Z9" s="64"/>
      <c r="AA9" s="64"/>
      <c r="AB9" s="48"/>
    </row>
    <row r="10" spans="1:28" ht="18.95" customHeight="1">
      <c r="A10" s="64"/>
      <c r="B10" s="64" t="str">
        <f>IF(Setup!$E$4=8,Finals!$E$16,IF(Setup!$E$4=16,Finals!$B$7,""))</f>
        <v/>
      </c>
      <c r="C10" s="64"/>
      <c r="D10" s="48" t="str">
        <f>IF(Setup!$E$4=8,IF(Finals!$H$16="Complete",Finals!$F$16,""),"")</f>
        <v/>
      </c>
      <c r="E10" s="64"/>
      <c r="F10" s="64"/>
      <c r="G10" s="64"/>
      <c r="H10" s="64" t="str">
        <f>IF(Setup!$E$4=16,Finals!$E$16,"")</f>
        <v/>
      </c>
      <c r="I10" s="64"/>
      <c r="J10" s="48" t="str">
        <f>IF(Setup!$E$4=16,IF(Finals!$H$16="Complete",Finals!$F$16,""),"")</f>
        <v/>
      </c>
      <c r="K10" s="64"/>
      <c r="L10" s="64"/>
      <c r="M10" s="64"/>
      <c r="N10" s="64"/>
      <c r="O10" s="64"/>
      <c r="P10" s="48"/>
      <c r="Q10" s="64"/>
      <c r="R10" s="64"/>
      <c r="S10" s="64"/>
      <c r="T10" s="64"/>
      <c r="U10" s="64"/>
      <c r="V10" s="48"/>
      <c r="W10" s="64"/>
      <c r="X10" s="64"/>
      <c r="Y10" s="64"/>
      <c r="Z10" s="64"/>
      <c r="AA10" s="64"/>
      <c r="AB10" s="48"/>
    </row>
    <row r="11" spans="1:28" ht="18.95" customHeight="1">
      <c r="A11" s="64"/>
      <c r="B11" s="64" t="str">
        <f>IF(Setup!$E$4=16,Finals!$C$7,"")</f>
        <v/>
      </c>
      <c r="C11" s="64"/>
      <c r="D11" s="48" t="str">
        <f>IF(Setup!$E$4=16,IF(Finals!$H$7="Complete",Finals!$D$7,""),"")</f>
        <v/>
      </c>
      <c r="E11" s="64"/>
      <c r="F11" s="64"/>
      <c r="G11" s="64"/>
      <c r="H11" s="64"/>
      <c r="I11" s="64"/>
      <c r="J11" s="48"/>
      <c r="K11" s="64"/>
      <c r="L11" s="64"/>
      <c r="M11" s="64"/>
      <c r="N11" s="64"/>
      <c r="O11" s="64"/>
      <c r="P11" s="48"/>
      <c r="Q11" s="64"/>
      <c r="R11" s="64"/>
      <c r="S11" s="64"/>
      <c r="T11" s="64"/>
      <c r="U11" s="64"/>
      <c r="V11" s="48"/>
      <c r="W11" s="64"/>
      <c r="X11" s="64"/>
      <c r="Y11" s="64"/>
      <c r="Z11" s="64"/>
      <c r="AA11" s="64"/>
      <c r="AB11" s="48"/>
    </row>
    <row r="12" spans="1:28" ht="18.95" customHeight="1">
      <c r="A12" s="64"/>
      <c r="B12" s="64" t="str">
        <f>IF(Setup!$E$4=4,Finals!$B$22,IF(Setup!$E$4=16,Finals!$E$7,""))</f>
        <v>SF 1</v>
      </c>
      <c r="C12" s="64"/>
      <c r="D12" s="48" t="str">
        <f>IF(Setup!$E$4=16,IF(Finals!$H$7="Complete",Finals!$F$7,""),"")</f>
        <v/>
      </c>
      <c r="E12" s="64"/>
      <c r="F12" s="64"/>
      <c r="G12" s="64"/>
      <c r="H12" s="64" t="str">
        <f>IF(Setup!$E$4=8,Finals!$B$22,"")</f>
        <v/>
      </c>
      <c r="I12" s="64"/>
      <c r="J12" s="48"/>
      <c r="K12" s="64"/>
      <c r="L12" s="64"/>
      <c r="M12" s="64"/>
      <c r="N12" s="64" t="str">
        <f>IF(Setup!$E$4=16,Finals!$B$22,"")</f>
        <v/>
      </c>
      <c r="O12" s="64"/>
      <c r="P12" s="48"/>
      <c r="Q12" s="64"/>
      <c r="R12" s="64"/>
      <c r="S12" s="64"/>
      <c r="T12" s="64"/>
      <c r="U12" s="64"/>
      <c r="V12" s="48"/>
      <c r="W12" s="64"/>
      <c r="X12" s="64"/>
      <c r="Y12" s="64"/>
      <c r="Z12" s="64"/>
      <c r="AA12" s="64"/>
      <c r="AB12" s="48"/>
    </row>
    <row r="13" spans="1:28" ht="18.95" customHeight="1">
      <c r="A13" s="64"/>
      <c r="B13" s="64" t="str">
        <f>IF(Setup!$E$4=4,Finals!$C$22,"")</f>
        <v/>
      </c>
      <c r="C13" s="64"/>
      <c r="D13" s="48" t="str">
        <f>IF(Setup!$E$4=4,IF(Finals!$H$22="Complete",Finals!$D$22,""),"")</f>
        <v/>
      </c>
      <c r="E13" s="64"/>
      <c r="F13" s="64"/>
      <c r="G13" s="64"/>
      <c r="H13" s="64" t="str">
        <f>IF(Setup!$E$4=8,Finals!$C$22,"")</f>
        <v/>
      </c>
      <c r="I13" s="64"/>
      <c r="J13" s="48" t="str">
        <f>IF(Setup!$E$4=8,IF(Finals!$H$22="Complete",Finals!$D$22,""),"")</f>
        <v/>
      </c>
      <c r="K13" s="64"/>
      <c r="L13" s="64"/>
      <c r="M13" s="64"/>
      <c r="N13" s="64" t="str">
        <f>IF(Setup!$E$4=16,Finals!$C$22,"")</f>
        <v/>
      </c>
      <c r="O13" s="64"/>
      <c r="P13" s="48" t="str">
        <f>IF(Setup!$E$4=16,IF(Finals!$H$22="Complete",Finals!$D$22,""),"")</f>
        <v/>
      </c>
      <c r="Q13" s="64"/>
      <c r="R13" s="64"/>
      <c r="S13" s="64"/>
      <c r="T13" s="64"/>
      <c r="U13" s="64"/>
      <c r="V13" s="48"/>
      <c r="W13" s="64"/>
      <c r="X13" s="64"/>
      <c r="Y13" s="64"/>
      <c r="Z13" s="64"/>
      <c r="AA13" s="64"/>
      <c r="AB13" s="48"/>
    </row>
    <row r="14" spans="1:28" ht="18.95" customHeight="1">
      <c r="A14" s="64"/>
      <c r="B14" s="64" t="str">
        <f>IF(Setup!$E$4=4,Finals!$E$22,IF(Setup!$E$4=16,Finals!$B$8,""))</f>
        <v/>
      </c>
      <c r="C14" s="64"/>
      <c r="D14" s="48" t="str">
        <f>IF(Setup!$E$4=4,IF(Finals!$H$22="Complete",Finals!$F$22,""),"")</f>
        <v/>
      </c>
      <c r="E14" s="64"/>
      <c r="F14" s="64"/>
      <c r="G14" s="64"/>
      <c r="H14" s="64" t="str">
        <f>IF(Setup!$E$4=8,Finals!$E$22,"")</f>
        <v/>
      </c>
      <c r="I14" s="64"/>
      <c r="J14" s="48" t="str">
        <f>IF(Setup!$E$4=8,IF(Finals!$H$22="Complete",Finals!$F$22,""),"")</f>
        <v/>
      </c>
      <c r="K14" s="64"/>
      <c r="L14" s="64"/>
      <c r="M14" s="64"/>
      <c r="N14" s="64" t="str">
        <f>IF(Setup!$E$4=16,Finals!$E$22,"")</f>
        <v/>
      </c>
      <c r="O14" s="64"/>
      <c r="P14" s="48" t="str">
        <f>IF(Setup!$E$4=16,IF(Finals!$H$22="Complete",Finals!$F$22,""),"")</f>
        <v/>
      </c>
      <c r="Q14" s="64"/>
      <c r="R14" s="64"/>
      <c r="S14" s="64"/>
      <c r="T14" s="64"/>
      <c r="U14" s="64"/>
      <c r="V14" s="48"/>
      <c r="W14" s="64"/>
      <c r="X14" s="64"/>
      <c r="Y14" s="64"/>
      <c r="Z14" s="64"/>
      <c r="AA14" s="64"/>
      <c r="AB14" s="48"/>
    </row>
    <row r="15" spans="1:28" ht="18.95" customHeight="1">
      <c r="A15" s="64"/>
      <c r="B15" s="64" t="str">
        <f>IF(Setup!$E$4=16,Finals!$C$8,"")</f>
        <v/>
      </c>
      <c r="C15" s="64"/>
      <c r="D15" s="48" t="str">
        <f>IF(Setup!$E$4=16,IF(Finals!$H$8="Complete",Finals!$D$8,""),"")</f>
        <v/>
      </c>
      <c r="E15" s="64"/>
      <c r="F15" s="64"/>
      <c r="G15" s="64"/>
      <c r="H15" s="64"/>
      <c r="I15" s="64"/>
      <c r="J15" s="48"/>
      <c r="K15" s="64"/>
      <c r="L15" s="64"/>
      <c r="M15" s="64"/>
      <c r="N15" s="64"/>
      <c r="O15" s="64"/>
      <c r="P15" s="48"/>
      <c r="Q15" s="64"/>
      <c r="R15" s="64"/>
      <c r="S15" s="64"/>
      <c r="T15" s="64"/>
      <c r="U15" s="64"/>
      <c r="V15" s="48"/>
      <c r="W15" s="64"/>
      <c r="X15" s="64"/>
      <c r="Y15" s="64"/>
      <c r="Z15" s="64"/>
      <c r="AA15" s="64"/>
      <c r="AB15" s="48"/>
    </row>
    <row r="16" spans="1:28" ht="18.95" customHeight="1">
      <c r="A16" s="64"/>
      <c r="B16" s="64" t="str">
        <f>IF(Setup!$E$4=8,Finals!$B$17,IF(Setup!$E$4=16,Finals!$E$8,""))</f>
        <v/>
      </c>
      <c r="C16" s="64"/>
      <c r="D16" s="48" t="str">
        <f>IF(Setup!$E$4=16,IF(Finals!$H$8="Complete",Finals!$F$8,""),"")</f>
        <v/>
      </c>
      <c r="E16" s="64"/>
      <c r="F16" s="64"/>
      <c r="G16" s="64"/>
      <c r="H16" s="64" t="str">
        <f>IF(Setup!$E$4=16,Finals!$B$17,"")</f>
        <v/>
      </c>
      <c r="I16" s="64"/>
      <c r="J16" s="48"/>
      <c r="K16" s="64"/>
      <c r="L16" s="64"/>
      <c r="M16" s="64"/>
      <c r="N16" s="64"/>
      <c r="O16" s="64"/>
      <c r="P16" s="48"/>
      <c r="Q16" s="64"/>
      <c r="R16" s="64"/>
      <c r="S16" s="64"/>
      <c r="T16" s="64"/>
      <c r="U16" s="64"/>
      <c r="V16" s="48"/>
      <c r="W16" s="64"/>
      <c r="X16" s="64"/>
      <c r="Y16" s="64"/>
      <c r="Z16" s="64"/>
      <c r="AA16" s="64"/>
      <c r="AB16" s="48"/>
    </row>
    <row r="17" spans="1:28" ht="18.95" customHeight="1">
      <c r="A17" s="64"/>
      <c r="B17" s="64" t="str">
        <f>IF(Setup!$E$4=8,Finals!$C$17,"")</f>
        <v/>
      </c>
      <c r="C17" s="64"/>
      <c r="D17" s="48" t="str">
        <f>IF(Setup!$E$4=8,IF(Finals!$H$17="Complete",Finals!$D$17,""),"")</f>
        <v/>
      </c>
      <c r="E17" s="64"/>
      <c r="F17" s="64"/>
      <c r="G17" s="64"/>
      <c r="H17" s="64" t="str">
        <f>IF(Setup!$E$4=16,Finals!$C$17,"")</f>
        <v/>
      </c>
      <c r="I17" s="64"/>
      <c r="J17" s="48" t="str">
        <f>IF(Setup!$E$4=16,IF(Finals!$H$17="Complete",Finals!$D$17,""),"")</f>
        <v/>
      </c>
      <c r="K17" s="64"/>
      <c r="L17" s="64"/>
      <c r="M17" s="64"/>
      <c r="N17" s="64"/>
      <c r="O17" s="64"/>
      <c r="P17" s="48"/>
      <c r="Q17" s="64"/>
      <c r="R17" s="64"/>
      <c r="S17" s="64"/>
      <c r="T17" s="64"/>
      <c r="U17" s="64"/>
      <c r="V17" s="48"/>
      <c r="W17" s="64"/>
      <c r="X17" s="64"/>
      <c r="Y17" s="64"/>
      <c r="Z17" s="64"/>
      <c r="AA17" s="64"/>
      <c r="AB17" s="48"/>
    </row>
    <row r="18" spans="1:28" ht="18.95" customHeight="1">
      <c r="A18" s="64"/>
      <c r="B18" s="64" t="str">
        <f>IF(Setup!$E$4=8,Finals!$E$17,IF(Setup!$E$4=16,Finals!$B$9,""))</f>
        <v/>
      </c>
      <c r="C18" s="64"/>
      <c r="D18" s="48" t="str">
        <f>IF(Setup!$E$4=8,IF(Finals!$H$17="Complete",Finals!$F$17,""),"")</f>
        <v/>
      </c>
      <c r="E18" s="64"/>
      <c r="F18" s="64"/>
      <c r="G18" s="64"/>
      <c r="H18" s="64" t="str">
        <f>IF(Setup!$E$4=16,Finals!$E$17,"")</f>
        <v/>
      </c>
      <c r="I18" s="64"/>
      <c r="J18" s="48" t="str">
        <f>IF(Setup!$E$4=16,IF(Finals!$H$17="Complete",Finals!$F$17,""),"")</f>
        <v/>
      </c>
      <c r="K18" s="64"/>
      <c r="L18" s="64"/>
      <c r="M18" s="64"/>
      <c r="N18" s="64"/>
      <c r="O18" s="64"/>
      <c r="P18" s="48"/>
      <c r="Q18" s="64"/>
      <c r="R18" s="64"/>
      <c r="S18" s="64"/>
      <c r="T18" s="64"/>
      <c r="U18" s="64"/>
      <c r="V18" s="48"/>
      <c r="W18" s="64"/>
      <c r="X18" s="64"/>
      <c r="Y18" s="64"/>
      <c r="Z18" s="64"/>
      <c r="AA18" s="64"/>
      <c r="AB18" s="48"/>
    </row>
    <row r="19" spans="1:28" ht="18.95" customHeight="1">
      <c r="A19" s="64"/>
      <c r="B19" s="64" t="str">
        <f>IF(Setup!$E$4=16,Finals!$C$9,"")</f>
        <v/>
      </c>
      <c r="C19" s="64"/>
      <c r="D19" s="48" t="str">
        <f>IF(Setup!$E$4=16,IF(Finals!$H$9="Complete",Finals!$D$9,""),"")</f>
        <v/>
      </c>
      <c r="E19" s="64"/>
      <c r="F19" s="64"/>
      <c r="G19" s="64"/>
      <c r="H19" s="64"/>
      <c r="I19" s="64"/>
      <c r="J19" s="48"/>
      <c r="K19" s="64"/>
      <c r="L19" s="64"/>
      <c r="M19" s="64"/>
      <c r="N19" s="64"/>
      <c r="O19" s="64"/>
      <c r="P19" s="48"/>
      <c r="Q19" s="64"/>
      <c r="R19" s="64"/>
      <c r="S19" s="64"/>
      <c r="T19" s="64"/>
      <c r="U19" s="64"/>
      <c r="V19" s="48"/>
      <c r="W19" s="64"/>
      <c r="X19" s="64"/>
      <c r="Y19" s="64"/>
      <c r="Z19" s="64"/>
      <c r="AA19" s="64"/>
      <c r="AB19" s="48"/>
    </row>
    <row r="20" spans="1:28" ht="18.95" customHeight="1">
      <c r="A20" s="64"/>
      <c r="B20" s="64" t="str">
        <f>IF(Setup!$E$4=16,Finals!$E$9,"")</f>
        <v/>
      </c>
      <c r="C20" s="64"/>
      <c r="D20" s="48" t="str">
        <f>IF(Setup!$E$4=16,IF(Finals!$H$9="Complete",Finals!$F$9,""),"")</f>
        <v/>
      </c>
      <c r="E20" s="64"/>
      <c r="F20" s="64"/>
      <c r="G20" s="64"/>
      <c r="H20" s="64"/>
      <c r="I20" s="64"/>
      <c r="J20" s="48"/>
      <c r="K20" s="64"/>
      <c r="L20" s="64"/>
      <c r="M20" s="64"/>
      <c r="N20" s="64"/>
      <c r="O20" s="64"/>
      <c r="P20" s="48"/>
      <c r="Q20" s="64"/>
      <c r="R20" s="64"/>
      <c r="S20" s="64"/>
      <c r="T20" s="64"/>
      <c r="U20" s="64"/>
      <c r="V20" s="48"/>
      <c r="W20" s="64"/>
      <c r="X20" s="64"/>
      <c r="Y20" s="64"/>
      <c r="Z20" s="64"/>
      <c r="AA20" s="64"/>
      <c r="AB20" s="48"/>
    </row>
    <row r="21" spans="1:28" ht="18.95" customHeight="1">
      <c r="A21" s="64"/>
      <c r="B21" s="64" t="str">
        <f>IF(Setup!$E$4=2,Finals!$B$26,"")</f>
        <v/>
      </c>
      <c r="C21" s="64"/>
      <c r="D21" s="48"/>
      <c r="E21" s="64"/>
      <c r="F21" s="64"/>
      <c r="G21" s="64"/>
      <c r="H21" s="64" t="str">
        <f>IF(Setup!$E$4=2,"CHAMPION",IF(Setup!$E$4=4,Finals!$B$26,""))</f>
        <v>Final</v>
      </c>
      <c r="I21" s="64"/>
      <c r="J21" s="48"/>
      <c r="K21" s="64"/>
      <c r="L21" s="64"/>
      <c r="M21" s="64"/>
      <c r="N21" s="64" t="str">
        <f>IF(Setup!$E$4=4,"CHAMPION",IF(Setup!$E$4=8,Finals!$B$26,""))</f>
        <v>CHAMPION</v>
      </c>
      <c r="O21" s="64"/>
      <c r="P21" s="48"/>
      <c r="Q21" s="64"/>
      <c r="R21" s="64"/>
      <c r="S21" s="64"/>
      <c r="T21" s="64" t="str">
        <f>IF(Setup!$E$4=8,"CHAMPION",IF(Setup!$E$4=16,Finals!$B$26,""))</f>
        <v/>
      </c>
      <c r="U21" s="64"/>
      <c r="V21" s="48"/>
      <c r="W21" s="64"/>
      <c r="X21" s="64"/>
      <c r="Y21" s="64"/>
      <c r="Z21" s="64" t="str">
        <f>IF(Setup!$E$4=16,"CHAMPION","")</f>
        <v/>
      </c>
      <c r="AA21" s="64"/>
      <c r="AB21" s="48"/>
    </row>
    <row r="22" spans="1:28" ht="18.95" customHeight="1">
      <c r="A22" s="64"/>
      <c r="B22" s="64" t="str">
        <f>IF(Setup!$E$4=2,Finals!$C$26,"")</f>
        <v/>
      </c>
      <c r="C22" s="64"/>
      <c r="D22" s="48" t="str">
        <f>IF(Setup!$E$4=2,IF(Finals!$H$26="Complete",Finals!$D$26,""),"")</f>
        <v/>
      </c>
      <c r="E22" s="64"/>
      <c r="F22" s="64"/>
      <c r="G22" s="64"/>
      <c r="H22" s="64" t="str">
        <f>IF(Setup!$E$4=2,IF(Finals!$H$26="Complete",Finals!$G$26,"TBD"),IF(Setup!$E$4=4,Finals!$C$26,""))</f>
        <v>Winner SF 1</v>
      </c>
      <c r="I22" s="64"/>
      <c r="J22" s="48" t="str">
        <f>IF(Setup!$E$4=4,IF(Finals!$H$26="Complete",Finals!$D$26,""),"")</f>
        <v/>
      </c>
      <c r="K22" s="64"/>
      <c r="L22" s="64"/>
      <c r="M22" s="64"/>
      <c r="N22" s="64" t="str">
        <f>IF(Setup!$E$4=4,IF(Finals!$H$26="Complete",Finals!$G$26,"TBD"),IF(Setup!$E$4=8,Finals!$C$26,""))</f>
        <v>TBD</v>
      </c>
      <c r="O22" s="64"/>
      <c r="P22" s="48" t="str">
        <f>IF(Setup!$E$4=8,IF(Finals!$H$26="Complete",Finals!$D$26,""),"")</f>
        <v/>
      </c>
      <c r="Q22" s="64"/>
      <c r="R22" s="64"/>
      <c r="S22" s="64"/>
      <c r="T22" s="64" t="str">
        <f>IF(Setup!$E$4=8,IF(Finals!$H$26="Complete",Finals!$G$26,"TBD"),IF(Setup!$E$4=16,Finals!$C$26,""))</f>
        <v/>
      </c>
      <c r="U22" s="64"/>
      <c r="V22" s="48" t="str">
        <f>IF(Setup!$E$4=16,IF(Finals!$H$26="Complete",Finals!$D$26,""),"")</f>
        <v/>
      </c>
      <c r="W22" s="64"/>
      <c r="X22" s="64"/>
      <c r="Y22" s="64"/>
      <c r="Z22" s="64" t="str">
        <f>IF(Setup!$E$4=16,IF(Finals!$H$26="Complete",Finals!$G$26,"TBD"),"")</f>
        <v/>
      </c>
      <c r="AA22" s="64"/>
      <c r="AB22" s="48"/>
    </row>
    <row r="23" spans="1:28" ht="18.95" customHeight="1">
      <c r="A23" s="64"/>
      <c r="B23" s="64" t="str">
        <f>IF(Setup!$E$4=2,Finals!$E$26,"")</f>
        <v/>
      </c>
      <c r="C23" s="64"/>
      <c r="D23" s="48" t="str">
        <f>IF(Setup!$E$4=2,IF(Finals!$H$26="Complete",Finals!$F$26,""),"")</f>
        <v/>
      </c>
      <c r="E23" s="64"/>
      <c r="F23" s="64"/>
      <c r="G23" s="64"/>
      <c r="H23" s="64" t="str">
        <f>IF(Setup!$E$4=4,Finals!$E$26,"")</f>
        <v>Winner SF 2</v>
      </c>
      <c r="I23" s="64"/>
      <c r="J23" s="48" t="str">
        <f>IF(Setup!$E$4=4,IF(Finals!$H$26="Complete",Finals!$F$26,""),"")</f>
        <v/>
      </c>
      <c r="K23" s="64"/>
      <c r="L23" s="64"/>
      <c r="M23" s="64"/>
      <c r="N23" s="64" t="str">
        <f>IF(Setup!$E$4=8,Finals!$E$26,"")</f>
        <v/>
      </c>
      <c r="O23" s="64"/>
      <c r="P23" s="48" t="str">
        <f>IF(Setup!$E$4=8,IF(Finals!$H$26="Complete",Finals!$F$26,""),"")</f>
        <v/>
      </c>
      <c r="Q23" s="64"/>
      <c r="R23" s="64"/>
      <c r="S23" s="64"/>
      <c r="T23" s="64" t="str">
        <f>IF(Setup!$E$4=16,Finals!$E$26,"")</f>
        <v/>
      </c>
      <c r="U23" s="64"/>
      <c r="V23" s="48" t="str">
        <f>IF(Setup!$E$4=16,IF(Finals!$H$26="Complete",Finals!$F$26,""),"")</f>
        <v/>
      </c>
      <c r="W23" s="64"/>
      <c r="X23" s="64"/>
      <c r="Y23" s="64"/>
      <c r="Z23" s="64"/>
      <c r="AA23" s="64"/>
      <c r="AB23" s="48"/>
    </row>
    <row r="24" spans="1:28" ht="18.95" customHeight="1">
      <c r="A24" s="64"/>
      <c r="B24" s="64" t="str">
        <f>IF(Setup!$E$4=16,Finals!$B$10,"")</f>
        <v/>
      </c>
      <c r="C24" s="64"/>
      <c r="D24" s="48"/>
      <c r="E24" s="64"/>
      <c r="F24" s="64"/>
      <c r="G24" s="64"/>
      <c r="H24" s="64"/>
      <c r="I24" s="64"/>
      <c r="J24" s="48"/>
      <c r="K24" s="64"/>
      <c r="L24" s="64"/>
      <c r="M24" s="64"/>
      <c r="N24" s="64"/>
      <c r="O24" s="64"/>
      <c r="P24" s="48"/>
      <c r="Q24" s="64"/>
      <c r="R24" s="64"/>
      <c r="S24" s="64"/>
      <c r="T24" s="64"/>
      <c r="U24" s="64"/>
      <c r="V24" s="48"/>
      <c r="W24" s="64"/>
      <c r="X24" s="64"/>
      <c r="Y24" s="64"/>
      <c r="Z24" s="64"/>
      <c r="AA24" s="64"/>
      <c r="AB24" s="48"/>
    </row>
    <row r="25" spans="1:28" ht="18.95" customHeight="1">
      <c r="A25" s="64"/>
      <c r="B25" s="64" t="str">
        <f>IF(Setup!$E$4=16,Finals!$C$10,"")</f>
        <v/>
      </c>
      <c r="C25" s="64"/>
      <c r="D25" s="48" t="str">
        <f>IF(Setup!$E$4=16,IF(Finals!$H$10="Complete",Finals!$D$10,""),"")</f>
        <v/>
      </c>
      <c r="E25" s="64"/>
      <c r="F25" s="64"/>
      <c r="G25" s="64"/>
      <c r="H25" s="64"/>
      <c r="I25" s="64"/>
      <c r="J25" s="48"/>
      <c r="K25" s="64"/>
      <c r="L25" s="64"/>
      <c r="M25" s="64"/>
      <c r="N25" s="64"/>
      <c r="O25" s="64"/>
      <c r="P25" s="48"/>
      <c r="Q25" s="64"/>
      <c r="R25" s="64"/>
      <c r="S25" s="64"/>
      <c r="T25" s="64"/>
      <c r="U25" s="64"/>
      <c r="V25" s="48"/>
      <c r="W25" s="64"/>
      <c r="X25" s="64"/>
      <c r="Y25" s="64"/>
      <c r="Z25" s="64"/>
      <c r="AA25" s="64"/>
      <c r="AB25" s="48"/>
    </row>
    <row r="26" spans="1:28" ht="18.95" customHeight="1">
      <c r="A26" s="64"/>
      <c r="B26" s="64" t="str">
        <f>IF(Setup!$E$4=8,Finals!$B$18,IF(Setup!$E$4=16,Finals!$E$10,""))</f>
        <v/>
      </c>
      <c r="C26" s="64"/>
      <c r="D26" s="48" t="str">
        <f>IF(Setup!$E$4=16,IF(Finals!$H$10="Complete",Finals!$F$10,""),"")</f>
        <v/>
      </c>
      <c r="E26" s="64"/>
      <c r="F26" s="64"/>
      <c r="G26" s="64"/>
      <c r="H26" s="64" t="str">
        <f>IF(Setup!$E$4=16,Finals!$B$18,"")</f>
        <v/>
      </c>
      <c r="I26" s="64"/>
      <c r="J26" s="48"/>
      <c r="K26" s="64"/>
      <c r="L26" s="64"/>
      <c r="M26" s="64"/>
      <c r="N26" s="64"/>
      <c r="O26" s="64"/>
      <c r="P26" s="48"/>
      <c r="Q26" s="64"/>
      <c r="R26" s="64"/>
      <c r="S26" s="64"/>
      <c r="T26" s="64"/>
      <c r="U26" s="64"/>
      <c r="V26" s="48"/>
      <c r="W26" s="64"/>
      <c r="X26" s="64"/>
      <c r="Y26" s="64"/>
      <c r="Z26" s="64"/>
      <c r="AA26" s="64"/>
      <c r="AB26" s="48"/>
    </row>
    <row r="27" spans="1:28" ht="18.95" customHeight="1">
      <c r="A27" s="64"/>
      <c r="B27" s="64" t="str">
        <f>IF(Setup!$E$4=8,Finals!$C$18,"")</f>
        <v/>
      </c>
      <c r="C27" s="64"/>
      <c r="D27" s="48" t="str">
        <f>IF(Setup!$E$4=8,IF(Finals!$H$18="Complete",Finals!$D$18,""),"")</f>
        <v/>
      </c>
      <c r="E27" s="64"/>
      <c r="F27" s="64"/>
      <c r="G27" s="64"/>
      <c r="H27" s="64" t="str">
        <f>IF(Setup!$E$4=16,Finals!$C$18,"")</f>
        <v/>
      </c>
      <c r="I27" s="64"/>
      <c r="J27" s="48" t="str">
        <f>IF(Setup!$E$4=16,IF(Finals!$H$18="Complete",Finals!$D$18,""),"")</f>
        <v/>
      </c>
      <c r="K27" s="64"/>
      <c r="L27" s="64"/>
      <c r="M27" s="64"/>
      <c r="N27" s="64"/>
      <c r="O27" s="64"/>
      <c r="P27" s="48"/>
      <c r="Q27" s="64"/>
      <c r="R27" s="64"/>
      <c r="S27" s="64"/>
      <c r="T27" s="64"/>
      <c r="U27" s="64"/>
      <c r="V27" s="48"/>
      <c r="W27" s="64"/>
      <c r="X27" s="64"/>
      <c r="Y27" s="64"/>
      <c r="Z27" s="64"/>
      <c r="AA27" s="64"/>
      <c r="AB27" s="48"/>
    </row>
    <row r="28" spans="1:28" ht="18.95" customHeight="1">
      <c r="A28" s="64"/>
      <c r="B28" s="64" t="str">
        <f>IF(Setup!$E$4=8,Finals!$E$18,IF(Setup!$E$4=16,Finals!$B$11,""))</f>
        <v/>
      </c>
      <c r="C28" s="64"/>
      <c r="D28" s="48" t="str">
        <f>IF(Setup!$E$4=8,IF(Finals!$H$18="Complete",Finals!$F$18,""),"")</f>
        <v/>
      </c>
      <c r="E28" s="64"/>
      <c r="F28" s="64"/>
      <c r="G28" s="64"/>
      <c r="H28" s="64" t="str">
        <f>IF(Setup!$E$4=16,Finals!$E$18,"")</f>
        <v/>
      </c>
      <c r="I28" s="64"/>
      <c r="J28" s="48" t="str">
        <f>IF(Setup!$E$4=16,IF(Finals!$H$18="Complete",Finals!$F$18,""),"")</f>
        <v/>
      </c>
      <c r="K28" s="64"/>
      <c r="L28" s="64"/>
      <c r="M28" s="64"/>
      <c r="N28" s="64"/>
      <c r="O28" s="64"/>
      <c r="P28" s="48"/>
      <c r="Q28" s="64"/>
      <c r="R28" s="64"/>
      <c r="S28" s="64"/>
      <c r="T28" s="64"/>
      <c r="U28" s="64"/>
      <c r="V28" s="48"/>
      <c r="W28" s="64"/>
      <c r="X28" s="64"/>
      <c r="Y28" s="64"/>
      <c r="Z28" s="64"/>
      <c r="AA28" s="64"/>
      <c r="AB28" s="48"/>
    </row>
    <row r="29" spans="1:28" ht="18.95" customHeight="1">
      <c r="A29" s="64"/>
      <c r="B29" s="64" t="str">
        <f>IF(Setup!$E$4=16,Finals!$C$11,"")</f>
        <v/>
      </c>
      <c r="C29" s="64"/>
      <c r="D29" s="48" t="str">
        <f>IF(Setup!$E$4=16,IF(Finals!$H$11="Complete",Finals!$D$11,""),"")</f>
        <v/>
      </c>
      <c r="E29" s="64"/>
      <c r="F29" s="64"/>
      <c r="G29" s="64"/>
      <c r="H29" s="64"/>
      <c r="I29" s="64"/>
      <c r="J29" s="48"/>
      <c r="K29" s="64"/>
      <c r="L29" s="64"/>
      <c r="M29" s="64"/>
      <c r="N29" s="64"/>
      <c r="O29" s="64"/>
      <c r="P29" s="48"/>
      <c r="Q29" s="64"/>
      <c r="R29" s="64"/>
      <c r="S29" s="64"/>
      <c r="T29" s="64"/>
      <c r="U29" s="64"/>
      <c r="V29" s="48"/>
      <c r="W29" s="64"/>
      <c r="X29" s="64"/>
      <c r="Y29" s="64"/>
      <c r="Z29" s="64"/>
      <c r="AA29" s="64"/>
      <c r="AB29" s="48"/>
    </row>
    <row r="30" spans="1:28" ht="18.95" customHeight="1">
      <c r="A30" s="64"/>
      <c r="B30" s="64" t="str">
        <f>IF(Setup!$E$4=4,Finals!$B$23,IF(Setup!$E$4=16,Finals!$E$11,""))</f>
        <v>SF 2</v>
      </c>
      <c r="C30" s="64"/>
      <c r="D30" s="48" t="str">
        <f>IF(Setup!$E$4=16,IF(Finals!$H$11="Complete",Finals!$F$11,""),"")</f>
        <v/>
      </c>
      <c r="E30" s="64"/>
      <c r="F30" s="64"/>
      <c r="G30" s="64"/>
      <c r="H30" s="64" t="str">
        <f>IF(Setup!$E$4=8,Finals!$B$23,"")</f>
        <v/>
      </c>
      <c r="I30" s="64"/>
      <c r="J30" s="48"/>
      <c r="K30" s="64"/>
      <c r="L30" s="64"/>
      <c r="M30" s="64"/>
      <c r="N30" s="64" t="str">
        <f>IF(Setup!$E$4=16,Finals!$B$23,"")</f>
        <v/>
      </c>
      <c r="O30" s="64"/>
      <c r="P30" s="48"/>
      <c r="Q30" s="64"/>
      <c r="R30" s="64"/>
      <c r="S30" s="64"/>
      <c r="T30" s="64"/>
      <c r="U30" s="64"/>
      <c r="V30" s="48"/>
      <c r="W30" s="64"/>
      <c r="X30" s="64"/>
      <c r="Y30" s="64"/>
      <c r="Z30" s="64"/>
      <c r="AA30" s="64"/>
      <c r="AB30" s="48"/>
    </row>
    <row r="31" spans="1:28" ht="18.95" customHeight="1">
      <c r="A31" s="64"/>
      <c r="B31" s="64" t="str">
        <f>IF(Setup!$E$4=4,Finals!$C$23,"")</f>
        <v/>
      </c>
      <c r="C31" s="64"/>
      <c r="D31" s="48" t="str">
        <f>IF(Setup!$E$4=4,IF(Finals!$H$23="Complete",Finals!$D$23,""),"")</f>
        <v/>
      </c>
      <c r="E31" s="64"/>
      <c r="F31" s="64"/>
      <c r="G31" s="64"/>
      <c r="H31" s="64" t="str">
        <f>IF(Setup!$E$4=8,Finals!$C$23,"")</f>
        <v/>
      </c>
      <c r="I31" s="64"/>
      <c r="J31" s="48" t="str">
        <f>IF(Setup!$E$4=8,IF(Finals!$H$23="Complete",Finals!$D$23,""),"")</f>
        <v/>
      </c>
      <c r="K31" s="64"/>
      <c r="L31" s="64"/>
      <c r="M31" s="64"/>
      <c r="N31" s="64" t="str">
        <f>IF(Setup!$E$4=16,Finals!$C$23,"")</f>
        <v/>
      </c>
      <c r="O31" s="64"/>
      <c r="P31" s="48" t="str">
        <f>IF(Setup!$E$4=16,IF(Finals!$H$23="Complete",Finals!$D$23,""),"")</f>
        <v/>
      </c>
      <c r="Q31" s="64"/>
      <c r="R31" s="64"/>
      <c r="S31" s="64"/>
      <c r="T31" s="64"/>
      <c r="U31" s="64"/>
      <c r="V31" s="48"/>
      <c r="W31" s="64"/>
      <c r="X31" s="64"/>
      <c r="Y31" s="64"/>
      <c r="Z31" s="64"/>
      <c r="AA31" s="64"/>
      <c r="AB31" s="48"/>
    </row>
    <row r="32" spans="1:28" ht="18.95" customHeight="1">
      <c r="A32" s="64"/>
      <c r="B32" s="64" t="str">
        <f>IF(Setup!$E$4=4,Finals!$E$23,IF(Setup!$E$4=16,Finals!$B$12,""))</f>
        <v/>
      </c>
      <c r="C32" s="64"/>
      <c r="D32" s="48" t="str">
        <f>IF(Setup!$E$4=4,IF(Finals!$H$23="Complete",Finals!$F$23,""),"")</f>
        <v/>
      </c>
      <c r="E32" s="64"/>
      <c r="F32" s="64"/>
      <c r="G32" s="64"/>
      <c r="H32" s="64" t="str">
        <f>IF(Setup!$E$4=8,Finals!$E$23,"")</f>
        <v/>
      </c>
      <c r="I32" s="64"/>
      <c r="J32" s="48" t="str">
        <f>IF(Setup!$E$4=8,IF(Finals!$H$23="Complete",Finals!$F$23,""),"")</f>
        <v/>
      </c>
      <c r="K32" s="64"/>
      <c r="L32" s="64"/>
      <c r="M32" s="64"/>
      <c r="N32" s="64" t="str">
        <f>IF(Setup!$E$4=16,Finals!$E$23,"")</f>
        <v/>
      </c>
      <c r="O32" s="64"/>
      <c r="P32" s="48" t="str">
        <f>IF(Setup!$E$4=16,IF(Finals!$H$23="Complete",Finals!$F$23,""),"")</f>
        <v/>
      </c>
      <c r="Q32" s="64"/>
      <c r="R32" s="64"/>
      <c r="S32" s="64"/>
      <c r="T32" s="64"/>
      <c r="U32" s="64"/>
      <c r="V32" s="48"/>
      <c r="W32" s="64"/>
      <c r="X32" s="64"/>
      <c r="Y32" s="64"/>
      <c r="Z32" s="64"/>
      <c r="AA32" s="64"/>
      <c r="AB32" s="48"/>
    </row>
    <row r="33" spans="1:28" ht="18.95" customHeight="1">
      <c r="A33" s="64"/>
      <c r="B33" s="64" t="str">
        <f>IF(Setup!$E$4=16,Finals!$C$12,"")</f>
        <v/>
      </c>
      <c r="C33" s="64"/>
      <c r="D33" s="48" t="str">
        <f>IF(Setup!$E$4=16,IF(Finals!$H$12="Complete",Finals!$D$12,""),"")</f>
        <v/>
      </c>
      <c r="E33" s="64"/>
      <c r="F33" s="64"/>
      <c r="G33" s="64"/>
      <c r="H33" s="64"/>
      <c r="I33" s="64"/>
      <c r="J33" s="48"/>
      <c r="K33" s="64"/>
      <c r="L33" s="64"/>
      <c r="M33" s="64"/>
      <c r="N33" s="64"/>
      <c r="O33" s="64"/>
      <c r="P33" s="48"/>
      <c r="Q33" s="64"/>
      <c r="R33" s="64"/>
      <c r="S33" s="64"/>
      <c r="T33" s="64"/>
      <c r="U33" s="64"/>
      <c r="V33" s="48"/>
      <c r="W33" s="64"/>
      <c r="X33" s="64"/>
      <c r="Y33" s="64"/>
      <c r="Z33" s="64"/>
      <c r="AA33" s="64"/>
      <c r="AB33" s="48"/>
    </row>
    <row r="34" spans="1:28" ht="18.95" customHeight="1">
      <c r="A34" s="64"/>
      <c r="B34" s="64" t="str">
        <f>IF(Setup!$E$4=8,Finals!$B$19,IF(Setup!$E$4=16,Finals!$E$12,""))</f>
        <v/>
      </c>
      <c r="C34" s="64"/>
      <c r="D34" s="48" t="str">
        <f>IF(Setup!$E$4=16,IF(Finals!$H$12="Complete",Finals!$F$12,""),"")</f>
        <v/>
      </c>
      <c r="E34" s="64"/>
      <c r="F34" s="64"/>
      <c r="G34" s="64"/>
      <c r="H34" s="64" t="str">
        <f>IF(Setup!$E$4=16,Finals!$B$19,"")</f>
        <v/>
      </c>
      <c r="I34" s="64"/>
      <c r="J34" s="48"/>
      <c r="K34" s="64"/>
      <c r="L34" s="64"/>
      <c r="M34" s="64"/>
      <c r="N34" s="64"/>
      <c r="O34" s="64"/>
      <c r="P34" s="48"/>
      <c r="Q34" s="64"/>
      <c r="R34" s="64"/>
      <c r="S34" s="64"/>
      <c r="T34" s="64"/>
      <c r="U34" s="64"/>
      <c r="V34" s="48"/>
      <c r="W34" s="64"/>
      <c r="X34" s="64"/>
      <c r="Y34" s="64"/>
      <c r="Z34" s="64"/>
      <c r="AA34" s="64"/>
      <c r="AB34" s="48"/>
    </row>
    <row r="35" spans="1:28" ht="18.95" customHeight="1">
      <c r="A35" s="64"/>
      <c r="B35" s="64" t="str">
        <f>IF(Setup!$E$4=8,Finals!$C$19,"")</f>
        <v/>
      </c>
      <c r="C35" s="64"/>
      <c r="D35" s="48" t="str">
        <f>IF(Setup!$E$4=8,IF(Finals!$H$19="Complete",Finals!$D$19,""),"")</f>
        <v/>
      </c>
      <c r="E35" s="64"/>
      <c r="F35" s="64"/>
      <c r="G35" s="64"/>
      <c r="H35" s="64" t="str">
        <f>IF(Setup!$E$4=16,Finals!$C$19,"")</f>
        <v/>
      </c>
      <c r="I35" s="64"/>
      <c r="J35" s="48" t="str">
        <f>IF(Setup!$E$4=16,IF(Finals!$H$19="Complete",Finals!$D$19,""),"")</f>
        <v/>
      </c>
      <c r="K35" s="64"/>
      <c r="L35" s="64"/>
      <c r="M35" s="64"/>
      <c r="N35" s="64"/>
      <c r="O35" s="64"/>
      <c r="P35" s="48"/>
      <c r="Q35" s="64"/>
      <c r="R35" s="64"/>
      <c r="S35" s="64"/>
      <c r="T35" s="64"/>
      <c r="U35" s="64"/>
      <c r="V35" s="48"/>
      <c r="W35" s="64"/>
      <c r="X35" s="64"/>
      <c r="Y35" s="64"/>
      <c r="Z35" s="64"/>
      <c r="AA35" s="64"/>
      <c r="AB35" s="48"/>
    </row>
    <row r="36" spans="1:28" ht="18.95" customHeight="1">
      <c r="A36" s="64"/>
      <c r="B36" s="64" t="str">
        <f>IF(Setup!$E$4=8,Finals!$E$19,IF(Setup!$E$4=16,Finals!$B$13,""))</f>
        <v/>
      </c>
      <c r="C36" s="64"/>
      <c r="D36" s="48" t="str">
        <f>IF(Setup!$E$4=8,IF(Finals!$H$19="Complete",Finals!$F$19,""),"")</f>
        <v/>
      </c>
      <c r="E36" s="64"/>
      <c r="F36" s="64"/>
      <c r="G36" s="64"/>
      <c r="H36" s="64" t="str">
        <f>IF(Setup!$E$4=16,Finals!$E$19,"")</f>
        <v/>
      </c>
      <c r="I36" s="64"/>
      <c r="J36" s="48" t="str">
        <f>IF(Setup!$E$4=16,IF(Finals!$H$19="Complete",Finals!$F$19,""),"")</f>
        <v/>
      </c>
      <c r="K36" s="64"/>
      <c r="L36" s="64"/>
      <c r="M36" s="64"/>
      <c r="N36" s="64"/>
      <c r="O36" s="64"/>
      <c r="P36" s="48"/>
      <c r="Q36" s="64"/>
      <c r="R36" s="64"/>
      <c r="S36" s="64"/>
      <c r="T36" s="64"/>
      <c r="U36" s="64"/>
      <c r="V36" s="48"/>
      <c r="W36" s="64"/>
      <c r="X36" s="64"/>
      <c r="Y36" s="64"/>
      <c r="Z36" s="64"/>
      <c r="AA36" s="64"/>
      <c r="AB36" s="48"/>
    </row>
    <row r="37" spans="1:28" ht="18.95" customHeight="1">
      <c r="A37" s="64"/>
      <c r="B37" s="64" t="str">
        <f>IF(Setup!$E$4=16,Finals!$C$13,"")</f>
        <v/>
      </c>
      <c r="C37" s="64"/>
      <c r="D37" s="48" t="str">
        <f>IF(Setup!$E$4=16,IF(Finals!$H$13="Complete",Finals!$D$13,""),"")</f>
        <v/>
      </c>
      <c r="E37" s="64"/>
      <c r="F37" s="64"/>
      <c r="G37" s="64"/>
      <c r="H37" s="64"/>
      <c r="I37" s="64"/>
      <c r="J37" s="48"/>
      <c r="K37" s="64"/>
      <c r="L37" s="64"/>
      <c r="M37" s="64"/>
      <c r="N37" s="64"/>
      <c r="O37" s="64"/>
      <c r="P37" s="48"/>
      <c r="Q37" s="64"/>
      <c r="R37" s="64"/>
      <c r="S37" s="64"/>
      <c r="T37" s="64"/>
      <c r="U37" s="64"/>
      <c r="V37" s="48"/>
      <c r="W37" s="64"/>
      <c r="X37" s="64"/>
      <c r="Y37" s="64"/>
      <c r="Z37" s="64"/>
      <c r="AA37" s="64"/>
      <c r="AB37" s="48"/>
    </row>
    <row r="38" spans="1:28" ht="18.95" customHeight="1">
      <c r="A38" s="64"/>
      <c r="B38" s="64" t="str">
        <f>IF(Setup!$E$4=16,Finals!$E$13,"")</f>
        <v/>
      </c>
      <c r="C38" s="64"/>
      <c r="D38" s="48" t="str">
        <f>IF(Setup!$E$4=16,IF(Finals!$H$13="Complete",Finals!$F$13,""),"")</f>
        <v/>
      </c>
      <c r="E38" s="64"/>
      <c r="F38" s="64"/>
      <c r="G38" s="64"/>
      <c r="H38" s="64"/>
      <c r="I38" s="64"/>
      <c r="J38" s="48"/>
      <c r="K38" s="64"/>
      <c r="L38" s="64"/>
      <c r="M38" s="64"/>
      <c r="N38" s="64"/>
      <c r="O38" s="64"/>
      <c r="P38" s="48"/>
      <c r="Q38" s="64"/>
      <c r="R38" s="64"/>
      <c r="S38" s="64"/>
      <c r="T38" s="64"/>
      <c r="U38" s="64"/>
      <c r="V38" s="48"/>
      <c r="W38" s="64"/>
      <c r="X38" s="64"/>
      <c r="Y38" s="64"/>
      <c r="Z38" s="64"/>
      <c r="AA38" s="64"/>
      <c r="AB38" s="48"/>
    </row>
    <row r="39" spans="1:28" ht="18.95" customHeight="1">
      <c r="A39" s="64"/>
      <c r="B39" s="64"/>
      <c r="C39" s="64"/>
      <c r="D39" s="48"/>
      <c r="E39" s="64"/>
      <c r="F39" s="64"/>
      <c r="G39" s="64"/>
      <c r="H39" s="64"/>
      <c r="I39" s="64"/>
      <c r="J39" s="48"/>
      <c r="K39" s="64"/>
      <c r="L39" s="64"/>
      <c r="M39" s="64"/>
      <c r="N39" s="64"/>
      <c r="O39" s="64"/>
      <c r="P39" s="48"/>
      <c r="Q39" s="64"/>
      <c r="R39" s="64"/>
      <c r="S39" s="64"/>
      <c r="T39" s="64"/>
      <c r="U39" s="64"/>
      <c r="V39" s="48"/>
      <c r="W39" s="64"/>
      <c r="X39" s="64"/>
      <c r="Y39" s="64"/>
      <c r="Z39" s="64"/>
      <c r="AA39" s="64"/>
      <c r="AB39" s="48"/>
    </row>
    <row r="40" spans="1:28" ht="18.95" customHeight="1">
      <c r="A40" s="64"/>
      <c r="B40" s="64"/>
      <c r="C40" s="64"/>
      <c r="D40" s="48"/>
      <c r="E40" s="64"/>
      <c r="F40" s="64"/>
      <c r="G40" s="64"/>
      <c r="H40" s="64"/>
      <c r="I40" s="64"/>
      <c r="J40" s="48"/>
      <c r="K40" s="64"/>
      <c r="L40" s="64"/>
      <c r="M40" s="64"/>
      <c r="N40" s="64" t="str">
        <f>IF(Setup!$E$6="Yes","THIRD-PLACE PLAYOFF","")</f>
        <v/>
      </c>
      <c r="O40" s="64"/>
      <c r="P40" s="48"/>
      <c r="Q40" s="64"/>
      <c r="R40" s="64"/>
      <c r="S40" s="64"/>
      <c r="T40" s="64"/>
      <c r="U40" s="64"/>
      <c r="V40" s="48"/>
      <c r="W40" s="64"/>
      <c r="X40" s="64"/>
      <c r="Y40" s="64"/>
      <c r="Z40" s="64"/>
      <c r="AA40" s="64"/>
      <c r="AB40" s="48"/>
    </row>
    <row r="41" spans="1:28" ht="18.95" customHeight="1">
      <c r="A41" s="64"/>
      <c r="B41" s="64"/>
      <c r="C41" s="64"/>
      <c r="D41" s="48"/>
      <c r="E41" s="64"/>
      <c r="F41" s="64"/>
      <c r="G41" s="64"/>
      <c r="H41" s="64"/>
      <c r="I41" s="64"/>
      <c r="J41" s="48"/>
      <c r="K41" s="64"/>
      <c r="L41" s="64"/>
      <c r="M41" s="64"/>
      <c r="N41" s="64" t="str">
        <f>IF(N40="","",Finals!C29)</f>
        <v/>
      </c>
      <c r="O41" s="64"/>
      <c r="P41" s="48" t="str">
        <f>IF(N40="","",IF(Finals!H29="Complete",Finals!D29,""))</f>
        <v/>
      </c>
      <c r="Q41" s="64"/>
      <c r="R41" s="64"/>
      <c r="S41" s="64"/>
      <c r="T41" s="64"/>
      <c r="U41" s="64"/>
      <c r="V41" s="48"/>
      <c r="W41" s="64"/>
      <c r="X41" s="64"/>
      <c r="Y41" s="64"/>
      <c r="Z41" s="64"/>
      <c r="AA41" s="64"/>
      <c r="AB41" s="48"/>
    </row>
    <row r="42" spans="1:28" ht="18.95" customHeight="1">
      <c r="A42" s="64"/>
      <c r="B42" s="64"/>
      <c r="C42" s="64"/>
      <c r="D42" s="48"/>
      <c r="E42" s="64"/>
      <c r="F42" s="64"/>
      <c r="G42" s="64"/>
      <c r="H42" s="64"/>
      <c r="I42" s="64"/>
      <c r="J42" s="48"/>
      <c r="K42" s="64"/>
      <c r="L42" s="64"/>
      <c r="M42" s="64"/>
      <c r="N42" s="64" t="str">
        <f>IF(N40="","",Finals!E29)</f>
        <v/>
      </c>
      <c r="O42" s="64"/>
      <c r="P42" s="48" t="str">
        <f>IF(N40="","",IF(Finals!H29="Complete",Finals!F29,""))</f>
        <v/>
      </c>
      <c r="Q42" s="64"/>
      <c r="R42" s="64"/>
      <c r="S42" s="64"/>
      <c r="T42" s="64"/>
      <c r="U42" s="64"/>
      <c r="V42" s="48"/>
      <c r="W42" s="64"/>
      <c r="X42" s="64"/>
      <c r="Y42" s="64"/>
      <c r="Z42" s="64"/>
      <c r="AA42" s="64"/>
      <c r="AB42" s="48"/>
    </row>
    <row r="43" spans="1:28" ht="18.95" customHeight="1">
      <c r="A43" s="64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</row>
    <row r="44" spans="1:28" ht="18.95" customHeight="1">
      <c r="A44" s="65"/>
      <c r="B44" s="66" t="s">
        <v>348</v>
      </c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</row>
    <row r="45" spans="1:28" ht="18.95" customHeight="1">
      <c r="A45" s="64"/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</row>
  </sheetData>
  <conditionalFormatting sqref="B4">
    <cfRule type="expression" dxfId="4" priority="1">
      <formula>B4=""</formula>
    </cfRule>
  </conditionalFormatting>
  <conditionalFormatting sqref="H4">
    <cfRule type="expression" dxfId="3" priority="2">
      <formula>H4=""</formula>
    </cfRule>
  </conditionalFormatting>
  <conditionalFormatting sqref="N4">
    <cfRule type="expression" dxfId="2" priority="3">
      <formula>N4=""</formula>
    </cfRule>
  </conditionalFormatting>
  <conditionalFormatting sqref="T4">
    <cfRule type="expression" dxfId="1" priority="4">
      <formula>T4=""</formula>
    </cfRule>
  </conditionalFormatting>
  <conditionalFormatting sqref="Z4">
    <cfRule type="expression" dxfId="0" priority="5">
      <formula>Z4=""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270"/>
  <sheetViews>
    <sheetView workbookViewId="0">
      <selection activeCell="B36" sqref="B36"/>
    </sheetView>
  </sheetViews>
  <sheetFormatPr defaultRowHeight="14.25"/>
  <cols>
    <col min="1" max="1" width="8" customWidth="1"/>
    <col min="2" max="2" width="20" customWidth="1"/>
    <col min="3" max="3" width="8" customWidth="1"/>
    <col min="4" max="4" width="24" customWidth="1"/>
    <col min="5" max="5" width="9" customWidth="1"/>
    <col min="6" max="6" width="24" customWidth="1"/>
    <col min="7" max="7" width="9" customWidth="1"/>
    <col min="8" max="8" width="24" customWidth="1"/>
    <col min="9" max="9" width="3" customWidth="1"/>
    <col min="10" max="10" width="15" customWidth="1"/>
    <col min="11" max="11" width="12" customWidth="1"/>
    <col min="12" max="12" width="24" customWidth="1"/>
    <col min="13" max="13" width="9" customWidth="1"/>
    <col min="14" max="14" width="24" customWidth="1"/>
    <col min="15" max="15" width="9" customWidth="1"/>
    <col min="16" max="16" width="24" customWidth="1"/>
  </cols>
  <sheetData>
    <row r="1" spans="1:16" ht="23.25">
      <c r="A1" s="30"/>
      <c r="B1" s="29" t="s">
        <v>349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>
      <c r="A2" s="36"/>
      <c r="B2" s="63" t="str">
        <f>"Competition: "&amp;Setup!$B$4&amp;"   |   "&amp;Setup!$B$6&amp;" pools × "&amp;Setup!$B$7&amp;" teams   |   "&amp;Setup!$B$8&amp;" qualifier(s) per pool"</f>
        <v>Competition: Simple Score Tournament   |   2 pools × 8 teams   |   2 qualifier(s) per pool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</row>
    <row r="3" spans="1:16">
      <c r="A3" s="33"/>
      <c r="B3" s="73" t="s">
        <v>350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</row>
    <row r="4" spans="1:16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</row>
    <row r="5" spans="1:16">
      <c r="A5" s="109" t="s">
        <v>250</v>
      </c>
      <c r="B5" s="109"/>
      <c r="C5" s="64" t="str">
        <f>Setup!B4</f>
        <v>Simple Score Tournament</v>
      </c>
      <c r="D5" s="64"/>
      <c r="E5" s="64"/>
      <c r="F5" s="64"/>
      <c r="G5" s="64"/>
      <c r="H5" s="64"/>
      <c r="I5" s="109" t="s">
        <v>351</v>
      </c>
      <c r="J5" s="109"/>
      <c r="K5" s="110" t="str">
        <f>IF(Finals!H26="Complete",Finals!G26,"TBD")</f>
        <v>TBD</v>
      </c>
      <c r="L5" s="40"/>
      <c r="M5" s="40"/>
      <c r="N5" s="40"/>
      <c r="O5" s="40"/>
      <c r="P5" s="40"/>
    </row>
    <row r="6" spans="1:16">
      <c r="A6" s="109" t="s">
        <v>352</v>
      </c>
      <c r="B6" s="35"/>
      <c r="C6" s="33">
        <f>Setup!B6*Setup!B16</f>
        <v>56</v>
      </c>
      <c r="D6" s="33"/>
      <c r="E6" s="33"/>
      <c r="F6" s="33"/>
      <c r="G6" s="33"/>
      <c r="H6" s="33"/>
      <c r="I6" s="109" t="s">
        <v>353</v>
      </c>
      <c r="J6" s="35"/>
      <c r="K6" s="33" t="str">
        <f>IF(Finals!H26&lt;&gt;"Complete","TBD",IF(Finals!G26=Finals!C26,Finals!E26,Finals!C26))</f>
        <v>TBD</v>
      </c>
      <c r="L6" s="33"/>
      <c r="M6" s="33"/>
      <c r="N6" s="33"/>
      <c r="O6" s="33"/>
      <c r="P6" s="33"/>
    </row>
    <row r="7" spans="1:16">
      <c r="A7" s="109" t="s">
        <v>354</v>
      </c>
      <c r="B7" s="35"/>
      <c r="C7" s="33">
        <f>COUNTIF(Scores!$I$4:$I$227,1)</f>
        <v>56</v>
      </c>
      <c r="D7" s="33"/>
      <c r="E7" s="33"/>
      <c r="F7" s="33"/>
      <c r="G7" s="33"/>
      <c r="H7" s="33"/>
      <c r="I7" s="109" t="s">
        <v>252</v>
      </c>
      <c r="J7" s="109"/>
      <c r="K7" s="33" t="str">
        <f>IF(Setup!E6&lt;&gt;"Yes","Not played",IF(Finals!H29="Complete",Finals!G29,"TBD"))</f>
        <v>Not played</v>
      </c>
      <c r="L7" s="33"/>
      <c r="M7" s="33"/>
      <c r="N7" s="33"/>
      <c r="O7" s="33"/>
      <c r="P7" s="33"/>
    </row>
    <row r="8" spans="1:16" ht="25.5">
      <c r="A8" s="109" t="s">
        <v>42</v>
      </c>
      <c r="B8" s="35"/>
      <c r="C8" s="33">
        <f>Setup!E4</f>
        <v>4</v>
      </c>
      <c r="D8" s="33"/>
      <c r="E8" s="33"/>
      <c r="F8" s="33"/>
      <c r="G8" s="33"/>
      <c r="H8" s="33"/>
      <c r="I8" s="109" t="s">
        <v>355</v>
      </c>
      <c r="J8" s="109"/>
      <c r="K8" s="33" t="str">
        <f>COUNTIF(Scores!$I$4:$I$227,1)&amp;" / "&amp;(Setup!B6*Setup!B16)&amp;" complete"</f>
        <v>56 / 56 complete</v>
      </c>
      <c r="L8" s="33"/>
      <c r="M8" s="33"/>
      <c r="N8" s="33"/>
      <c r="O8" s="33"/>
      <c r="P8" s="33"/>
    </row>
    <row r="9" spans="1:16" ht="89.25">
      <c r="A9" s="109" t="s">
        <v>356</v>
      </c>
      <c r="B9" s="35"/>
      <c r="C9" s="33" t="str">
        <f>Setup!E5</f>
        <v>Semi-finals + Final</v>
      </c>
      <c r="D9" s="33"/>
      <c r="E9" s="33"/>
      <c r="F9" s="33"/>
      <c r="G9" s="33"/>
      <c r="H9" s="33"/>
      <c r="I9" s="109" t="s">
        <v>357</v>
      </c>
      <c r="J9" s="109"/>
      <c r="K9" s="33" t="str">
        <f>IF(Setup!E3="No Finals","No Finals",IF(Finals!H26="Complete","Complete","In progress"))</f>
        <v>In progress</v>
      </c>
      <c r="L9" s="33"/>
      <c r="M9" s="33"/>
      <c r="N9" s="33"/>
      <c r="O9" s="33"/>
      <c r="P9" s="33"/>
    </row>
    <row r="10" spans="1:16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</row>
    <row r="11" spans="1:16" ht="15.75">
      <c r="A11" s="21"/>
      <c r="B11" s="111" t="s">
        <v>358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</row>
    <row r="12" spans="1:16">
      <c r="A12" s="33"/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</row>
    <row r="13" spans="1:16">
      <c r="A13" s="36" t="str">
        <f>IF(Setup!$B$6&gt;=1,"Pool A","")</f>
        <v>Pool A</v>
      </c>
      <c r="B13" s="36"/>
      <c r="C13" s="36"/>
      <c r="D13" s="33"/>
      <c r="E13" s="36" t="str">
        <f>IF(Setup!$B$6&gt;=2,"Pool B","")</f>
        <v>Pool B</v>
      </c>
      <c r="F13" s="36"/>
      <c r="G13" s="36"/>
      <c r="H13" s="33"/>
      <c r="I13" s="36" t="str">
        <f>IF(Setup!$B$6&gt;=3,"Pool C","")</f>
        <v/>
      </c>
      <c r="J13" s="36"/>
      <c r="K13" s="36"/>
      <c r="L13" s="33"/>
      <c r="M13" s="36" t="str">
        <f>IF(Setup!$B$6&gt;=4,"Pool D","")</f>
        <v/>
      </c>
      <c r="N13" s="36"/>
      <c r="O13" s="36"/>
      <c r="P13" s="33"/>
    </row>
    <row r="14" spans="1:16" ht="25.5">
      <c r="A14" s="62" t="s">
        <v>248</v>
      </c>
      <c r="B14" s="62" t="s">
        <v>237</v>
      </c>
      <c r="C14" s="62" t="s">
        <v>244</v>
      </c>
      <c r="D14" s="33"/>
      <c r="E14" s="62" t="s">
        <v>248</v>
      </c>
      <c r="F14" s="62" t="s">
        <v>237</v>
      </c>
      <c r="G14" s="62" t="s">
        <v>244</v>
      </c>
      <c r="H14" s="33"/>
      <c r="I14" s="62" t="s">
        <v>248</v>
      </c>
      <c r="J14" s="62" t="s">
        <v>237</v>
      </c>
      <c r="K14" s="62" t="s">
        <v>244</v>
      </c>
      <c r="L14" s="33"/>
      <c r="M14" s="62" t="s">
        <v>248</v>
      </c>
      <c r="N14" s="62" t="s">
        <v>237</v>
      </c>
      <c r="O14" s="62" t="s">
        <v>244</v>
      </c>
      <c r="P14" s="33"/>
    </row>
    <row r="15" spans="1:16">
      <c r="A15" s="33">
        <f>IF(OR(Setup!$B$6&lt;1,1&gt;Setup!$B$7),"",1)</f>
        <v>1</v>
      </c>
      <c r="B15" s="33" t="str">
        <f>IF(A15="","",IFERROR(INDEX(Calculations!$C$4:$C$67,MATCH("A-1",Calculations!$O$4:$O$67,0)),""))</f>
        <v/>
      </c>
      <c r="C15" s="33" t="str">
        <f>IF(A15="","",IFERROR(INDEX(Calculations!$L$4:$L$67,MATCH("A-1",Calculations!$O$4:$O$67,0)),""))</f>
        <v/>
      </c>
      <c r="D15" s="33"/>
      <c r="E15" s="33">
        <f>IF(OR(Setup!$B$6&lt;2,1&gt;Setup!$B$7),"",1)</f>
        <v>1</v>
      </c>
      <c r="F15" s="33" t="str">
        <f>IF(E15="","",IFERROR(INDEX(Calculations!$C$4:$C$67,MATCH("B-1",Calculations!$O$4:$O$67,0)),""))</f>
        <v/>
      </c>
      <c r="G15" s="33" t="str">
        <f>IF(E15="","",IFERROR(INDEX(Calculations!$L$4:$L$67,MATCH("B-1",Calculations!$O$4:$O$67,0)),""))</f>
        <v/>
      </c>
      <c r="H15" s="33"/>
      <c r="I15" s="33" t="str">
        <f>IF(OR(Setup!$B$6&lt;3,1&gt;Setup!$B$7),"",1)</f>
        <v/>
      </c>
      <c r="J15" s="33" t="str">
        <f>IF(I15="","",IFERROR(INDEX(Calculations!$C$4:$C$67,MATCH("C-1",Calculations!$O$4:$O$67,0)),""))</f>
        <v/>
      </c>
      <c r="K15" s="33" t="str">
        <f>IF(I15="","",IFERROR(INDEX(Calculations!$L$4:$L$67,MATCH("C-1",Calculations!$O$4:$O$67,0)),""))</f>
        <v/>
      </c>
      <c r="L15" s="33"/>
      <c r="M15" s="33" t="str">
        <f>IF(OR(Setup!$B$6&lt;4,1&gt;Setup!$B$7),"",1)</f>
        <v/>
      </c>
      <c r="N15" s="33" t="str">
        <f>IF(M15="","",IFERROR(INDEX(Calculations!$C$4:$C$67,MATCH("D-1",Calculations!$O$4:$O$67,0)),""))</f>
        <v/>
      </c>
      <c r="O15" s="33" t="str">
        <f>IF(M15="","",IFERROR(INDEX(Calculations!$L$4:$L$67,MATCH("D-1",Calculations!$O$4:$O$67,0)),""))</f>
        <v/>
      </c>
      <c r="P15" s="33"/>
    </row>
    <row r="16" spans="1:16">
      <c r="A16" s="33">
        <f>IF(OR(Setup!$B$6&lt;1,2&gt;Setup!$B$7),"",2)</f>
        <v>2</v>
      </c>
      <c r="B16" s="33" t="str">
        <f>IF(A16="","",IFERROR(INDEX(Calculations!$C$4:$C$67,MATCH("A-2",Calculations!$O$4:$O$67,0)),""))</f>
        <v/>
      </c>
      <c r="C16" s="33" t="str">
        <f>IF(A16="","",IFERROR(INDEX(Calculations!$L$4:$L$67,MATCH("A-2",Calculations!$O$4:$O$67,0)),""))</f>
        <v/>
      </c>
      <c r="D16" s="33"/>
      <c r="E16" s="33">
        <f>IF(OR(Setup!$B$6&lt;2,2&gt;Setup!$B$7),"",2)</f>
        <v>2</v>
      </c>
      <c r="F16" s="33" t="str">
        <f>IF(E16="","",IFERROR(INDEX(Calculations!$C$4:$C$67,MATCH("B-2",Calculations!$O$4:$O$67,0)),""))</f>
        <v/>
      </c>
      <c r="G16" s="33" t="str">
        <f>IF(E16="","",IFERROR(INDEX(Calculations!$L$4:$L$67,MATCH("B-2",Calculations!$O$4:$O$67,0)),""))</f>
        <v/>
      </c>
      <c r="H16" s="33"/>
      <c r="I16" s="33" t="str">
        <f>IF(OR(Setup!$B$6&lt;3,2&gt;Setup!$B$7),"",2)</f>
        <v/>
      </c>
      <c r="J16" s="33" t="str">
        <f>IF(I16="","",IFERROR(INDEX(Calculations!$C$4:$C$67,MATCH("C-2",Calculations!$O$4:$O$67,0)),""))</f>
        <v/>
      </c>
      <c r="K16" s="33" t="str">
        <f>IF(I16="","",IFERROR(INDEX(Calculations!$L$4:$L$67,MATCH("C-2",Calculations!$O$4:$O$67,0)),""))</f>
        <v/>
      </c>
      <c r="L16" s="33"/>
      <c r="M16" s="33" t="str">
        <f>IF(OR(Setup!$B$6&lt;4,2&gt;Setup!$B$7),"",2)</f>
        <v/>
      </c>
      <c r="N16" s="33" t="str">
        <f>IF(M16="","",IFERROR(INDEX(Calculations!$C$4:$C$67,MATCH("D-2",Calculations!$O$4:$O$67,0)),""))</f>
        <v/>
      </c>
      <c r="O16" s="33" t="str">
        <f>IF(M16="","",IFERROR(INDEX(Calculations!$L$4:$L$67,MATCH("D-2",Calculations!$O$4:$O$67,0)),""))</f>
        <v/>
      </c>
      <c r="P16" s="33"/>
    </row>
    <row r="17" spans="1:16">
      <c r="A17" s="33">
        <f>IF(OR(Setup!$B$6&lt;1,3&gt;Setup!$B$7),"",3)</f>
        <v>3</v>
      </c>
      <c r="B17" s="33" t="str">
        <f>IF(A17="","",IFERROR(INDEX(Calculations!$C$4:$C$67,MATCH("A-3",Calculations!$O$4:$O$67,0)),""))</f>
        <v/>
      </c>
      <c r="C17" s="33" t="str">
        <f>IF(A17="","",IFERROR(INDEX(Calculations!$L$4:$L$67,MATCH("A-3",Calculations!$O$4:$O$67,0)),""))</f>
        <v/>
      </c>
      <c r="D17" s="33"/>
      <c r="E17" s="33">
        <f>IF(OR(Setup!$B$6&lt;2,3&gt;Setup!$B$7),"",3)</f>
        <v>3</v>
      </c>
      <c r="F17" s="33" t="str">
        <f>IF(E17="","",IFERROR(INDEX(Calculations!$C$4:$C$67,MATCH("B-3",Calculations!$O$4:$O$67,0)),""))</f>
        <v/>
      </c>
      <c r="G17" s="33" t="str">
        <f>IF(E17="","",IFERROR(INDEX(Calculations!$L$4:$L$67,MATCH("B-3",Calculations!$O$4:$O$67,0)),""))</f>
        <v/>
      </c>
      <c r="H17" s="33"/>
      <c r="I17" s="33" t="str">
        <f>IF(OR(Setup!$B$6&lt;3,3&gt;Setup!$B$7),"",3)</f>
        <v/>
      </c>
      <c r="J17" s="33" t="str">
        <f>IF(I17="","",IFERROR(INDEX(Calculations!$C$4:$C$67,MATCH("C-3",Calculations!$O$4:$O$67,0)),""))</f>
        <v/>
      </c>
      <c r="K17" s="33" t="str">
        <f>IF(I17="","",IFERROR(INDEX(Calculations!$L$4:$L$67,MATCH("C-3",Calculations!$O$4:$O$67,0)),""))</f>
        <v/>
      </c>
      <c r="L17" s="33"/>
      <c r="M17" s="33" t="str">
        <f>IF(OR(Setup!$B$6&lt;4,3&gt;Setup!$B$7),"",3)</f>
        <v/>
      </c>
      <c r="N17" s="33" t="str">
        <f>IF(M17="","",IFERROR(INDEX(Calculations!$C$4:$C$67,MATCH("D-3",Calculations!$O$4:$O$67,0)),""))</f>
        <v/>
      </c>
      <c r="O17" s="33" t="str">
        <f>IF(M17="","",IFERROR(INDEX(Calculations!$L$4:$L$67,MATCH("D-3",Calculations!$O$4:$O$67,0)),""))</f>
        <v/>
      </c>
      <c r="P17" s="33"/>
    </row>
    <row r="18" spans="1:16">
      <c r="A18" s="33">
        <f>IF(OR(Setup!$B$6&lt;1,4&gt;Setup!$B$7),"",4)</f>
        <v>4</v>
      </c>
      <c r="B18" s="33" t="str">
        <f>IF(A18="","",IFERROR(INDEX(Calculations!$C$4:$C$67,MATCH("A-4",Calculations!$O$4:$O$67,0)),""))</f>
        <v/>
      </c>
      <c r="C18" s="33" t="str">
        <f>IF(A18="","",IFERROR(INDEX(Calculations!$L$4:$L$67,MATCH("A-4",Calculations!$O$4:$O$67,0)),""))</f>
        <v/>
      </c>
      <c r="D18" s="33"/>
      <c r="E18" s="33">
        <f>IF(OR(Setup!$B$6&lt;2,4&gt;Setup!$B$7),"",4)</f>
        <v>4</v>
      </c>
      <c r="F18" s="33" t="str">
        <f>IF(E18="","",IFERROR(INDEX(Calculations!$C$4:$C$67,MATCH("B-4",Calculations!$O$4:$O$67,0)),""))</f>
        <v/>
      </c>
      <c r="G18" s="33" t="str">
        <f>IF(E18="","",IFERROR(INDEX(Calculations!$L$4:$L$67,MATCH("B-4",Calculations!$O$4:$O$67,0)),""))</f>
        <v/>
      </c>
      <c r="H18" s="33"/>
      <c r="I18" s="33" t="str">
        <f>IF(OR(Setup!$B$6&lt;3,4&gt;Setup!$B$7),"",4)</f>
        <v/>
      </c>
      <c r="J18" s="33" t="str">
        <f>IF(I18="","",IFERROR(INDEX(Calculations!$C$4:$C$67,MATCH("C-4",Calculations!$O$4:$O$67,0)),""))</f>
        <v/>
      </c>
      <c r="K18" s="33" t="str">
        <f>IF(I18="","",IFERROR(INDEX(Calculations!$L$4:$L$67,MATCH("C-4",Calculations!$O$4:$O$67,0)),""))</f>
        <v/>
      </c>
      <c r="L18" s="33"/>
      <c r="M18" s="33" t="str">
        <f>IF(OR(Setup!$B$6&lt;4,4&gt;Setup!$B$7),"",4)</f>
        <v/>
      </c>
      <c r="N18" s="33" t="str">
        <f>IF(M18="","",IFERROR(INDEX(Calculations!$C$4:$C$67,MATCH("D-4",Calculations!$O$4:$O$67,0)),""))</f>
        <v/>
      </c>
      <c r="O18" s="33" t="str">
        <f>IF(M18="","",IFERROR(INDEX(Calculations!$L$4:$L$67,MATCH("D-4",Calculations!$O$4:$O$67,0)),""))</f>
        <v/>
      </c>
      <c r="P18" s="33"/>
    </row>
    <row r="19" spans="1:16">
      <c r="A19" s="33">
        <f>IF(OR(Setup!$B$6&lt;1,5&gt;Setup!$B$7),"",5)</f>
        <v>5</v>
      </c>
      <c r="B19" s="33" t="str">
        <f>IF(A19="","",IFERROR(INDEX(Calculations!$C$4:$C$67,MATCH("A-5",Calculations!$O$4:$O$67,0)),""))</f>
        <v/>
      </c>
      <c r="C19" s="33" t="str">
        <f>IF(A19="","",IFERROR(INDEX(Calculations!$L$4:$L$67,MATCH("A-5",Calculations!$O$4:$O$67,0)),""))</f>
        <v/>
      </c>
      <c r="D19" s="33"/>
      <c r="E19" s="33">
        <f>IF(OR(Setup!$B$6&lt;2,5&gt;Setup!$B$7),"",5)</f>
        <v>5</v>
      </c>
      <c r="F19" s="33" t="str">
        <f>IF(E19="","",IFERROR(INDEX(Calculations!$C$4:$C$67,MATCH("B-5",Calculations!$O$4:$O$67,0)),""))</f>
        <v/>
      </c>
      <c r="G19" s="33" t="str">
        <f>IF(E19="","",IFERROR(INDEX(Calculations!$L$4:$L$67,MATCH("B-5",Calculations!$O$4:$O$67,0)),""))</f>
        <v/>
      </c>
      <c r="H19" s="33"/>
      <c r="I19" s="33" t="str">
        <f>IF(OR(Setup!$B$6&lt;3,5&gt;Setup!$B$7),"",5)</f>
        <v/>
      </c>
      <c r="J19" s="33" t="str">
        <f>IF(I19="","",IFERROR(INDEX(Calculations!$C$4:$C$67,MATCH("C-5",Calculations!$O$4:$O$67,0)),""))</f>
        <v/>
      </c>
      <c r="K19" s="33" t="str">
        <f>IF(I19="","",IFERROR(INDEX(Calculations!$L$4:$L$67,MATCH("C-5",Calculations!$O$4:$O$67,0)),""))</f>
        <v/>
      </c>
      <c r="L19" s="33"/>
      <c r="M19" s="33" t="str">
        <f>IF(OR(Setup!$B$6&lt;4,5&gt;Setup!$B$7),"",5)</f>
        <v/>
      </c>
      <c r="N19" s="33" t="str">
        <f>IF(M19="","",IFERROR(INDEX(Calculations!$C$4:$C$67,MATCH("D-5",Calculations!$O$4:$O$67,0)),""))</f>
        <v/>
      </c>
      <c r="O19" s="33" t="str">
        <f>IF(M19="","",IFERROR(INDEX(Calculations!$L$4:$L$67,MATCH("D-5",Calculations!$O$4:$O$67,0)),""))</f>
        <v/>
      </c>
      <c r="P19" s="33"/>
    </row>
    <row r="20" spans="1:16">
      <c r="A20" s="33">
        <f>IF(OR(Setup!$B$6&lt;1,6&gt;Setup!$B$7),"",6)</f>
        <v>6</v>
      </c>
      <c r="B20" s="33" t="str">
        <f>IF(A20="","",IFERROR(INDEX(Calculations!$C$4:$C$67,MATCH("A-6",Calculations!$O$4:$O$67,0)),""))</f>
        <v/>
      </c>
      <c r="C20" s="33" t="str">
        <f>IF(A20="","",IFERROR(INDEX(Calculations!$L$4:$L$67,MATCH("A-6",Calculations!$O$4:$O$67,0)),""))</f>
        <v/>
      </c>
      <c r="D20" s="33"/>
      <c r="E20" s="33">
        <f>IF(OR(Setup!$B$6&lt;2,6&gt;Setup!$B$7),"",6)</f>
        <v>6</v>
      </c>
      <c r="F20" s="33" t="str">
        <f>IF(E20="","",IFERROR(INDEX(Calculations!$C$4:$C$67,MATCH("B-6",Calculations!$O$4:$O$67,0)),""))</f>
        <v/>
      </c>
      <c r="G20" s="33" t="str">
        <f>IF(E20="","",IFERROR(INDEX(Calculations!$L$4:$L$67,MATCH("B-6",Calculations!$O$4:$O$67,0)),""))</f>
        <v/>
      </c>
      <c r="H20" s="33"/>
      <c r="I20" s="33" t="str">
        <f>IF(OR(Setup!$B$6&lt;3,6&gt;Setup!$B$7),"",6)</f>
        <v/>
      </c>
      <c r="J20" s="33" t="str">
        <f>IF(I20="","",IFERROR(INDEX(Calculations!$C$4:$C$67,MATCH("C-6",Calculations!$O$4:$O$67,0)),""))</f>
        <v/>
      </c>
      <c r="K20" s="33" t="str">
        <f>IF(I20="","",IFERROR(INDEX(Calculations!$L$4:$L$67,MATCH("C-6",Calculations!$O$4:$O$67,0)),""))</f>
        <v/>
      </c>
      <c r="L20" s="33"/>
      <c r="M20" s="33" t="str">
        <f>IF(OR(Setup!$B$6&lt;4,6&gt;Setup!$B$7),"",6)</f>
        <v/>
      </c>
      <c r="N20" s="33" t="str">
        <f>IF(M20="","",IFERROR(INDEX(Calculations!$C$4:$C$67,MATCH("D-6",Calculations!$O$4:$O$67,0)),""))</f>
        <v/>
      </c>
      <c r="O20" s="33" t="str">
        <f>IF(M20="","",IFERROR(INDEX(Calculations!$L$4:$L$67,MATCH("D-6",Calculations!$O$4:$O$67,0)),""))</f>
        <v/>
      </c>
      <c r="P20" s="33"/>
    </row>
    <row r="21" spans="1:16">
      <c r="A21" s="33">
        <f>IF(OR(Setup!$B$6&lt;1,7&gt;Setup!$B$7),"",7)</f>
        <v>7</v>
      </c>
      <c r="B21" s="33" t="str">
        <f>IF(A21="","",IFERROR(INDEX(Calculations!$C$4:$C$67,MATCH("A-7",Calculations!$O$4:$O$67,0)),""))</f>
        <v/>
      </c>
      <c r="C21" s="33" t="str">
        <f>IF(A21="","",IFERROR(INDEX(Calculations!$L$4:$L$67,MATCH("A-7",Calculations!$O$4:$O$67,0)),""))</f>
        <v/>
      </c>
      <c r="D21" s="33"/>
      <c r="E21" s="33">
        <f>IF(OR(Setup!$B$6&lt;2,7&gt;Setup!$B$7),"",7)</f>
        <v>7</v>
      </c>
      <c r="F21" s="33" t="str">
        <f>IF(E21="","",IFERROR(INDEX(Calculations!$C$4:$C$67,MATCH("B-7",Calculations!$O$4:$O$67,0)),""))</f>
        <v/>
      </c>
      <c r="G21" s="33" t="str">
        <f>IF(E21="","",IFERROR(INDEX(Calculations!$L$4:$L$67,MATCH("B-7",Calculations!$O$4:$O$67,0)),""))</f>
        <v/>
      </c>
      <c r="H21" s="33"/>
      <c r="I21" s="33" t="str">
        <f>IF(OR(Setup!$B$6&lt;3,7&gt;Setup!$B$7),"",7)</f>
        <v/>
      </c>
      <c r="J21" s="33" t="str">
        <f>IF(I21="","",IFERROR(INDEX(Calculations!$C$4:$C$67,MATCH("C-7",Calculations!$O$4:$O$67,0)),""))</f>
        <v/>
      </c>
      <c r="K21" s="33" t="str">
        <f>IF(I21="","",IFERROR(INDEX(Calculations!$L$4:$L$67,MATCH("C-7",Calculations!$O$4:$O$67,0)),""))</f>
        <v/>
      </c>
      <c r="L21" s="33"/>
      <c r="M21" s="33" t="str">
        <f>IF(OR(Setup!$B$6&lt;4,7&gt;Setup!$B$7),"",7)</f>
        <v/>
      </c>
      <c r="N21" s="33" t="str">
        <f>IF(M21="","",IFERROR(INDEX(Calculations!$C$4:$C$67,MATCH("D-7",Calculations!$O$4:$O$67,0)),""))</f>
        <v/>
      </c>
      <c r="O21" s="33" t="str">
        <f>IF(M21="","",IFERROR(INDEX(Calculations!$L$4:$L$67,MATCH("D-7",Calculations!$O$4:$O$67,0)),""))</f>
        <v/>
      </c>
      <c r="P21" s="33"/>
    </row>
    <row r="22" spans="1:16">
      <c r="A22" s="33">
        <f>IF(OR(Setup!$B$6&lt;1,8&gt;Setup!$B$7),"",8)</f>
        <v>8</v>
      </c>
      <c r="B22" s="33" t="str">
        <f>IF(A22="","",IFERROR(INDEX(Calculations!$C$4:$C$67,MATCH("A-8",Calculations!$O$4:$O$67,0)),""))</f>
        <v/>
      </c>
      <c r="C22" s="33" t="str">
        <f>IF(A22="","",IFERROR(INDEX(Calculations!$L$4:$L$67,MATCH("A-8",Calculations!$O$4:$O$67,0)),""))</f>
        <v/>
      </c>
      <c r="D22" s="33"/>
      <c r="E22" s="33">
        <f>IF(OR(Setup!$B$6&lt;2,8&gt;Setup!$B$7),"",8)</f>
        <v>8</v>
      </c>
      <c r="F22" s="33" t="str">
        <f>IF(E22="","",IFERROR(INDEX(Calculations!$C$4:$C$67,MATCH("B-8",Calculations!$O$4:$O$67,0)),""))</f>
        <v/>
      </c>
      <c r="G22" s="33" t="str">
        <f>IF(E22="","",IFERROR(INDEX(Calculations!$L$4:$L$67,MATCH("B-8",Calculations!$O$4:$O$67,0)),""))</f>
        <v/>
      </c>
      <c r="H22" s="33"/>
      <c r="I22" s="33" t="str">
        <f>IF(OR(Setup!$B$6&lt;3,8&gt;Setup!$B$7),"",8)</f>
        <v/>
      </c>
      <c r="J22" s="33" t="str">
        <f>IF(I22="","",IFERROR(INDEX(Calculations!$C$4:$C$67,MATCH("C-8",Calculations!$O$4:$O$67,0)),""))</f>
        <v/>
      </c>
      <c r="K22" s="33" t="str">
        <f>IF(I22="","",IFERROR(INDEX(Calculations!$L$4:$L$67,MATCH("C-8",Calculations!$O$4:$O$67,0)),""))</f>
        <v/>
      </c>
      <c r="L22" s="33"/>
      <c r="M22" s="33" t="str">
        <f>IF(OR(Setup!$B$6&lt;4,8&gt;Setup!$B$7),"",8)</f>
        <v/>
      </c>
      <c r="N22" s="33" t="str">
        <f>IF(M22="","",IFERROR(INDEX(Calculations!$C$4:$C$67,MATCH("D-8",Calculations!$O$4:$O$67,0)),""))</f>
        <v/>
      </c>
      <c r="O22" s="33" t="str">
        <f>IF(M22="","",IFERROR(INDEX(Calculations!$L$4:$L$67,MATCH("D-8",Calculations!$O$4:$O$67,0)),""))</f>
        <v/>
      </c>
      <c r="P22" s="33"/>
    </row>
    <row r="23" spans="1:16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</row>
    <row r="24" spans="1:16">
      <c r="A24" s="36" t="str">
        <f>IF(Setup!$B$6&gt;=5,"Pool E","")</f>
        <v/>
      </c>
      <c r="B24" s="36"/>
      <c r="C24" s="36"/>
      <c r="D24" s="33"/>
      <c r="E24" s="36" t="str">
        <f>IF(Setup!$B$6&gt;=6,"Pool F","")</f>
        <v/>
      </c>
      <c r="F24" s="36"/>
      <c r="G24" s="36"/>
      <c r="H24" s="33"/>
      <c r="I24" s="36" t="str">
        <f>IF(Setup!$B$6&gt;=7,"Pool G","")</f>
        <v/>
      </c>
      <c r="J24" s="36"/>
      <c r="K24" s="36"/>
      <c r="L24" s="33"/>
      <c r="M24" s="36" t="str">
        <f>IF(Setup!$B$6&gt;=8,"Pool H","")</f>
        <v/>
      </c>
      <c r="N24" s="36"/>
      <c r="O24" s="36"/>
      <c r="P24" s="33"/>
    </row>
    <row r="25" spans="1:16" ht="25.5">
      <c r="A25" s="62" t="s">
        <v>248</v>
      </c>
      <c r="B25" s="62" t="s">
        <v>237</v>
      </c>
      <c r="C25" s="62" t="s">
        <v>244</v>
      </c>
      <c r="D25" s="33"/>
      <c r="E25" s="62" t="s">
        <v>248</v>
      </c>
      <c r="F25" s="62" t="s">
        <v>237</v>
      </c>
      <c r="G25" s="62" t="s">
        <v>244</v>
      </c>
      <c r="H25" s="33"/>
      <c r="I25" s="62" t="s">
        <v>248</v>
      </c>
      <c r="J25" s="62" t="s">
        <v>237</v>
      </c>
      <c r="K25" s="62" t="s">
        <v>244</v>
      </c>
      <c r="L25" s="33"/>
      <c r="M25" s="62" t="s">
        <v>248</v>
      </c>
      <c r="N25" s="62" t="s">
        <v>237</v>
      </c>
      <c r="O25" s="62" t="s">
        <v>244</v>
      </c>
      <c r="P25" s="33"/>
    </row>
    <row r="26" spans="1:16">
      <c r="A26" s="33" t="str">
        <f>IF(OR(Setup!$B$6&lt;5,1&gt;Setup!$B$7),"",1)</f>
        <v/>
      </c>
      <c r="B26" s="33" t="str">
        <f>IF(A26="","",IFERROR(INDEX(Calculations!$C$4:$C$67,MATCH("E-1",Calculations!$O$4:$O$67,0)),""))</f>
        <v/>
      </c>
      <c r="C26" s="33" t="str">
        <f>IF(A26="","",IFERROR(INDEX(Calculations!$L$4:$L$67,MATCH("E-1",Calculations!$O$4:$O$67,0)),""))</f>
        <v/>
      </c>
      <c r="D26" s="33"/>
      <c r="E26" s="33" t="str">
        <f>IF(OR(Setup!$B$6&lt;6,1&gt;Setup!$B$7),"",1)</f>
        <v/>
      </c>
      <c r="F26" s="33" t="str">
        <f>IF(E26="","",IFERROR(INDEX(Calculations!$C$4:$C$67,MATCH("F-1",Calculations!$O$4:$O$67,0)),""))</f>
        <v/>
      </c>
      <c r="G26" s="33" t="str">
        <f>IF(E26="","",IFERROR(INDEX(Calculations!$L$4:$L$67,MATCH("F-1",Calculations!$O$4:$O$67,0)),""))</f>
        <v/>
      </c>
      <c r="H26" s="33"/>
      <c r="I26" s="33" t="str">
        <f>IF(OR(Setup!$B$6&lt;7,1&gt;Setup!$B$7),"",1)</f>
        <v/>
      </c>
      <c r="J26" s="33" t="str">
        <f>IF(I26="","",IFERROR(INDEX(Calculations!$C$4:$C$67,MATCH("G-1",Calculations!$O$4:$O$67,0)),""))</f>
        <v/>
      </c>
      <c r="K26" s="33" t="str">
        <f>IF(I26="","",IFERROR(INDEX(Calculations!$L$4:$L$67,MATCH("G-1",Calculations!$O$4:$O$67,0)),""))</f>
        <v/>
      </c>
      <c r="L26" s="33"/>
      <c r="M26" s="33" t="str">
        <f>IF(OR(Setup!$B$6&lt;8,1&gt;Setup!$B$7),"",1)</f>
        <v/>
      </c>
      <c r="N26" s="33" t="str">
        <f>IF(M26="","",IFERROR(INDEX(Calculations!$C$4:$C$67,MATCH("H-1",Calculations!$O$4:$O$67,0)),""))</f>
        <v/>
      </c>
      <c r="O26" s="33" t="str">
        <f>IF(M26="","",IFERROR(INDEX(Calculations!$L$4:$L$67,MATCH("H-1",Calculations!$O$4:$O$67,0)),""))</f>
        <v/>
      </c>
      <c r="P26" s="33"/>
    </row>
    <row r="27" spans="1:16">
      <c r="A27" s="33" t="str">
        <f>IF(OR(Setup!$B$6&lt;5,2&gt;Setup!$B$7),"",2)</f>
        <v/>
      </c>
      <c r="B27" s="33" t="str">
        <f>IF(A27="","",IFERROR(INDEX(Calculations!$C$4:$C$67,MATCH("E-2",Calculations!$O$4:$O$67,0)),""))</f>
        <v/>
      </c>
      <c r="C27" s="33" t="str">
        <f>IF(A27="","",IFERROR(INDEX(Calculations!$L$4:$L$67,MATCH("E-2",Calculations!$O$4:$O$67,0)),""))</f>
        <v/>
      </c>
      <c r="D27" s="33"/>
      <c r="E27" s="33" t="str">
        <f>IF(OR(Setup!$B$6&lt;6,2&gt;Setup!$B$7),"",2)</f>
        <v/>
      </c>
      <c r="F27" s="33" t="str">
        <f>IF(E27="","",IFERROR(INDEX(Calculations!$C$4:$C$67,MATCH("F-2",Calculations!$O$4:$O$67,0)),""))</f>
        <v/>
      </c>
      <c r="G27" s="33" t="str">
        <f>IF(E27="","",IFERROR(INDEX(Calculations!$L$4:$L$67,MATCH("F-2",Calculations!$O$4:$O$67,0)),""))</f>
        <v/>
      </c>
      <c r="H27" s="33"/>
      <c r="I27" s="33" t="str">
        <f>IF(OR(Setup!$B$6&lt;7,2&gt;Setup!$B$7),"",2)</f>
        <v/>
      </c>
      <c r="J27" s="33" t="str">
        <f>IF(I27="","",IFERROR(INDEX(Calculations!$C$4:$C$67,MATCH("G-2",Calculations!$O$4:$O$67,0)),""))</f>
        <v/>
      </c>
      <c r="K27" s="33" t="str">
        <f>IF(I27="","",IFERROR(INDEX(Calculations!$L$4:$L$67,MATCH("G-2",Calculations!$O$4:$O$67,0)),""))</f>
        <v/>
      </c>
      <c r="L27" s="33"/>
      <c r="M27" s="33" t="str">
        <f>IF(OR(Setup!$B$6&lt;8,2&gt;Setup!$B$7),"",2)</f>
        <v/>
      </c>
      <c r="N27" s="33" t="str">
        <f>IF(M27="","",IFERROR(INDEX(Calculations!$C$4:$C$67,MATCH("H-2",Calculations!$O$4:$O$67,0)),""))</f>
        <v/>
      </c>
      <c r="O27" s="33" t="str">
        <f>IF(M27="","",IFERROR(INDEX(Calculations!$L$4:$L$67,MATCH("H-2",Calculations!$O$4:$O$67,0)),""))</f>
        <v/>
      </c>
      <c r="P27" s="33"/>
    </row>
    <row r="28" spans="1:16">
      <c r="A28" s="33" t="str">
        <f>IF(OR(Setup!$B$6&lt;5,3&gt;Setup!$B$7),"",3)</f>
        <v/>
      </c>
      <c r="B28" s="33" t="str">
        <f>IF(A28="","",IFERROR(INDEX(Calculations!$C$4:$C$67,MATCH("E-3",Calculations!$O$4:$O$67,0)),""))</f>
        <v/>
      </c>
      <c r="C28" s="33" t="str">
        <f>IF(A28="","",IFERROR(INDEX(Calculations!$L$4:$L$67,MATCH("E-3",Calculations!$O$4:$O$67,0)),""))</f>
        <v/>
      </c>
      <c r="D28" s="33"/>
      <c r="E28" s="33" t="str">
        <f>IF(OR(Setup!$B$6&lt;6,3&gt;Setup!$B$7),"",3)</f>
        <v/>
      </c>
      <c r="F28" s="33" t="str">
        <f>IF(E28="","",IFERROR(INDEX(Calculations!$C$4:$C$67,MATCH("F-3",Calculations!$O$4:$O$67,0)),""))</f>
        <v/>
      </c>
      <c r="G28" s="33" t="str">
        <f>IF(E28="","",IFERROR(INDEX(Calculations!$L$4:$L$67,MATCH("F-3",Calculations!$O$4:$O$67,0)),""))</f>
        <v/>
      </c>
      <c r="H28" s="33"/>
      <c r="I28" s="33" t="str">
        <f>IF(OR(Setup!$B$6&lt;7,3&gt;Setup!$B$7),"",3)</f>
        <v/>
      </c>
      <c r="J28" s="33" t="str">
        <f>IF(I28="","",IFERROR(INDEX(Calculations!$C$4:$C$67,MATCH("G-3",Calculations!$O$4:$O$67,0)),""))</f>
        <v/>
      </c>
      <c r="K28" s="33" t="str">
        <f>IF(I28="","",IFERROR(INDEX(Calculations!$L$4:$L$67,MATCH("G-3",Calculations!$O$4:$O$67,0)),""))</f>
        <v/>
      </c>
      <c r="L28" s="33"/>
      <c r="M28" s="33" t="str">
        <f>IF(OR(Setup!$B$6&lt;8,3&gt;Setup!$B$7),"",3)</f>
        <v/>
      </c>
      <c r="N28" s="33" t="str">
        <f>IF(M28="","",IFERROR(INDEX(Calculations!$C$4:$C$67,MATCH("H-3",Calculations!$O$4:$O$67,0)),""))</f>
        <v/>
      </c>
      <c r="O28" s="33" t="str">
        <f>IF(M28="","",IFERROR(INDEX(Calculations!$L$4:$L$67,MATCH("H-3",Calculations!$O$4:$O$67,0)),""))</f>
        <v/>
      </c>
      <c r="P28" s="33"/>
    </row>
    <row r="29" spans="1:16">
      <c r="A29" s="33" t="str">
        <f>IF(OR(Setup!$B$6&lt;5,4&gt;Setup!$B$7),"",4)</f>
        <v/>
      </c>
      <c r="B29" s="33" t="str">
        <f>IF(A29="","",IFERROR(INDEX(Calculations!$C$4:$C$67,MATCH("E-4",Calculations!$O$4:$O$67,0)),""))</f>
        <v/>
      </c>
      <c r="C29" s="33" t="str">
        <f>IF(A29="","",IFERROR(INDEX(Calculations!$L$4:$L$67,MATCH("E-4",Calculations!$O$4:$O$67,0)),""))</f>
        <v/>
      </c>
      <c r="D29" s="33"/>
      <c r="E29" s="33" t="str">
        <f>IF(OR(Setup!$B$6&lt;6,4&gt;Setup!$B$7),"",4)</f>
        <v/>
      </c>
      <c r="F29" s="33" t="str">
        <f>IF(E29="","",IFERROR(INDEX(Calculations!$C$4:$C$67,MATCH("F-4",Calculations!$O$4:$O$67,0)),""))</f>
        <v/>
      </c>
      <c r="G29" s="33" t="str">
        <f>IF(E29="","",IFERROR(INDEX(Calculations!$L$4:$L$67,MATCH("F-4",Calculations!$O$4:$O$67,0)),""))</f>
        <v/>
      </c>
      <c r="H29" s="33"/>
      <c r="I29" s="33" t="str">
        <f>IF(OR(Setup!$B$6&lt;7,4&gt;Setup!$B$7),"",4)</f>
        <v/>
      </c>
      <c r="J29" s="33" t="str">
        <f>IF(I29="","",IFERROR(INDEX(Calculations!$C$4:$C$67,MATCH("G-4",Calculations!$O$4:$O$67,0)),""))</f>
        <v/>
      </c>
      <c r="K29" s="33" t="str">
        <f>IF(I29="","",IFERROR(INDEX(Calculations!$L$4:$L$67,MATCH("G-4",Calculations!$O$4:$O$67,0)),""))</f>
        <v/>
      </c>
      <c r="L29" s="33"/>
      <c r="M29" s="33" t="str">
        <f>IF(OR(Setup!$B$6&lt;8,4&gt;Setup!$B$7),"",4)</f>
        <v/>
      </c>
      <c r="N29" s="33" t="str">
        <f>IF(M29="","",IFERROR(INDEX(Calculations!$C$4:$C$67,MATCH("H-4",Calculations!$O$4:$O$67,0)),""))</f>
        <v/>
      </c>
      <c r="O29" s="33" t="str">
        <f>IF(M29="","",IFERROR(INDEX(Calculations!$L$4:$L$67,MATCH("H-4",Calculations!$O$4:$O$67,0)),""))</f>
        <v/>
      </c>
      <c r="P29" s="33"/>
    </row>
    <row r="30" spans="1:16">
      <c r="A30" s="33" t="str">
        <f>IF(OR(Setup!$B$6&lt;5,5&gt;Setup!$B$7),"",5)</f>
        <v/>
      </c>
      <c r="B30" s="33" t="str">
        <f>IF(A30="","",IFERROR(INDEX(Calculations!$C$4:$C$67,MATCH("E-5",Calculations!$O$4:$O$67,0)),""))</f>
        <v/>
      </c>
      <c r="C30" s="33" t="str">
        <f>IF(A30="","",IFERROR(INDEX(Calculations!$L$4:$L$67,MATCH("E-5",Calculations!$O$4:$O$67,0)),""))</f>
        <v/>
      </c>
      <c r="D30" s="33"/>
      <c r="E30" s="33" t="str">
        <f>IF(OR(Setup!$B$6&lt;6,5&gt;Setup!$B$7),"",5)</f>
        <v/>
      </c>
      <c r="F30" s="33" t="str">
        <f>IF(E30="","",IFERROR(INDEX(Calculations!$C$4:$C$67,MATCH("F-5",Calculations!$O$4:$O$67,0)),""))</f>
        <v/>
      </c>
      <c r="G30" s="33" t="str">
        <f>IF(E30="","",IFERROR(INDEX(Calculations!$L$4:$L$67,MATCH("F-5",Calculations!$O$4:$O$67,0)),""))</f>
        <v/>
      </c>
      <c r="H30" s="33"/>
      <c r="I30" s="33" t="str">
        <f>IF(OR(Setup!$B$6&lt;7,5&gt;Setup!$B$7),"",5)</f>
        <v/>
      </c>
      <c r="J30" s="33" t="str">
        <f>IF(I30="","",IFERROR(INDEX(Calculations!$C$4:$C$67,MATCH("G-5",Calculations!$O$4:$O$67,0)),""))</f>
        <v/>
      </c>
      <c r="K30" s="33" t="str">
        <f>IF(I30="","",IFERROR(INDEX(Calculations!$L$4:$L$67,MATCH("G-5",Calculations!$O$4:$O$67,0)),""))</f>
        <v/>
      </c>
      <c r="L30" s="33"/>
      <c r="M30" s="33" t="str">
        <f>IF(OR(Setup!$B$6&lt;8,5&gt;Setup!$B$7),"",5)</f>
        <v/>
      </c>
      <c r="N30" s="33" t="str">
        <f>IF(M30="","",IFERROR(INDEX(Calculations!$C$4:$C$67,MATCH("H-5",Calculations!$O$4:$O$67,0)),""))</f>
        <v/>
      </c>
      <c r="O30" s="33" t="str">
        <f>IF(M30="","",IFERROR(INDEX(Calculations!$L$4:$L$67,MATCH("H-5",Calculations!$O$4:$O$67,0)),""))</f>
        <v/>
      </c>
      <c r="P30" s="33"/>
    </row>
    <row r="31" spans="1:16">
      <c r="A31" s="33" t="str">
        <f>IF(OR(Setup!$B$6&lt;5,6&gt;Setup!$B$7),"",6)</f>
        <v/>
      </c>
      <c r="B31" s="33" t="str">
        <f>IF(A31="","",IFERROR(INDEX(Calculations!$C$4:$C$67,MATCH("E-6",Calculations!$O$4:$O$67,0)),""))</f>
        <v/>
      </c>
      <c r="C31" s="33" t="str">
        <f>IF(A31="","",IFERROR(INDEX(Calculations!$L$4:$L$67,MATCH("E-6",Calculations!$O$4:$O$67,0)),""))</f>
        <v/>
      </c>
      <c r="D31" s="33"/>
      <c r="E31" s="33" t="str">
        <f>IF(OR(Setup!$B$6&lt;6,6&gt;Setup!$B$7),"",6)</f>
        <v/>
      </c>
      <c r="F31" s="33" t="str">
        <f>IF(E31="","",IFERROR(INDEX(Calculations!$C$4:$C$67,MATCH("F-6",Calculations!$O$4:$O$67,0)),""))</f>
        <v/>
      </c>
      <c r="G31" s="33" t="str">
        <f>IF(E31="","",IFERROR(INDEX(Calculations!$L$4:$L$67,MATCH("F-6",Calculations!$O$4:$O$67,0)),""))</f>
        <v/>
      </c>
      <c r="H31" s="33"/>
      <c r="I31" s="33" t="str">
        <f>IF(OR(Setup!$B$6&lt;7,6&gt;Setup!$B$7),"",6)</f>
        <v/>
      </c>
      <c r="J31" s="33" t="str">
        <f>IF(I31="","",IFERROR(INDEX(Calculations!$C$4:$C$67,MATCH("G-6",Calculations!$O$4:$O$67,0)),""))</f>
        <v/>
      </c>
      <c r="K31" s="33" t="str">
        <f>IF(I31="","",IFERROR(INDEX(Calculations!$L$4:$L$67,MATCH("G-6",Calculations!$O$4:$O$67,0)),""))</f>
        <v/>
      </c>
      <c r="L31" s="33"/>
      <c r="M31" s="33" t="str">
        <f>IF(OR(Setup!$B$6&lt;8,6&gt;Setup!$B$7),"",6)</f>
        <v/>
      </c>
      <c r="N31" s="33" t="str">
        <f>IF(M31="","",IFERROR(INDEX(Calculations!$C$4:$C$67,MATCH("H-6",Calculations!$O$4:$O$67,0)),""))</f>
        <v/>
      </c>
      <c r="O31" s="33" t="str">
        <f>IF(M31="","",IFERROR(INDEX(Calculations!$L$4:$L$67,MATCH("H-6",Calculations!$O$4:$O$67,0)),""))</f>
        <v/>
      </c>
      <c r="P31" s="33"/>
    </row>
    <row r="32" spans="1:16">
      <c r="A32" s="33" t="str">
        <f>IF(OR(Setup!$B$6&lt;5,7&gt;Setup!$B$7),"",7)</f>
        <v/>
      </c>
      <c r="B32" s="33" t="str">
        <f>IF(A32="","",IFERROR(INDEX(Calculations!$C$4:$C$67,MATCH("E-7",Calculations!$O$4:$O$67,0)),""))</f>
        <v/>
      </c>
      <c r="C32" s="33" t="str">
        <f>IF(A32="","",IFERROR(INDEX(Calculations!$L$4:$L$67,MATCH("E-7",Calculations!$O$4:$O$67,0)),""))</f>
        <v/>
      </c>
      <c r="D32" s="33"/>
      <c r="E32" s="33" t="str">
        <f>IF(OR(Setup!$B$6&lt;6,7&gt;Setup!$B$7),"",7)</f>
        <v/>
      </c>
      <c r="F32" s="33" t="str">
        <f>IF(E32="","",IFERROR(INDEX(Calculations!$C$4:$C$67,MATCH("F-7",Calculations!$O$4:$O$67,0)),""))</f>
        <v/>
      </c>
      <c r="G32" s="33" t="str">
        <f>IF(E32="","",IFERROR(INDEX(Calculations!$L$4:$L$67,MATCH("F-7",Calculations!$O$4:$O$67,0)),""))</f>
        <v/>
      </c>
      <c r="H32" s="33"/>
      <c r="I32" s="33" t="str">
        <f>IF(OR(Setup!$B$6&lt;7,7&gt;Setup!$B$7),"",7)</f>
        <v/>
      </c>
      <c r="J32" s="33" t="str">
        <f>IF(I32="","",IFERROR(INDEX(Calculations!$C$4:$C$67,MATCH("G-7",Calculations!$O$4:$O$67,0)),""))</f>
        <v/>
      </c>
      <c r="K32" s="33" t="str">
        <f>IF(I32="","",IFERROR(INDEX(Calculations!$L$4:$L$67,MATCH("G-7",Calculations!$O$4:$O$67,0)),""))</f>
        <v/>
      </c>
      <c r="L32" s="33"/>
      <c r="M32" s="33" t="str">
        <f>IF(OR(Setup!$B$6&lt;8,7&gt;Setup!$B$7),"",7)</f>
        <v/>
      </c>
      <c r="N32" s="33" t="str">
        <f>IF(M32="","",IFERROR(INDEX(Calculations!$C$4:$C$67,MATCH("H-7",Calculations!$O$4:$O$67,0)),""))</f>
        <v/>
      </c>
      <c r="O32" s="33" t="str">
        <f>IF(M32="","",IFERROR(INDEX(Calculations!$L$4:$L$67,MATCH("H-7",Calculations!$O$4:$O$67,0)),""))</f>
        <v/>
      </c>
      <c r="P32" s="33"/>
    </row>
    <row r="33" spans="1:16">
      <c r="A33" s="33" t="str">
        <f>IF(OR(Setup!$B$6&lt;5,8&gt;Setup!$B$7),"",8)</f>
        <v/>
      </c>
      <c r="B33" s="33" t="str">
        <f>IF(A33="","",IFERROR(INDEX(Calculations!$C$4:$C$67,MATCH("E-8",Calculations!$O$4:$O$67,0)),""))</f>
        <v/>
      </c>
      <c r="C33" s="33" t="str">
        <f>IF(A33="","",IFERROR(INDEX(Calculations!$L$4:$L$67,MATCH("E-8",Calculations!$O$4:$O$67,0)),""))</f>
        <v/>
      </c>
      <c r="D33" s="33"/>
      <c r="E33" s="33" t="str">
        <f>IF(OR(Setup!$B$6&lt;6,8&gt;Setup!$B$7),"",8)</f>
        <v/>
      </c>
      <c r="F33" s="33" t="str">
        <f>IF(E33="","",IFERROR(INDEX(Calculations!$C$4:$C$67,MATCH("F-8",Calculations!$O$4:$O$67,0)),""))</f>
        <v/>
      </c>
      <c r="G33" s="33" t="str">
        <f>IF(E33="","",IFERROR(INDEX(Calculations!$L$4:$L$67,MATCH("F-8",Calculations!$O$4:$O$67,0)),""))</f>
        <v/>
      </c>
      <c r="H33" s="33"/>
      <c r="I33" s="33" t="str">
        <f>IF(OR(Setup!$B$6&lt;7,8&gt;Setup!$B$7),"",8)</f>
        <v/>
      </c>
      <c r="J33" s="33" t="str">
        <f>IF(I33="","",IFERROR(INDEX(Calculations!$C$4:$C$67,MATCH("G-8",Calculations!$O$4:$O$67,0)),""))</f>
        <v/>
      </c>
      <c r="K33" s="33" t="str">
        <f>IF(I33="","",IFERROR(INDEX(Calculations!$L$4:$L$67,MATCH("G-8",Calculations!$O$4:$O$67,0)),""))</f>
        <v/>
      </c>
      <c r="L33" s="33"/>
      <c r="M33" s="33" t="str">
        <f>IF(OR(Setup!$B$6&lt;8,8&gt;Setup!$B$7),"",8)</f>
        <v/>
      </c>
      <c r="N33" s="33" t="str">
        <f>IF(M33="","",IFERROR(INDEX(Calculations!$C$4:$C$67,MATCH("H-8",Calculations!$O$4:$O$67,0)),""))</f>
        <v/>
      </c>
      <c r="O33" s="33" t="str">
        <f>IF(M33="","",IFERROR(INDEX(Calculations!$L$4:$L$67,MATCH("H-8",Calculations!$O$4:$O$67,0)),""))</f>
        <v/>
      </c>
      <c r="P33" s="33"/>
    </row>
    <row r="34" spans="1:16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</row>
    <row r="35" spans="1:16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</row>
    <row r="36" spans="1:16" ht="31.5">
      <c r="A36" s="21"/>
      <c r="B36" s="21" t="s">
        <v>359</v>
      </c>
      <c r="C36" s="21"/>
      <c r="D36" s="21"/>
      <c r="E36" s="21"/>
      <c r="F36" s="21"/>
      <c r="G36" s="21"/>
      <c r="H36" s="21"/>
      <c r="I36" s="33"/>
      <c r="J36" s="21"/>
      <c r="K36" s="21" t="s">
        <v>360</v>
      </c>
      <c r="L36" s="21"/>
      <c r="M36" s="21"/>
      <c r="N36" s="21"/>
      <c r="O36" s="21"/>
      <c r="P36" s="21"/>
    </row>
    <row r="37" spans="1:16">
      <c r="A37" s="75" t="s">
        <v>214</v>
      </c>
      <c r="B37" s="75" t="s">
        <v>78</v>
      </c>
      <c r="C37" s="75" t="s">
        <v>215</v>
      </c>
      <c r="D37" s="75" t="s">
        <v>216</v>
      </c>
      <c r="E37" s="75" t="s">
        <v>361</v>
      </c>
      <c r="F37" s="75" t="s">
        <v>219</v>
      </c>
      <c r="G37" s="75" t="s">
        <v>361</v>
      </c>
      <c r="H37" s="75" t="s">
        <v>221</v>
      </c>
      <c r="I37" s="33"/>
      <c r="J37" s="75" t="s">
        <v>215</v>
      </c>
      <c r="K37" s="75" t="s">
        <v>214</v>
      </c>
      <c r="L37" s="75" t="s">
        <v>216</v>
      </c>
      <c r="M37" s="75" t="s">
        <v>361</v>
      </c>
      <c r="N37" s="75" t="s">
        <v>219</v>
      </c>
      <c r="O37" s="75" t="s">
        <v>361</v>
      </c>
      <c r="P37" s="75" t="s">
        <v>221</v>
      </c>
    </row>
    <row r="38" spans="1:16">
      <c r="A38" s="33">
        <f>IF(Results!H5="Complete",Results!A5,"")</f>
        <v>1</v>
      </c>
      <c r="B38" s="33" t="str">
        <f>IF(Results!H5="Complete",Results!B5,"")</f>
        <v>A</v>
      </c>
      <c r="C38" s="33">
        <f>IF(Results!H5="Complete",Results!C5,"")</f>
        <v>1</v>
      </c>
      <c r="D38" s="33">
        <f>IF(Results!H5="Complete",Results!D5,"")</f>
        <v>0</v>
      </c>
      <c r="E38" s="33">
        <f>IF(Results!H5="Complete",Results!E5,"")</f>
        <v>0</v>
      </c>
      <c r="F38" s="33">
        <f>IF(Results!H5="Complete",Results!G5,"")</f>
        <v>0</v>
      </c>
      <c r="G38" s="33">
        <f>IF(Results!H5="Complete",Results!F5,"")</f>
        <v>0</v>
      </c>
      <c r="H38" s="33" t="str">
        <f>IF(Results!H5="Complete",Results!I5,"")</f>
        <v>Draw</v>
      </c>
      <c r="I38" s="33"/>
      <c r="J38" s="33" t="str">
        <f>IF(Finals!A6="","",Finals!A6)</f>
        <v/>
      </c>
      <c r="K38" s="33" t="str">
        <f>IF(Finals!A6="","",Finals!B6)</f>
        <v/>
      </c>
      <c r="L38" s="33" t="str">
        <f>IF(Finals!A6="","",Finals!C6)</f>
        <v/>
      </c>
      <c r="M38" s="33" t="str">
        <f>IF(Finals!A6="","",IF(Finals!H6="Complete",Finals!D6,""))</f>
        <v/>
      </c>
      <c r="N38" s="33" t="str">
        <f>IF(Finals!A6="","",Finals!E6)</f>
        <v/>
      </c>
      <c r="O38" s="33" t="str">
        <f>IF(Finals!A6="","",IF(Finals!H6="Complete",Finals!F6,""))</f>
        <v/>
      </c>
      <c r="P38" s="33" t="str">
        <f>IF(Finals!A6="","",Finals!G6)</f>
        <v/>
      </c>
    </row>
    <row r="39" spans="1:16">
      <c r="A39" s="33">
        <f>IF(Results!H6="Complete",Results!A6,"")</f>
        <v>2</v>
      </c>
      <c r="B39" s="33" t="str">
        <f>IF(Results!H6="Complete",Results!B6,"")</f>
        <v>A</v>
      </c>
      <c r="C39" s="33">
        <f>IF(Results!H6="Complete",Results!C6,"")</f>
        <v>1</v>
      </c>
      <c r="D39" s="33">
        <f>IF(Results!H6="Complete",Results!D6,"")</f>
        <v>0</v>
      </c>
      <c r="E39" s="33">
        <f>IF(Results!H6="Complete",Results!E6,"")</f>
        <v>0</v>
      </c>
      <c r="F39" s="33">
        <f>IF(Results!H6="Complete",Results!G6,"")</f>
        <v>0</v>
      </c>
      <c r="G39" s="33">
        <f>IF(Results!H6="Complete",Results!F6,"")</f>
        <v>0</v>
      </c>
      <c r="H39" s="33" t="str">
        <f>IF(Results!H6="Complete",Results!I6,"")</f>
        <v>Draw</v>
      </c>
      <c r="I39" s="33"/>
      <c r="J39" s="33" t="str">
        <f>IF(Finals!A7="","",Finals!A7)</f>
        <v/>
      </c>
      <c r="K39" s="33" t="str">
        <f>IF(Finals!A7="","",Finals!B7)</f>
        <v/>
      </c>
      <c r="L39" s="33" t="str">
        <f>IF(Finals!A7="","",Finals!C7)</f>
        <v/>
      </c>
      <c r="M39" s="33" t="str">
        <f>IF(Finals!A7="","",IF(Finals!H7="Complete",Finals!D7,""))</f>
        <v/>
      </c>
      <c r="N39" s="33" t="str">
        <f>IF(Finals!A7="","",Finals!E7)</f>
        <v/>
      </c>
      <c r="O39" s="33" t="str">
        <f>IF(Finals!A7="","",IF(Finals!H7="Complete",Finals!F7,""))</f>
        <v/>
      </c>
      <c r="P39" s="33" t="str">
        <f>IF(Finals!A7="","",Finals!G7)</f>
        <v/>
      </c>
    </row>
    <row r="40" spans="1:16">
      <c r="A40" s="33">
        <f>IF(Results!H7="Complete",Results!A7,"")</f>
        <v>3</v>
      </c>
      <c r="B40" s="33" t="str">
        <f>IF(Results!H7="Complete",Results!B7,"")</f>
        <v>A</v>
      </c>
      <c r="C40" s="33">
        <f>IF(Results!H7="Complete",Results!C7,"")</f>
        <v>1</v>
      </c>
      <c r="D40" s="33">
        <f>IF(Results!H7="Complete",Results!D7,"")</f>
        <v>0</v>
      </c>
      <c r="E40" s="33">
        <f>IF(Results!H7="Complete",Results!E7,"")</f>
        <v>0</v>
      </c>
      <c r="F40" s="33">
        <f>IF(Results!H7="Complete",Results!G7,"")</f>
        <v>0</v>
      </c>
      <c r="G40" s="33">
        <f>IF(Results!H7="Complete",Results!F7,"")</f>
        <v>0</v>
      </c>
      <c r="H40" s="33" t="str">
        <f>IF(Results!H7="Complete",Results!I7,"")</f>
        <v>Draw</v>
      </c>
      <c r="I40" s="33"/>
      <c r="J40" s="33" t="str">
        <f>IF(Finals!A8="","",Finals!A8)</f>
        <v/>
      </c>
      <c r="K40" s="33" t="str">
        <f>IF(Finals!A8="","",Finals!B8)</f>
        <v/>
      </c>
      <c r="L40" s="33" t="str">
        <f>IF(Finals!A8="","",Finals!C8)</f>
        <v/>
      </c>
      <c r="M40" s="33" t="str">
        <f>IF(Finals!A8="","",IF(Finals!H8="Complete",Finals!D8,""))</f>
        <v/>
      </c>
      <c r="N40" s="33" t="str">
        <f>IF(Finals!A8="","",Finals!E8)</f>
        <v/>
      </c>
      <c r="O40" s="33" t="str">
        <f>IF(Finals!A8="","",IF(Finals!H8="Complete",Finals!F8,""))</f>
        <v/>
      </c>
      <c r="P40" s="33" t="str">
        <f>IF(Finals!A8="","",Finals!G8)</f>
        <v/>
      </c>
    </row>
    <row r="41" spans="1:16">
      <c r="A41" s="33">
        <f>IF(Results!H8="Complete",Results!A8,"")</f>
        <v>4</v>
      </c>
      <c r="B41" s="33" t="str">
        <f>IF(Results!H8="Complete",Results!B8,"")</f>
        <v>A</v>
      </c>
      <c r="C41" s="33">
        <f>IF(Results!H8="Complete",Results!C8,"")</f>
        <v>1</v>
      </c>
      <c r="D41" s="33">
        <f>IF(Results!H8="Complete",Results!D8,"")</f>
        <v>0</v>
      </c>
      <c r="E41" s="33">
        <f>IF(Results!H8="Complete",Results!E8,"")</f>
        <v>0</v>
      </c>
      <c r="F41" s="33">
        <f>IF(Results!H8="Complete",Results!G8,"")</f>
        <v>0</v>
      </c>
      <c r="G41" s="33">
        <f>IF(Results!H8="Complete",Results!F8,"")</f>
        <v>0</v>
      </c>
      <c r="H41" s="33" t="str">
        <f>IF(Results!H8="Complete",Results!I8,"")</f>
        <v>Draw</v>
      </c>
      <c r="I41" s="33"/>
      <c r="J41" s="33" t="str">
        <f>IF(Finals!A9="","",Finals!A9)</f>
        <v/>
      </c>
      <c r="K41" s="33" t="str">
        <f>IF(Finals!A9="","",Finals!B9)</f>
        <v/>
      </c>
      <c r="L41" s="33" t="str">
        <f>IF(Finals!A9="","",Finals!C9)</f>
        <v/>
      </c>
      <c r="M41" s="33" t="str">
        <f>IF(Finals!A9="","",IF(Finals!H9="Complete",Finals!D9,""))</f>
        <v/>
      </c>
      <c r="N41" s="33" t="str">
        <f>IF(Finals!A9="","",Finals!E9)</f>
        <v/>
      </c>
      <c r="O41" s="33" t="str">
        <f>IF(Finals!A9="","",IF(Finals!H9="Complete",Finals!F9,""))</f>
        <v/>
      </c>
      <c r="P41" s="33" t="str">
        <f>IF(Finals!A9="","",Finals!G9)</f>
        <v/>
      </c>
    </row>
    <row r="42" spans="1:16">
      <c r="A42" s="33">
        <f>IF(Results!H9="Complete",Results!A9,"")</f>
        <v>5</v>
      </c>
      <c r="B42" s="33" t="str">
        <f>IF(Results!H9="Complete",Results!B9,"")</f>
        <v>A</v>
      </c>
      <c r="C42" s="33">
        <f>IF(Results!H9="Complete",Results!C9,"")</f>
        <v>2</v>
      </c>
      <c r="D42" s="33">
        <f>IF(Results!H9="Complete",Results!D9,"")</f>
        <v>0</v>
      </c>
      <c r="E42" s="33">
        <f>IF(Results!H9="Complete",Results!E9,"")</f>
        <v>0</v>
      </c>
      <c r="F42" s="33">
        <f>IF(Results!H9="Complete",Results!G9,"")</f>
        <v>0</v>
      </c>
      <c r="G42" s="33">
        <f>IF(Results!H9="Complete",Results!F9,"")</f>
        <v>0</v>
      </c>
      <c r="H42" s="33" t="str">
        <f>IF(Results!H9="Complete",Results!I9,"")</f>
        <v>Draw</v>
      </c>
      <c r="I42" s="33"/>
      <c r="J42" s="33" t="str">
        <f>IF(Finals!A10="","",Finals!A10)</f>
        <v/>
      </c>
      <c r="K42" s="33" t="str">
        <f>IF(Finals!A10="","",Finals!B10)</f>
        <v/>
      </c>
      <c r="L42" s="33" t="str">
        <f>IF(Finals!A10="","",Finals!C10)</f>
        <v/>
      </c>
      <c r="M42" s="33" t="str">
        <f>IF(Finals!A10="","",IF(Finals!H10="Complete",Finals!D10,""))</f>
        <v/>
      </c>
      <c r="N42" s="33" t="str">
        <f>IF(Finals!A10="","",Finals!E10)</f>
        <v/>
      </c>
      <c r="O42" s="33" t="str">
        <f>IF(Finals!A10="","",IF(Finals!H10="Complete",Finals!F10,""))</f>
        <v/>
      </c>
      <c r="P42" s="33" t="str">
        <f>IF(Finals!A10="","",Finals!G10)</f>
        <v/>
      </c>
    </row>
    <row r="43" spans="1:16">
      <c r="A43" s="33">
        <f>IF(Results!H10="Complete",Results!A10,"")</f>
        <v>6</v>
      </c>
      <c r="B43" s="33" t="str">
        <f>IF(Results!H10="Complete",Results!B10,"")</f>
        <v>A</v>
      </c>
      <c r="C43" s="33">
        <f>IF(Results!H10="Complete",Results!C10,"")</f>
        <v>2</v>
      </c>
      <c r="D43" s="33">
        <f>IF(Results!H10="Complete",Results!D10,"")</f>
        <v>0</v>
      </c>
      <c r="E43" s="33">
        <f>IF(Results!H10="Complete",Results!E10,"")</f>
        <v>0</v>
      </c>
      <c r="F43" s="33">
        <f>IF(Results!H10="Complete",Results!G10,"")</f>
        <v>0</v>
      </c>
      <c r="G43" s="33">
        <f>IF(Results!H10="Complete",Results!F10,"")</f>
        <v>0</v>
      </c>
      <c r="H43" s="33" t="str">
        <f>IF(Results!H10="Complete",Results!I10,"")</f>
        <v>Draw</v>
      </c>
      <c r="I43" s="33"/>
      <c r="J43" s="33" t="str">
        <f>IF(Finals!A11="","",Finals!A11)</f>
        <v/>
      </c>
      <c r="K43" s="33" t="str">
        <f>IF(Finals!A11="","",Finals!B11)</f>
        <v/>
      </c>
      <c r="L43" s="33" t="str">
        <f>IF(Finals!A11="","",Finals!C11)</f>
        <v/>
      </c>
      <c r="M43" s="33" t="str">
        <f>IF(Finals!A11="","",IF(Finals!H11="Complete",Finals!D11,""))</f>
        <v/>
      </c>
      <c r="N43" s="33" t="str">
        <f>IF(Finals!A11="","",Finals!E11)</f>
        <v/>
      </c>
      <c r="O43" s="33" t="str">
        <f>IF(Finals!A11="","",IF(Finals!H11="Complete",Finals!F11,""))</f>
        <v/>
      </c>
      <c r="P43" s="33" t="str">
        <f>IF(Finals!A11="","",Finals!G11)</f>
        <v/>
      </c>
    </row>
    <row r="44" spans="1:16">
      <c r="A44" s="33">
        <f>IF(Results!H11="Complete",Results!A11,"")</f>
        <v>7</v>
      </c>
      <c r="B44" s="33" t="str">
        <f>IF(Results!H11="Complete",Results!B11,"")</f>
        <v>A</v>
      </c>
      <c r="C44" s="33">
        <f>IF(Results!H11="Complete",Results!C11,"")</f>
        <v>2</v>
      </c>
      <c r="D44" s="33">
        <f>IF(Results!H11="Complete",Results!D11,"")</f>
        <v>0</v>
      </c>
      <c r="E44" s="33">
        <f>IF(Results!H11="Complete",Results!E11,"")</f>
        <v>0</v>
      </c>
      <c r="F44" s="33">
        <f>IF(Results!H11="Complete",Results!G11,"")</f>
        <v>0</v>
      </c>
      <c r="G44" s="33">
        <f>IF(Results!H11="Complete",Results!F11,"")</f>
        <v>0</v>
      </c>
      <c r="H44" s="33" t="str">
        <f>IF(Results!H11="Complete",Results!I11,"")</f>
        <v>Draw</v>
      </c>
      <c r="I44" s="33"/>
      <c r="J44" s="33" t="str">
        <f>IF(Finals!A12="","",Finals!A12)</f>
        <v/>
      </c>
      <c r="K44" s="33" t="str">
        <f>IF(Finals!A12="","",Finals!B12)</f>
        <v/>
      </c>
      <c r="L44" s="33" t="str">
        <f>IF(Finals!A12="","",Finals!C12)</f>
        <v/>
      </c>
      <c r="M44" s="33" t="str">
        <f>IF(Finals!A12="","",IF(Finals!H12="Complete",Finals!D12,""))</f>
        <v/>
      </c>
      <c r="N44" s="33" t="str">
        <f>IF(Finals!A12="","",Finals!E12)</f>
        <v/>
      </c>
      <c r="O44" s="33" t="str">
        <f>IF(Finals!A12="","",IF(Finals!H12="Complete",Finals!F12,""))</f>
        <v/>
      </c>
      <c r="P44" s="33" t="str">
        <f>IF(Finals!A12="","",Finals!G12)</f>
        <v/>
      </c>
    </row>
    <row r="45" spans="1:16">
      <c r="A45" s="33">
        <f>IF(Results!H12="Complete",Results!A12,"")</f>
        <v>8</v>
      </c>
      <c r="B45" s="33" t="str">
        <f>IF(Results!H12="Complete",Results!B12,"")</f>
        <v>A</v>
      </c>
      <c r="C45" s="33">
        <f>IF(Results!H12="Complete",Results!C12,"")</f>
        <v>2</v>
      </c>
      <c r="D45" s="33">
        <f>IF(Results!H12="Complete",Results!D12,"")</f>
        <v>0</v>
      </c>
      <c r="E45" s="33">
        <f>IF(Results!H12="Complete",Results!E12,"")</f>
        <v>0</v>
      </c>
      <c r="F45" s="33">
        <f>IF(Results!H12="Complete",Results!G12,"")</f>
        <v>0</v>
      </c>
      <c r="G45" s="33">
        <f>IF(Results!H12="Complete",Results!F12,"")</f>
        <v>0</v>
      </c>
      <c r="H45" s="33" t="str">
        <f>IF(Results!H12="Complete",Results!I12,"")</f>
        <v>Draw</v>
      </c>
      <c r="I45" s="33"/>
      <c r="J45" s="33" t="str">
        <f>IF(Finals!A13="","",Finals!A13)</f>
        <v/>
      </c>
      <c r="K45" s="33" t="str">
        <f>IF(Finals!A13="","",Finals!B13)</f>
        <v/>
      </c>
      <c r="L45" s="33" t="str">
        <f>IF(Finals!A13="","",Finals!C13)</f>
        <v/>
      </c>
      <c r="M45" s="33" t="str">
        <f>IF(Finals!A13="","",IF(Finals!H13="Complete",Finals!D13,""))</f>
        <v/>
      </c>
      <c r="N45" s="33" t="str">
        <f>IF(Finals!A13="","",Finals!E13)</f>
        <v/>
      </c>
      <c r="O45" s="33" t="str">
        <f>IF(Finals!A13="","",IF(Finals!H13="Complete",Finals!F13,""))</f>
        <v/>
      </c>
      <c r="P45" s="33" t="str">
        <f>IF(Finals!A13="","",Finals!G13)</f>
        <v/>
      </c>
    </row>
    <row r="46" spans="1:16">
      <c r="A46" s="33">
        <f>IF(Results!H13="Complete",Results!A13,"")</f>
        <v>9</v>
      </c>
      <c r="B46" s="33" t="str">
        <f>IF(Results!H13="Complete",Results!B13,"")</f>
        <v>A</v>
      </c>
      <c r="C46" s="33">
        <f>IF(Results!H13="Complete",Results!C13,"")</f>
        <v>3</v>
      </c>
      <c r="D46" s="33">
        <f>IF(Results!H13="Complete",Results!D13,"")</f>
        <v>0</v>
      </c>
      <c r="E46" s="33">
        <f>IF(Results!H13="Complete",Results!E13,"")</f>
        <v>0</v>
      </c>
      <c r="F46" s="33">
        <f>IF(Results!H13="Complete",Results!G13,"")</f>
        <v>0</v>
      </c>
      <c r="G46" s="33">
        <f>IF(Results!H13="Complete",Results!F13,"")</f>
        <v>0</v>
      </c>
      <c r="H46" s="33" t="str">
        <f>IF(Results!H13="Complete",Results!I13,"")</f>
        <v>Draw</v>
      </c>
      <c r="I46" s="33"/>
      <c r="J46" s="33" t="str">
        <f>IF(Finals!A16="","",Finals!A16)</f>
        <v/>
      </c>
      <c r="K46" s="33" t="str">
        <f>IF(Finals!A16="","",Finals!B16)</f>
        <v/>
      </c>
      <c r="L46" s="33" t="str">
        <f>IF(Finals!A16="","",Finals!C16)</f>
        <v/>
      </c>
      <c r="M46" s="33" t="str">
        <f>IF(Finals!A16="","",IF(Finals!H16="Complete",Finals!D16,""))</f>
        <v/>
      </c>
      <c r="N46" s="33" t="str">
        <f>IF(Finals!A16="","",Finals!E16)</f>
        <v/>
      </c>
      <c r="O46" s="33" t="str">
        <f>IF(Finals!A16="","",IF(Finals!H16="Complete",Finals!F16,""))</f>
        <v/>
      </c>
      <c r="P46" s="33" t="str">
        <f>IF(Finals!A16="","",Finals!G16)</f>
        <v/>
      </c>
    </row>
    <row r="47" spans="1:16">
      <c r="A47" s="33">
        <f>IF(Results!H14="Complete",Results!A14,"")</f>
        <v>10</v>
      </c>
      <c r="B47" s="33" t="str">
        <f>IF(Results!H14="Complete",Results!B14,"")</f>
        <v>A</v>
      </c>
      <c r="C47" s="33">
        <f>IF(Results!H14="Complete",Results!C14,"")</f>
        <v>3</v>
      </c>
      <c r="D47" s="33">
        <f>IF(Results!H14="Complete",Results!D14,"")</f>
        <v>0</v>
      </c>
      <c r="E47" s="33">
        <f>IF(Results!H14="Complete",Results!E14,"")</f>
        <v>0</v>
      </c>
      <c r="F47" s="33">
        <f>IF(Results!H14="Complete",Results!G14,"")</f>
        <v>0</v>
      </c>
      <c r="G47" s="33">
        <f>IF(Results!H14="Complete",Results!F14,"")</f>
        <v>0</v>
      </c>
      <c r="H47" s="33" t="str">
        <f>IF(Results!H14="Complete",Results!I14,"")</f>
        <v>Draw</v>
      </c>
      <c r="I47" s="33"/>
      <c r="J47" s="33" t="str">
        <f>IF(Finals!A17="","",Finals!A17)</f>
        <v/>
      </c>
      <c r="K47" s="33" t="str">
        <f>IF(Finals!A17="","",Finals!B17)</f>
        <v/>
      </c>
      <c r="L47" s="33" t="str">
        <f>IF(Finals!A17="","",Finals!C17)</f>
        <v/>
      </c>
      <c r="M47" s="33" t="str">
        <f>IF(Finals!A17="","",IF(Finals!H17="Complete",Finals!D17,""))</f>
        <v/>
      </c>
      <c r="N47" s="33" t="str">
        <f>IF(Finals!A17="","",Finals!E17)</f>
        <v/>
      </c>
      <c r="O47" s="33" t="str">
        <f>IF(Finals!A17="","",IF(Finals!H17="Complete",Finals!F17,""))</f>
        <v/>
      </c>
      <c r="P47" s="33" t="str">
        <f>IF(Finals!A17="","",Finals!G17)</f>
        <v/>
      </c>
    </row>
    <row r="48" spans="1:16">
      <c r="A48" s="33">
        <f>IF(Results!H15="Complete",Results!A15,"")</f>
        <v>11</v>
      </c>
      <c r="B48" s="33" t="str">
        <f>IF(Results!H15="Complete",Results!B15,"")</f>
        <v>A</v>
      </c>
      <c r="C48" s="33">
        <f>IF(Results!H15="Complete",Results!C15,"")</f>
        <v>3</v>
      </c>
      <c r="D48" s="33">
        <f>IF(Results!H15="Complete",Results!D15,"")</f>
        <v>0</v>
      </c>
      <c r="E48" s="33">
        <f>IF(Results!H15="Complete",Results!E15,"")</f>
        <v>0</v>
      </c>
      <c r="F48" s="33">
        <f>IF(Results!H15="Complete",Results!G15,"")</f>
        <v>0</v>
      </c>
      <c r="G48" s="33">
        <f>IF(Results!H15="Complete",Results!F15,"")</f>
        <v>0</v>
      </c>
      <c r="H48" s="33" t="str">
        <f>IF(Results!H15="Complete",Results!I15,"")</f>
        <v>Draw</v>
      </c>
      <c r="I48" s="33"/>
      <c r="J48" s="33" t="str">
        <f>IF(Finals!A18="","",Finals!A18)</f>
        <v/>
      </c>
      <c r="K48" s="33" t="str">
        <f>IF(Finals!A18="","",Finals!B18)</f>
        <v/>
      </c>
      <c r="L48" s="33" t="str">
        <f>IF(Finals!A18="","",Finals!C18)</f>
        <v/>
      </c>
      <c r="M48" s="33" t="str">
        <f>IF(Finals!A18="","",IF(Finals!H18="Complete",Finals!D18,""))</f>
        <v/>
      </c>
      <c r="N48" s="33" t="str">
        <f>IF(Finals!A18="","",Finals!E18)</f>
        <v/>
      </c>
      <c r="O48" s="33" t="str">
        <f>IF(Finals!A18="","",IF(Finals!H18="Complete",Finals!F18,""))</f>
        <v/>
      </c>
      <c r="P48" s="33" t="str">
        <f>IF(Finals!A18="","",Finals!G18)</f>
        <v/>
      </c>
    </row>
    <row r="49" spans="1:16">
      <c r="A49" s="33">
        <f>IF(Results!H16="Complete",Results!A16,"")</f>
        <v>12</v>
      </c>
      <c r="B49" s="33" t="str">
        <f>IF(Results!H16="Complete",Results!B16,"")</f>
        <v>A</v>
      </c>
      <c r="C49" s="33">
        <f>IF(Results!H16="Complete",Results!C16,"")</f>
        <v>3</v>
      </c>
      <c r="D49" s="33">
        <f>IF(Results!H16="Complete",Results!D16,"")</f>
        <v>0</v>
      </c>
      <c r="E49" s="33">
        <f>IF(Results!H16="Complete",Results!E16,"")</f>
        <v>0</v>
      </c>
      <c r="F49" s="33">
        <f>IF(Results!H16="Complete",Results!G16,"")</f>
        <v>0</v>
      </c>
      <c r="G49" s="33">
        <f>IF(Results!H16="Complete",Results!F16,"")</f>
        <v>0</v>
      </c>
      <c r="H49" s="33" t="str">
        <f>IF(Results!H16="Complete",Results!I16,"")</f>
        <v>Draw</v>
      </c>
      <c r="I49" s="33"/>
      <c r="J49" s="33" t="str">
        <f>IF(Finals!A19="","",Finals!A19)</f>
        <v/>
      </c>
      <c r="K49" s="33" t="str">
        <f>IF(Finals!A19="","",Finals!B19)</f>
        <v/>
      </c>
      <c r="L49" s="33" t="str">
        <f>IF(Finals!A19="","",Finals!C19)</f>
        <v/>
      </c>
      <c r="M49" s="33" t="str">
        <f>IF(Finals!A19="","",IF(Finals!H19="Complete",Finals!D19,""))</f>
        <v/>
      </c>
      <c r="N49" s="33" t="str">
        <f>IF(Finals!A19="","",Finals!E19)</f>
        <v/>
      </c>
      <c r="O49" s="33" t="str">
        <f>IF(Finals!A19="","",IF(Finals!H19="Complete",Finals!F19,""))</f>
        <v/>
      </c>
      <c r="P49" s="33" t="str">
        <f>IF(Finals!A19="","",Finals!G19)</f>
        <v/>
      </c>
    </row>
    <row r="50" spans="1:16">
      <c r="A50" s="33">
        <f>IF(Results!H17="Complete",Results!A17,"")</f>
        <v>13</v>
      </c>
      <c r="B50" s="33" t="str">
        <f>IF(Results!H17="Complete",Results!B17,"")</f>
        <v>A</v>
      </c>
      <c r="C50" s="33">
        <f>IF(Results!H17="Complete",Results!C17,"")</f>
        <v>4</v>
      </c>
      <c r="D50" s="33">
        <f>IF(Results!H17="Complete",Results!D17,"")</f>
        <v>0</v>
      </c>
      <c r="E50" s="33">
        <f>IF(Results!H17="Complete",Results!E17,"")</f>
        <v>0</v>
      </c>
      <c r="F50" s="33">
        <f>IF(Results!H17="Complete",Results!G17,"")</f>
        <v>0</v>
      </c>
      <c r="G50" s="33">
        <f>IF(Results!H17="Complete",Results!F17,"")</f>
        <v>0</v>
      </c>
      <c r="H50" s="33" t="str">
        <f>IF(Results!H17="Complete",Results!I17,"")</f>
        <v>Draw</v>
      </c>
      <c r="I50" s="33"/>
      <c r="J50" s="33" t="str">
        <f>IF(Finals!A22="","",Finals!A22)</f>
        <v>Semi-final</v>
      </c>
      <c r="K50" s="33" t="str">
        <f>IF(Finals!A22="","",Finals!B22)</f>
        <v>SF 1</v>
      </c>
      <c r="L50" s="33" t="str">
        <f>IF(Finals!A22="","",Finals!C22)</f>
        <v/>
      </c>
      <c r="M50" s="33" t="str">
        <f>IF(Finals!A22="","",IF(Finals!H22="Complete",Finals!D22,""))</f>
        <v/>
      </c>
      <c r="N50" s="33" t="str">
        <f>IF(Finals!A22="","",Finals!E22)</f>
        <v/>
      </c>
      <c r="O50" s="33" t="str">
        <f>IF(Finals!A22="","",IF(Finals!H22="Complete",Finals!F22,""))</f>
        <v/>
      </c>
      <c r="P50" s="33" t="str">
        <f>IF(Finals!A22="","",Finals!G22)</f>
        <v/>
      </c>
    </row>
    <row r="51" spans="1:16">
      <c r="A51" s="33">
        <f>IF(Results!H18="Complete",Results!A18,"")</f>
        <v>14</v>
      </c>
      <c r="B51" s="33" t="str">
        <f>IF(Results!H18="Complete",Results!B18,"")</f>
        <v>A</v>
      </c>
      <c r="C51" s="33">
        <f>IF(Results!H18="Complete",Results!C18,"")</f>
        <v>4</v>
      </c>
      <c r="D51" s="33">
        <f>IF(Results!H18="Complete",Results!D18,"")</f>
        <v>0</v>
      </c>
      <c r="E51" s="33">
        <f>IF(Results!H18="Complete",Results!E18,"")</f>
        <v>0</v>
      </c>
      <c r="F51" s="33">
        <f>IF(Results!H18="Complete",Results!G18,"")</f>
        <v>0</v>
      </c>
      <c r="G51" s="33">
        <f>IF(Results!H18="Complete",Results!F18,"")</f>
        <v>0</v>
      </c>
      <c r="H51" s="33" t="str">
        <f>IF(Results!H18="Complete",Results!I18,"")</f>
        <v>Draw</v>
      </c>
      <c r="I51" s="33"/>
      <c r="J51" s="33" t="str">
        <f>IF(Finals!A23="","",Finals!A23)</f>
        <v>Semi-final</v>
      </c>
      <c r="K51" s="33" t="str">
        <f>IF(Finals!A23="","",Finals!B23)</f>
        <v>SF 2</v>
      </c>
      <c r="L51" s="33" t="str">
        <f>IF(Finals!A23="","",Finals!C23)</f>
        <v/>
      </c>
      <c r="M51" s="33" t="str">
        <f>IF(Finals!A23="","",IF(Finals!H23="Complete",Finals!D23,""))</f>
        <v/>
      </c>
      <c r="N51" s="33" t="str">
        <f>IF(Finals!A23="","",Finals!E23)</f>
        <v/>
      </c>
      <c r="O51" s="33" t="str">
        <f>IF(Finals!A23="","",IF(Finals!H23="Complete",Finals!F23,""))</f>
        <v/>
      </c>
      <c r="P51" s="33" t="str">
        <f>IF(Finals!A23="","",Finals!G23)</f>
        <v/>
      </c>
    </row>
    <row r="52" spans="1:16">
      <c r="A52" s="33">
        <f>IF(Results!H19="Complete",Results!A19,"")</f>
        <v>15</v>
      </c>
      <c r="B52" s="33" t="str">
        <f>IF(Results!H19="Complete",Results!B19,"")</f>
        <v>A</v>
      </c>
      <c r="C52" s="33">
        <f>IF(Results!H19="Complete",Results!C19,"")</f>
        <v>4</v>
      </c>
      <c r="D52" s="33">
        <f>IF(Results!H19="Complete",Results!D19,"")</f>
        <v>0</v>
      </c>
      <c r="E52" s="33">
        <f>IF(Results!H19="Complete",Results!E19,"")</f>
        <v>0</v>
      </c>
      <c r="F52" s="33">
        <f>IF(Results!H19="Complete",Results!G19,"")</f>
        <v>0</v>
      </c>
      <c r="G52" s="33">
        <f>IF(Results!H19="Complete",Results!F19,"")</f>
        <v>0</v>
      </c>
      <c r="H52" s="33" t="str">
        <f>IF(Results!H19="Complete",Results!I19,"")</f>
        <v>Draw</v>
      </c>
      <c r="I52" s="33"/>
      <c r="J52" s="33" t="str">
        <f>IF(Finals!A26="","",Finals!A26)</f>
        <v>Final</v>
      </c>
      <c r="K52" s="33" t="str">
        <f>IF(Finals!A26="","",Finals!B26)</f>
        <v>Final</v>
      </c>
      <c r="L52" s="33" t="str">
        <f>IF(Finals!A26="","",Finals!C26)</f>
        <v>Winner SF 1</v>
      </c>
      <c r="M52" s="33" t="str">
        <f>IF(Finals!A26="","",IF(Finals!H26="Complete",Finals!D26,""))</f>
        <v/>
      </c>
      <c r="N52" s="33" t="str">
        <f>IF(Finals!A26="","",Finals!E26)</f>
        <v>Winner SF 2</v>
      </c>
      <c r="O52" s="33" t="str">
        <f>IF(Finals!A26="","",IF(Finals!H26="Complete",Finals!F26,""))</f>
        <v/>
      </c>
      <c r="P52" s="33" t="str">
        <f>IF(Finals!A26="","",Finals!G26)</f>
        <v/>
      </c>
    </row>
    <row r="53" spans="1:16">
      <c r="A53" s="33">
        <f>IF(Results!H20="Complete",Results!A20,"")</f>
        <v>16</v>
      </c>
      <c r="B53" s="33" t="str">
        <f>IF(Results!H20="Complete",Results!B20,"")</f>
        <v>A</v>
      </c>
      <c r="C53" s="33">
        <f>IF(Results!H20="Complete",Results!C20,"")</f>
        <v>4</v>
      </c>
      <c r="D53" s="33">
        <f>IF(Results!H20="Complete",Results!D20,"")</f>
        <v>0</v>
      </c>
      <c r="E53" s="33">
        <f>IF(Results!H20="Complete",Results!E20,"")</f>
        <v>0</v>
      </c>
      <c r="F53" s="33">
        <f>IF(Results!H20="Complete",Results!G20,"")</f>
        <v>0</v>
      </c>
      <c r="G53" s="33">
        <f>IF(Results!H20="Complete",Results!F20,"")</f>
        <v>0</v>
      </c>
      <c r="H53" s="33" t="str">
        <f>IF(Results!H20="Complete",Results!I20,"")</f>
        <v>Draw</v>
      </c>
      <c r="I53" s="33"/>
      <c r="J53" s="33" t="str">
        <f>IF(Finals!A29="","",Finals!A29)</f>
        <v/>
      </c>
      <c r="K53" s="33" t="str">
        <f>IF(Finals!A29="","",Finals!B29)</f>
        <v/>
      </c>
      <c r="L53" s="33" t="str">
        <f>IF(Finals!A29="","",Finals!C29)</f>
        <v/>
      </c>
      <c r="M53" s="33" t="str">
        <f>IF(Finals!A29="","",IF(Finals!H29="Complete",Finals!D29,""))</f>
        <v/>
      </c>
      <c r="N53" s="33" t="str">
        <f>IF(Finals!A29="","",Finals!E29)</f>
        <v/>
      </c>
      <c r="O53" s="33" t="str">
        <f>IF(Finals!A29="","",IF(Finals!H29="Complete",Finals!F29,""))</f>
        <v/>
      </c>
      <c r="P53" s="33" t="str">
        <f>IF(Finals!A29="","",Finals!G29)</f>
        <v/>
      </c>
    </row>
    <row r="54" spans="1:16">
      <c r="A54" s="33">
        <f>IF(Results!H21="Complete",Results!A21,"")</f>
        <v>17</v>
      </c>
      <c r="B54" s="33" t="str">
        <f>IF(Results!H21="Complete",Results!B21,"")</f>
        <v>A</v>
      </c>
      <c r="C54" s="33">
        <f>IF(Results!H21="Complete",Results!C21,"")</f>
        <v>5</v>
      </c>
      <c r="D54" s="33">
        <f>IF(Results!H21="Complete",Results!D21,"")</f>
        <v>0</v>
      </c>
      <c r="E54" s="33">
        <f>IF(Results!H21="Complete",Results!E21,"")</f>
        <v>0</v>
      </c>
      <c r="F54" s="33">
        <f>IF(Results!H21="Complete",Results!G21,"")</f>
        <v>0</v>
      </c>
      <c r="G54" s="33">
        <f>IF(Results!H21="Complete",Results!F21,"")</f>
        <v>0</v>
      </c>
      <c r="H54" s="33" t="str">
        <f>IF(Results!H21="Complete",Results!I21,"")</f>
        <v>Draw</v>
      </c>
      <c r="I54" s="33"/>
      <c r="J54" s="33"/>
      <c r="K54" s="33"/>
      <c r="L54" s="33"/>
      <c r="M54" s="33"/>
      <c r="N54" s="33"/>
      <c r="O54" s="33"/>
      <c r="P54" s="33"/>
    </row>
    <row r="55" spans="1:16">
      <c r="A55" s="33">
        <f>IF(Results!H22="Complete",Results!A22,"")</f>
        <v>18</v>
      </c>
      <c r="B55" s="33" t="str">
        <f>IF(Results!H22="Complete",Results!B22,"")</f>
        <v>A</v>
      </c>
      <c r="C55" s="33">
        <f>IF(Results!H22="Complete",Results!C22,"")</f>
        <v>5</v>
      </c>
      <c r="D55" s="33">
        <f>IF(Results!H22="Complete",Results!D22,"")</f>
        <v>0</v>
      </c>
      <c r="E55" s="33">
        <f>IF(Results!H22="Complete",Results!E22,"")</f>
        <v>0</v>
      </c>
      <c r="F55" s="33">
        <f>IF(Results!H22="Complete",Results!G22,"")</f>
        <v>0</v>
      </c>
      <c r="G55" s="33">
        <f>IF(Results!H22="Complete",Results!F22,"")</f>
        <v>0</v>
      </c>
      <c r="H55" s="33" t="str">
        <f>IF(Results!H22="Complete",Results!I22,"")</f>
        <v>Draw</v>
      </c>
      <c r="I55" s="33"/>
      <c r="J55" s="33"/>
      <c r="K55" s="33"/>
      <c r="L55" s="33"/>
      <c r="M55" s="33"/>
      <c r="N55" s="33"/>
      <c r="O55" s="33"/>
      <c r="P55" s="33"/>
    </row>
    <row r="56" spans="1:16">
      <c r="A56" s="33">
        <f>IF(Results!H23="Complete",Results!A23,"")</f>
        <v>19</v>
      </c>
      <c r="B56" s="33" t="str">
        <f>IF(Results!H23="Complete",Results!B23,"")</f>
        <v>A</v>
      </c>
      <c r="C56" s="33">
        <f>IF(Results!H23="Complete",Results!C23,"")</f>
        <v>5</v>
      </c>
      <c r="D56" s="33">
        <f>IF(Results!H23="Complete",Results!D23,"")</f>
        <v>0</v>
      </c>
      <c r="E56" s="33">
        <f>IF(Results!H23="Complete",Results!E23,"")</f>
        <v>0</v>
      </c>
      <c r="F56" s="33">
        <f>IF(Results!H23="Complete",Results!G23,"")</f>
        <v>0</v>
      </c>
      <c r="G56" s="33">
        <f>IF(Results!H23="Complete",Results!F23,"")</f>
        <v>0</v>
      </c>
      <c r="H56" s="33" t="str">
        <f>IF(Results!H23="Complete",Results!I23,"")</f>
        <v>Draw</v>
      </c>
      <c r="I56" s="33"/>
      <c r="J56" s="33"/>
      <c r="K56" s="33"/>
      <c r="L56" s="33"/>
      <c r="M56" s="33"/>
      <c r="N56" s="33"/>
      <c r="O56" s="33"/>
      <c r="P56" s="33"/>
    </row>
    <row r="57" spans="1:16">
      <c r="A57" s="33">
        <f>IF(Results!H24="Complete",Results!A24,"")</f>
        <v>20</v>
      </c>
      <c r="B57" s="33" t="str">
        <f>IF(Results!H24="Complete",Results!B24,"")</f>
        <v>A</v>
      </c>
      <c r="C57" s="33">
        <f>IF(Results!H24="Complete",Results!C24,"")</f>
        <v>5</v>
      </c>
      <c r="D57" s="33">
        <f>IF(Results!H24="Complete",Results!D24,"")</f>
        <v>0</v>
      </c>
      <c r="E57" s="33">
        <f>IF(Results!H24="Complete",Results!E24,"")</f>
        <v>0</v>
      </c>
      <c r="F57" s="33">
        <f>IF(Results!H24="Complete",Results!G24,"")</f>
        <v>0</v>
      </c>
      <c r="G57" s="33">
        <f>IF(Results!H24="Complete",Results!F24,"")</f>
        <v>0</v>
      </c>
      <c r="H57" s="33" t="str">
        <f>IF(Results!H24="Complete",Results!I24,"")</f>
        <v>Draw</v>
      </c>
      <c r="I57" s="33"/>
      <c r="J57" s="33"/>
      <c r="K57" s="33"/>
      <c r="L57" s="33"/>
      <c r="M57" s="33"/>
      <c r="N57" s="33"/>
      <c r="O57" s="33"/>
      <c r="P57" s="33"/>
    </row>
    <row r="58" spans="1:16">
      <c r="A58" s="33">
        <f>IF(Results!H25="Complete",Results!A25,"")</f>
        <v>21</v>
      </c>
      <c r="B58" s="33" t="str">
        <f>IF(Results!H25="Complete",Results!B25,"")</f>
        <v>A</v>
      </c>
      <c r="C58" s="33">
        <f>IF(Results!H25="Complete",Results!C25,"")</f>
        <v>6</v>
      </c>
      <c r="D58" s="33">
        <f>IF(Results!H25="Complete",Results!D25,"")</f>
        <v>0</v>
      </c>
      <c r="E58" s="33">
        <f>IF(Results!H25="Complete",Results!E25,"")</f>
        <v>0</v>
      </c>
      <c r="F58" s="33">
        <f>IF(Results!H25="Complete",Results!G25,"")</f>
        <v>0</v>
      </c>
      <c r="G58" s="33">
        <f>IF(Results!H25="Complete",Results!F25,"")</f>
        <v>0</v>
      </c>
      <c r="H58" s="33" t="str">
        <f>IF(Results!H25="Complete",Results!I25,"")</f>
        <v>Draw</v>
      </c>
      <c r="I58" s="33"/>
      <c r="J58" s="33"/>
      <c r="K58" s="33"/>
      <c r="L58" s="33"/>
      <c r="M58" s="33"/>
      <c r="N58" s="33"/>
      <c r="O58" s="33"/>
      <c r="P58" s="33"/>
    </row>
    <row r="59" spans="1:16">
      <c r="A59" s="33">
        <f>IF(Results!H26="Complete",Results!A26,"")</f>
        <v>22</v>
      </c>
      <c r="B59" s="33" t="str">
        <f>IF(Results!H26="Complete",Results!B26,"")</f>
        <v>A</v>
      </c>
      <c r="C59" s="33">
        <f>IF(Results!H26="Complete",Results!C26,"")</f>
        <v>6</v>
      </c>
      <c r="D59" s="33">
        <f>IF(Results!H26="Complete",Results!D26,"")</f>
        <v>0</v>
      </c>
      <c r="E59" s="33">
        <f>IF(Results!H26="Complete",Results!E26,"")</f>
        <v>0</v>
      </c>
      <c r="F59" s="33">
        <f>IF(Results!H26="Complete",Results!G26,"")</f>
        <v>0</v>
      </c>
      <c r="G59" s="33">
        <f>IF(Results!H26="Complete",Results!F26,"")</f>
        <v>0</v>
      </c>
      <c r="H59" s="33" t="str">
        <f>IF(Results!H26="Complete",Results!I26,"")</f>
        <v>Draw</v>
      </c>
      <c r="I59" s="33"/>
      <c r="J59" s="33"/>
      <c r="K59" s="33"/>
      <c r="L59" s="33"/>
      <c r="M59" s="33"/>
      <c r="N59" s="33"/>
      <c r="O59" s="33"/>
      <c r="P59" s="33"/>
    </row>
    <row r="60" spans="1:16">
      <c r="A60" s="33">
        <f>IF(Results!H27="Complete",Results!A27,"")</f>
        <v>23</v>
      </c>
      <c r="B60" s="33" t="str">
        <f>IF(Results!H27="Complete",Results!B27,"")</f>
        <v>A</v>
      </c>
      <c r="C60" s="33">
        <f>IF(Results!H27="Complete",Results!C27,"")</f>
        <v>6</v>
      </c>
      <c r="D60" s="33">
        <f>IF(Results!H27="Complete",Results!D27,"")</f>
        <v>0</v>
      </c>
      <c r="E60" s="33">
        <f>IF(Results!H27="Complete",Results!E27,"")</f>
        <v>0</v>
      </c>
      <c r="F60" s="33">
        <f>IF(Results!H27="Complete",Results!G27,"")</f>
        <v>0</v>
      </c>
      <c r="G60" s="33">
        <f>IF(Results!H27="Complete",Results!F27,"")</f>
        <v>0</v>
      </c>
      <c r="H60" s="33" t="str">
        <f>IF(Results!H27="Complete",Results!I27,"")</f>
        <v>Draw</v>
      </c>
      <c r="I60" s="33"/>
      <c r="J60" s="33"/>
      <c r="K60" s="33"/>
      <c r="L60" s="33"/>
      <c r="M60" s="33"/>
      <c r="N60" s="33"/>
      <c r="O60" s="33"/>
      <c r="P60" s="33"/>
    </row>
    <row r="61" spans="1:16">
      <c r="A61" s="33">
        <f>IF(Results!H28="Complete",Results!A28,"")</f>
        <v>24</v>
      </c>
      <c r="B61" s="33" t="str">
        <f>IF(Results!H28="Complete",Results!B28,"")</f>
        <v>A</v>
      </c>
      <c r="C61" s="33">
        <f>IF(Results!H28="Complete",Results!C28,"")</f>
        <v>6</v>
      </c>
      <c r="D61" s="33">
        <f>IF(Results!H28="Complete",Results!D28,"")</f>
        <v>0</v>
      </c>
      <c r="E61" s="33">
        <f>IF(Results!H28="Complete",Results!E28,"")</f>
        <v>0</v>
      </c>
      <c r="F61" s="33">
        <f>IF(Results!H28="Complete",Results!G28,"")</f>
        <v>0</v>
      </c>
      <c r="G61" s="33">
        <f>IF(Results!H28="Complete",Results!F28,"")</f>
        <v>0</v>
      </c>
      <c r="H61" s="33" t="str">
        <f>IF(Results!H28="Complete",Results!I28,"")</f>
        <v>Draw</v>
      </c>
      <c r="I61" s="33"/>
      <c r="J61" s="33"/>
      <c r="K61" s="33"/>
      <c r="L61" s="33"/>
      <c r="M61" s="33"/>
      <c r="N61" s="33"/>
      <c r="O61" s="33"/>
      <c r="P61" s="33"/>
    </row>
    <row r="62" spans="1:16">
      <c r="A62" s="33">
        <f>IF(Results!H29="Complete",Results!A29,"")</f>
        <v>25</v>
      </c>
      <c r="B62" s="33" t="str">
        <f>IF(Results!H29="Complete",Results!B29,"")</f>
        <v>A</v>
      </c>
      <c r="C62" s="33">
        <f>IF(Results!H29="Complete",Results!C29,"")</f>
        <v>7</v>
      </c>
      <c r="D62" s="33">
        <f>IF(Results!H29="Complete",Results!D29,"")</f>
        <v>0</v>
      </c>
      <c r="E62" s="33">
        <f>IF(Results!H29="Complete",Results!E29,"")</f>
        <v>0</v>
      </c>
      <c r="F62" s="33">
        <f>IF(Results!H29="Complete",Results!G29,"")</f>
        <v>0</v>
      </c>
      <c r="G62" s="33">
        <f>IF(Results!H29="Complete",Results!F29,"")</f>
        <v>0</v>
      </c>
      <c r="H62" s="33" t="str">
        <f>IF(Results!H29="Complete",Results!I29,"")</f>
        <v>Draw</v>
      </c>
      <c r="I62" s="33"/>
      <c r="J62" s="33"/>
      <c r="K62" s="33"/>
      <c r="L62" s="33"/>
      <c r="M62" s="33"/>
      <c r="N62" s="33"/>
      <c r="O62" s="33"/>
      <c r="P62" s="33"/>
    </row>
    <row r="63" spans="1:16">
      <c r="A63" s="33">
        <f>IF(Results!H30="Complete",Results!A30,"")</f>
        <v>26</v>
      </c>
      <c r="B63" s="33" t="str">
        <f>IF(Results!H30="Complete",Results!B30,"")</f>
        <v>A</v>
      </c>
      <c r="C63" s="33">
        <f>IF(Results!H30="Complete",Results!C30,"")</f>
        <v>7</v>
      </c>
      <c r="D63" s="33">
        <f>IF(Results!H30="Complete",Results!D30,"")</f>
        <v>0</v>
      </c>
      <c r="E63" s="33">
        <f>IF(Results!H30="Complete",Results!E30,"")</f>
        <v>0</v>
      </c>
      <c r="F63" s="33">
        <f>IF(Results!H30="Complete",Results!G30,"")</f>
        <v>0</v>
      </c>
      <c r="G63" s="33">
        <f>IF(Results!H30="Complete",Results!F30,"")</f>
        <v>0</v>
      </c>
      <c r="H63" s="33" t="str">
        <f>IF(Results!H30="Complete",Results!I30,"")</f>
        <v>Draw</v>
      </c>
      <c r="I63" s="33"/>
      <c r="J63" s="33"/>
      <c r="K63" s="33"/>
      <c r="L63" s="33"/>
      <c r="M63" s="33"/>
      <c r="N63" s="33"/>
      <c r="O63" s="33"/>
      <c r="P63" s="33"/>
    </row>
    <row r="64" spans="1:16">
      <c r="A64" s="33">
        <f>IF(Results!H31="Complete",Results!A31,"")</f>
        <v>27</v>
      </c>
      <c r="B64" s="33" t="str">
        <f>IF(Results!H31="Complete",Results!B31,"")</f>
        <v>A</v>
      </c>
      <c r="C64" s="33">
        <f>IF(Results!H31="Complete",Results!C31,"")</f>
        <v>7</v>
      </c>
      <c r="D64" s="33">
        <f>IF(Results!H31="Complete",Results!D31,"")</f>
        <v>0</v>
      </c>
      <c r="E64" s="33">
        <f>IF(Results!H31="Complete",Results!E31,"")</f>
        <v>0</v>
      </c>
      <c r="F64" s="33">
        <f>IF(Results!H31="Complete",Results!G31,"")</f>
        <v>0</v>
      </c>
      <c r="G64" s="33">
        <f>IF(Results!H31="Complete",Results!F31,"")</f>
        <v>0</v>
      </c>
      <c r="H64" s="33" t="str">
        <f>IF(Results!H31="Complete",Results!I31,"")</f>
        <v>Draw</v>
      </c>
      <c r="I64" s="33"/>
      <c r="J64" s="33"/>
      <c r="K64" s="33"/>
      <c r="L64" s="33"/>
      <c r="M64" s="33"/>
      <c r="N64" s="33"/>
      <c r="O64" s="33"/>
      <c r="P64" s="33"/>
    </row>
    <row r="65" spans="1:16">
      <c r="A65" s="33">
        <f>IF(Results!H32="Complete",Results!A32,"")</f>
        <v>28</v>
      </c>
      <c r="B65" s="33" t="str">
        <f>IF(Results!H32="Complete",Results!B32,"")</f>
        <v>A</v>
      </c>
      <c r="C65" s="33">
        <f>IF(Results!H32="Complete",Results!C32,"")</f>
        <v>7</v>
      </c>
      <c r="D65" s="33">
        <f>IF(Results!H32="Complete",Results!D32,"")</f>
        <v>0</v>
      </c>
      <c r="E65" s="33">
        <f>IF(Results!H32="Complete",Results!E32,"")</f>
        <v>0</v>
      </c>
      <c r="F65" s="33">
        <f>IF(Results!H32="Complete",Results!G32,"")</f>
        <v>0</v>
      </c>
      <c r="G65" s="33">
        <f>IF(Results!H32="Complete",Results!F32,"")</f>
        <v>0</v>
      </c>
      <c r="H65" s="33" t="str">
        <f>IF(Results!H32="Complete",Results!I32,"")</f>
        <v>Draw</v>
      </c>
      <c r="I65" s="33"/>
      <c r="J65" s="33"/>
      <c r="K65" s="33"/>
      <c r="L65" s="33"/>
      <c r="M65" s="33"/>
      <c r="N65" s="33"/>
      <c r="O65" s="33"/>
      <c r="P65" s="33"/>
    </row>
    <row r="66" spans="1:16">
      <c r="A66" s="33">
        <f>IF(Results!H33="Complete",Results!A33,"")</f>
        <v>29</v>
      </c>
      <c r="B66" s="33" t="str">
        <f>IF(Results!H33="Complete",Results!B33,"")</f>
        <v>B</v>
      </c>
      <c r="C66" s="33">
        <f>IF(Results!H33="Complete",Results!C33,"")</f>
        <v>1</v>
      </c>
      <c r="D66" s="33">
        <f>IF(Results!H33="Complete",Results!D33,"")</f>
        <v>0</v>
      </c>
      <c r="E66" s="33">
        <f>IF(Results!H33="Complete",Results!E33,"")</f>
        <v>0</v>
      </c>
      <c r="F66" s="33">
        <f>IF(Results!H33="Complete",Results!G33,"")</f>
        <v>0</v>
      </c>
      <c r="G66" s="33">
        <f>IF(Results!H33="Complete",Results!F33,"")</f>
        <v>0</v>
      </c>
      <c r="H66" s="33" t="str">
        <f>IF(Results!H33="Complete",Results!I33,"")</f>
        <v>Draw</v>
      </c>
      <c r="I66" s="33"/>
      <c r="J66" s="33"/>
      <c r="K66" s="33"/>
      <c r="L66" s="33"/>
      <c r="M66" s="33"/>
      <c r="N66" s="33"/>
      <c r="O66" s="33"/>
      <c r="P66" s="33"/>
    </row>
    <row r="67" spans="1:16">
      <c r="A67" s="33">
        <f>IF(Results!H34="Complete",Results!A34,"")</f>
        <v>30</v>
      </c>
      <c r="B67" s="33" t="str">
        <f>IF(Results!H34="Complete",Results!B34,"")</f>
        <v>B</v>
      </c>
      <c r="C67" s="33">
        <f>IF(Results!H34="Complete",Results!C34,"")</f>
        <v>1</v>
      </c>
      <c r="D67" s="33">
        <f>IF(Results!H34="Complete",Results!D34,"")</f>
        <v>0</v>
      </c>
      <c r="E67" s="33">
        <f>IF(Results!H34="Complete",Results!E34,"")</f>
        <v>0</v>
      </c>
      <c r="F67" s="33">
        <f>IF(Results!H34="Complete",Results!G34,"")</f>
        <v>0</v>
      </c>
      <c r="G67" s="33">
        <f>IF(Results!H34="Complete",Results!F34,"")</f>
        <v>0</v>
      </c>
      <c r="H67" s="33" t="str">
        <f>IF(Results!H34="Complete",Results!I34,"")</f>
        <v>Draw</v>
      </c>
      <c r="I67" s="33"/>
      <c r="J67" s="33"/>
      <c r="K67" s="33"/>
      <c r="L67" s="33"/>
      <c r="M67" s="33"/>
      <c r="N67" s="33"/>
      <c r="O67" s="33"/>
      <c r="P67" s="33"/>
    </row>
    <row r="68" spans="1:16">
      <c r="A68" s="33">
        <f>IF(Results!H35="Complete",Results!A35,"")</f>
        <v>31</v>
      </c>
      <c r="B68" s="33" t="str">
        <f>IF(Results!H35="Complete",Results!B35,"")</f>
        <v>B</v>
      </c>
      <c r="C68" s="33">
        <f>IF(Results!H35="Complete",Results!C35,"")</f>
        <v>1</v>
      </c>
      <c r="D68" s="33">
        <f>IF(Results!H35="Complete",Results!D35,"")</f>
        <v>0</v>
      </c>
      <c r="E68" s="33">
        <f>IF(Results!H35="Complete",Results!E35,"")</f>
        <v>0</v>
      </c>
      <c r="F68" s="33">
        <f>IF(Results!H35="Complete",Results!G35,"")</f>
        <v>0</v>
      </c>
      <c r="G68" s="33">
        <f>IF(Results!H35="Complete",Results!F35,"")</f>
        <v>0</v>
      </c>
      <c r="H68" s="33" t="str">
        <f>IF(Results!H35="Complete",Results!I35,"")</f>
        <v>Draw</v>
      </c>
      <c r="I68" s="33"/>
      <c r="J68" s="33"/>
      <c r="K68" s="33"/>
      <c r="L68" s="33"/>
      <c r="M68" s="33"/>
      <c r="N68" s="33"/>
      <c r="O68" s="33"/>
      <c r="P68" s="33"/>
    </row>
    <row r="69" spans="1:16">
      <c r="A69" s="33">
        <f>IF(Results!H36="Complete",Results!A36,"")</f>
        <v>32</v>
      </c>
      <c r="B69" s="33" t="str">
        <f>IF(Results!H36="Complete",Results!B36,"")</f>
        <v>B</v>
      </c>
      <c r="C69" s="33">
        <f>IF(Results!H36="Complete",Results!C36,"")</f>
        <v>1</v>
      </c>
      <c r="D69" s="33">
        <f>IF(Results!H36="Complete",Results!D36,"")</f>
        <v>0</v>
      </c>
      <c r="E69" s="33">
        <f>IF(Results!H36="Complete",Results!E36,"")</f>
        <v>0</v>
      </c>
      <c r="F69" s="33">
        <f>IF(Results!H36="Complete",Results!G36,"")</f>
        <v>0</v>
      </c>
      <c r="G69" s="33">
        <f>IF(Results!H36="Complete",Results!F36,"")</f>
        <v>0</v>
      </c>
      <c r="H69" s="33" t="str">
        <f>IF(Results!H36="Complete",Results!I36,"")</f>
        <v>Draw</v>
      </c>
      <c r="I69" s="33"/>
      <c r="J69" s="33"/>
      <c r="K69" s="33"/>
      <c r="L69" s="33"/>
      <c r="M69" s="33"/>
      <c r="N69" s="33"/>
      <c r="O69" s="33"/>
      <c r="P69" s="33"/>
    </row>
    <row r="70" spans="1:16">
      <c r="A70" s="33">
        <f>IF(Results!H37="Complete",Results!A37,"")</f>
        <v>33</v>
      </c>
      <c r="B70" s="33" t="str">
        <f>IF(Results!H37="Complete",Results!B37,"")</f>
        <v>B</v>
      </c>
      <c r="C70" s="33">
        <f>IF(Results!H37="Complete",Results!C37,"")</f>
        <v>2</v>
      </c>
      <c r="D70" s="33">
        <f>IF(Results!H37="Complete",Results!D37,"")</f>
        <v>0</v>
      </c>
      <c r="E70" s="33">
        <f>IF(Results!H37="Complete",Results!E37,"")</f>
        <v>0</v>
      </c>
      <c r="F70" s="33">
        <f>IF(Results!H37="Complete",Results!G37,"")</f>
        <v>0</v>
      </c>
      <c r="G70" s="33">
        <f>IF(Results!H37="Complete",Results!F37,"")</f>
        <v>0</v>
      </c>
      <c r="H70" s="33" t="str">
        <f>IF(Results!H37="Complete",Results!I37,"")</f>
        <v>Draw</v>
      </c>
      <c r="I70" s="33"/>
      <c r="J70" s="33"/>
      <c r="K70" s="33"/>
      <c r="L70" s="33"/>
      <c r="M70" s="33"/>
      <c r="N70" s="33"/>
      <c r="O70" s="33"/>
      <c r="P70" s="33"/>
    </row>
    <row r="71" spans="1:16">
      <c r="A71" s="33">
        <f>IF(Results!H38="Complete",Results!A38,"")</f>
        <v>34</v>
      </c>
      <c r="B71" s="33" t="str">
        <f>IF(Results!H38="Complete",Results!B38,"")</f>
        <v>B</v>
      </c>
      <c r="C71" s="33">
        <f>IF(Results!H38="Complete",Results!C38,"")</f>
        <v>2</v>
      </c>
      <c r="D71" s="33">
        <f>IF(Results!H38="Complete",Results!D38,"")</f>
        <v>0</v>
      </c>
      <c r="E71" s="33">
        <f>IF(Results!H38="Complete",Results!E38,"")</f>
        <v>0</v>
      </c>
      <c r="F71" s="33">
        <f>IF(Results!H38="Complete",Results!G38,"")</f>
        <v>0</v>
      </c>
      <c r="G71" s="33">
        <f>IF(Results!H38="Complete",Results!F38,"")</f>
        <v>0</v>
      </c>
      <c r="H71" s="33" t="str">
        <f>IF(Results!H38="Complete",Results!I38,"")</f>
        <v>Draw</v>
      </c>
      <c r="I71" s="33"/>
      <c r="J71" s="33"/>
      <c r="K71" s="33"/>
      <c r="L71" s="33"/>
      <c r="M71" s="33"/>
      <c r="N71" s="33"/>
      <c r="O71" s="33"/>
      <c r="P71" s="33"/>
    </row>
    <row r="72" spans="1:16">
      <c r="A72" s="33">
        <f>IF(Results!H39="Complete",Results!A39,"")</f>
        <v>35</v>
      </c>
      <c r="B72" s="33" t="str">
        <f>IF(Results!H39="Complete",Results!B39,"")</f>
        <v>B</v>
      </c>
      <c r="C72" s="33">
        <f>IF(Results!H39="Complete",Results!C39,"")</f>
        <v>2</v>
      </c>
      <c r="D72" s="33">
        <f>IF(Results!H39="Complete",Results!D39,"")</f>
        <v>0</v>
      </c>
      <c r="E72" s="33">
        <f>IF(Results!H39="Complete",Results!E39,"")</f>
        <v>0</v>
      </c>
      <c r="F72" s="33">
        <f>IF(Results!H39="Complete",Results!G39,"")</f>
        <v>0</v>
      </c>
      <c r="G72" s="33">
        <f>IF(Results!H39="Complete",Results!F39,"")</f>
        <v>0</v>
      </c>
      <c r="H72" s="33" t="str">
        <f>IF(Results!H39="Complete",Results!I39,"")</f>
        <v>Draw</v>
      </c>
      <c r="I72" s="33"/>
      <c r="J72" s="33"/>
      <c r="K72" s="33"/>
      <c r="L72" s="33"/>
      <c r="M72" s="33"/>
      <c r="N72" s="33"/>
      <c r="O72" s="33"/>
      <c r="P72" s="33"/>
    </row>
    <row r="73" spans="1:16">
      <c r="A73" s="33">
        <f>IF(Results!H40="Complete",Results!A40,"")</f>
        <v>36</v>
      </c>
      <c r="B73" s="33" t="str">
        <f>IF(Results!H40="Complete",Results!B40,"")</f>
        <v>B</v>
      </c>
      <c r="C73" s="33">
        <f>IF(Results!H40="Complete",Results!C40,"")</f>
        <v>2</v>
      </c>
      <c r="D73" s="33">
        <f>IF(Results!H40="Complete",Results!D40,"")</f>
        <v>0</v>
      </c>
      <c r="E73" s="33">
        <f>IF(Results!H40="Complete",Results!E40,"")</f>
        <v>0</v>
      </c>
      <c r="F73" s="33">
        <f>IF(Results!H40="Complete",Results!G40,"")</f>
        <v>0</v>
      </c>
      <c r="G73" s="33">
        <f>IF(Results!H40="Complete",Results!F40,"")</f>
        <v>0</v>
      </c>
      <c r="H73" s="33" t="str">
        <f>IF(Results!H40="Complete",Results!I40,"")</f>
        <v>Draw</v>
      </c>
      <c r="I73" s="33"/>
      <c r="J73" s="33"/>
      <c r="K73" s="33"/>
      <c r="L73" s="33"/>
      <c r="M73" s="33"/>
      <c r="N73" s="33"/>
      <c r="O73" s="33"/>
      <c r="P73" s="33"/>
    </row>
    <row r="74" spans="1:16">
      <c r="A74" s="33">
        <f>IF(Results!H41="Complete",Results!A41,"")</f>
        <v>37</v>
      </c>
      <c r="B74" s="33" t="str">
        <f>IF(Results!H41="Complete",Results!B41,"")</f>
        <v>B</v>
      </c>
      <c r="C74" s="33">
        <f>IF(Results!H41="Complete",Results!C41,"")</f>
        <v>3</v>
      </c>
      <c r="D74" s="33">
        <f>IF(Results!H41="Complete",Results!D41,"")</f>
        <v>0</v>
      </c>
      <c r="E74" s="33">
        <f>IF(Results!H41="Complete",Results!E41,"")</f>
        <v>0</v>
      </c>
      <c r="F74" s="33">
        <f>IF(Results!H41="Complete",Results!G41,"")</f>
        <v>0</v>
      </c>
      <c r="G74" s="33">
        <f>IF(Results!H41="Complete",Results!F41,"")</f>
        <v>0</v>
      </c>
      <c r="H74" s="33" t="str">
        <f>IF(Results!H41="Complete",Results!I41,"")</f>
        <v>Draw</v>
      </c>
      <c r="I74" s="33"/>
      <c r="J74" s="33"/>
      <c r="K74" s="33"/>
      <c r="L74" s="33"/>
      <c r="M74" s="33"/>
      <c r="N74" s="33"/>
      <c r="O74" s="33"/>
      <c r="P74" s="33"/>
    </row>
    <row r="75" spans="1:16">
      <c r="A75" s="33">
        <f>IF(Results!H42="Complete",Results!A42,"")</f>
        <v>38</v>
      </c>
      <c r="B75" s="33" t="str">
        <f>IF(Results!H42="Complete",Results!B42,"")</f>
        <v>B</v>
      </c>
      <c r="C75" s="33">
        <f>IF(Results!H42="Complete",Results!C42,"")</f>
        <v>3</v>
      </c>
      <c r="D75" s="33">
        <f>IF(Results!H42="Complete",Results!D42,"")</f>
        <v>0</v>
      </c>
      <c r="E75" s="33">
        <f>IF(Results!H42="Complete",Results!E42,"")</f>
        <v>0</v>
      </c>
      <c r="F75" s="33">
        <f>IF(Results!H42="Complete",Results!G42,"")</f>
        <v>0</v>
      </c>
      <c r="G75" s="33">
        <f>IF(Results!H42="Complete",Results!F42,"")</f>
        <v>0</v>
      </c>
      <c r="H75" s="33" t="str">
        <f>IF(Results!H42="Complete",Results!I42,"")</f>
        <v>Draw</v>
      </c>
      <c r="I75" s="33"/>
      <c r="J75" s="33"/>
      <c r="K75" s="33"/>
      <c r="L75" s="33"/>
      <c r="M75" s="33"/>
      <c r="N75" s="33"/>
      <c r="O75" s="33"/>
      <c r="P75" s="33"/>
    </row>
    <row r="76" spans="1:16">
      <c r="A76" s="33">
        <f>IF(Results!H43="Complete",Results!A43,"")</f>
        <v>39</v>
      </c>
      <c r="B76" s="33" t="str">
        <f>IF(Results!H43="Complete",Results!B43,"")</f>
        <v>B</v>
      </c>
      <c r="C76" s="33">
        <f>IF(Results!H43="Complete",Results!C43,"")</f>
        <v>3</v>
      </c>
      <c r="D76" s="33">
        <f>IF(Results!H43="Complete",Results!D43,"")</f>
        <v>0</v>
      </c>
      <c r="E76" s="33">
        <f>IF(Results!H43="Complete",Results!E43,"")</f>
        <v>0</v>
      </c>
      <c r="F76" s="33">
        <f>IF(Results!H43="Complete",Results!G43,"")</f>
        <v>0</v>
      </c>
      <c r="G76" s="33">
        <f>IF(Results!H43="Complete",Results!F43,"")</f>
        <v>0</v>
      </c>
      <c r="H76" s="33" t="str">
        <f>IF(Results!H43="Complete",Results!I43,"")</f>
        <v>Draw</v>
      </c>
      <c r="I76" s="33"/>
      <c r="J76" s="33"/>
      <c r="K76" s="33"/>
      <c r="L76" s="33"/>
      <c r="M76" s="33"/>
      <c r="N76" s="33"/>
      <c r="O76" s="33"/>
      <c r="P76" s="33"/>
    </row>
    <row r="77" spans="1:16">
      <c r="A77" s="33">
        <f>IF(Results!H44="Complete",Results!A44,"")</f>
        <v>40</v>
      </c>
      <c r="B77" s="33" t="str">
        <f>IF(Results!H44="Complete",Results!B44,"")</f>
        <v>B</v>
      </c>
      <c r="C77" s="33">
        <f>IF(Results!H44="Complete",Results!C44,"")</f>
        <v>3</v>
      </c>
      <c r="D77" s="33">
        <f>IF(Results!H44="Complete",Results!D44,"")</f>
        <v>0</v>
      </c>
      <c r="E77" s="33">
        <f>IF(Results!H44="Complete",Results!E44,"")</f>
        <v>0</v>
      </c>
      <c r="F77" s="33">
        <f>IF(Results!H44="Complete",Results!G44,"")</f>
        <v>0</v>
      </c>
      <c r="G77" s="33">
        <f>IF(Results!H44="Complete",Results!F44,"")</f>
        <v>0</v>
      </c>
      <c r="H77" s="33" t="str">
        <f>IF(Results!H44="Complete",Results!I44,"")</f>
        <v>Draw</v>
      </c>
      <c r="I77" s="33"/>
      <c r="J77" s="33"/>
      <c r="K77" s="33"/>
      <c r="L77" s="33"/>
      <c r="M77" s="33"/>
      <c r="N77" s="33"/>
      <c r="O77" s="33"/>
      <c r="P77" s="33"/>
    </row>
    <row r="78" spans="1:16">
      <c r="A78" s="33">
        <f>IF(Results!H45="Complete",Results!A45,"")</f>
        <v>41</v>
      </c>
      <c r="B78" s="33" t="str">
        <f>IF(Results!H45="Complete",Results!B45,"")</f>
        <v>B</v>
      </c>
      <c r="C78" s="33">
        <f>IF(Results!H45="Complete",Results!C45,"")</f>
        <v>4</v>
      </c>
      <c r="D78" s="33">
        <f>IF(Results!H45="Complete",Results!D45,"")</f>
        <v>0</v>
      </c>
      <c r="E78" s="33">
        <f>IF(Results!H45="Complete",Results!E45,"")</f>
        <v>0</v>
      </c>
      <c r="F78" s="33">
        <f>IF(Results!H45="Complete",Results!G45,"")</f>
        <v>0</v>
      </c>
      <c r="G78" s="33">
        <f>IF(Results!H45="Complete",Results!F45,"")</f>
        <v>0</v>
      </c>
      <c r="H78" s="33" t="str">
        <f>IF(Results!H45="Complete",Results!I45,"")</f>
        <v>Draw</v>
      </c>
      <c r="I78" s="33"/>
      <c r="J78" s="33"/>
      <c r="K78" s="33"/>
      <c r="L78" s="33"/>
      <c r="M78" s="33"/>
      <c r="N78" s="33"/>
      <c r="O78" s="33"/>
      <c r="P78" s="33"/>
    </row>
    <row r="79" spans="1:16">
      <c r="A79" s="33">
        <f>IF(Results!H46="Complete",Results!A46,"")</f>
        <v>42</v>
      </c>
      <c r="B79" s="33" t="str">
        <f>IF(Results!H46="Complete",Results!B46,"")</f>
        <v>B</v>
      </c>
      <c r="C79" s="33">
        <f>IF(Results!H46="Complete",Results!C46,"")</f>
        <v>4</v>
      </c>
      <c r="D79" s="33">
        <f>IF(Results!H46="Complete",Results!D46,"")</f>
        <v>0</v>
      </c>
      <c r="E79" s="33">
        <f>IF(Results!H46="Complete",Results!E46,"")</f>
        <v>0</v>
      </c>
      <c r="F79" s="33">
        <f>IF(Results!H46="Complete",Results!G46,"")</f>
        <v>0</v>
      </c>
      <c r="G79" s="33">
        <f>IF(Results!H46="Complete",Results!F46,"")</f>
        <v>0</v>
      </c>
      <c r="H79" s="33" t="str">
        <f>IF(Results!H46="Complete",Results!I46,"")</f>
        <v>Draw</v>
      </c>
      <c r="I79" s="33"/>
      <c r="J79" s="33"/>
      <c r="K79" s="33"/>
      <c r="L79" s="33"/>
      <c r="M79" s="33"/>
      <c r="N79" s="33"/>
      <c r="O79" s="33"/>
      <c r="P79" s="33"/>
    </row>
    <row r="80" spans="1:16">
      <c r="A80" s="33">
        <f>IF(Results!H47="Complete",Results!A47,"")</f>
        <v>43</v>
      </c>
      <c r="B80" s="33" t="str">
        <f>IF(Results!H47="Complete",Results!B47,"")</f>
        <v>B</v>
      </c>
      <c r="C80" s="33">
        <f>IF(Results!H47="Complete",Results!C47,"")</f>
        <v>4</v>
      </c>
      <c r="D80" s="33">
        <f>IF(Results!H47="Complete",Results!D47,"")</f>
        <v>0</v>
      </c>
      <c r="E80" s="33">
        <f>IF(Results!H47="Complete",Results!E47,"")</f>
        <v>0</v>
      </c>
      <c r="F80" s="33">
        <f>IF(Results!H47="Complete",Results!G47,"")</f>
        <v>0</v>
      </c>
      <c r="G80" s="33">
        <f>IF(Results!H47="Complete",Results!F47,"")</f>
        <v>0</v>
      </c>
      <c r="H80" s="33" t="str">
        <f>IF(Results!H47="Complete",Results!I47,"")</f>
        <v>Draw</v>
      </c>
      <c r="I80" s="33"/>
      <c r="J80" s="33"/>
      <c r="K80" s="33"/>
      <c r="L80" s="33"/>
      <c r="M80" s="33"/>
      <c r="N80" s="33"/>
      <c r="O80" s="33"/>
      <c r="P80" s="33"/>
    </row>
    <row r="81" spans="1:16">
      <c r="A81" s="33">
        <f>IF(Results!H48="Complete",Results!A48,"")</f>
        <v>44</v>
      </c>
      <c r="B81" s="33" t="str">
        <f>IF(Results!H48="Complete",Results!B48,"")</f>
        <v>B</v>
      </c>
      <c r="C81" s="33">
        <f>IF(Results!H48="Complete",Results!C48,"")</f>
        <v>4</v>
      </c>
      <c r="D81" s="33">
        <f>IF(Results!H48="Complete",Results!D48,"")</f>
        <v>0</v>
      </c>
      <c r="E81" s="33">
        <f>IF(Results!H48="Complete",Results!E48,"")</f>
        <v>0</v>
      </c>
      <c r="F81" s="33">
        <f>IF(Results!H48="Complete",Results!G48,"")</f>
        <v>0</v>
      </c>
      <c r="G81" s="33">
        <f>IF(Results!H48="Complete",Results!F48,"")</f>
        <v>0</v>
      </c>
      <c r="H81" s="33" t="str">
        <f>IF(Results!H48="Complete",Results!I48,"")</f>
        <v>Draw</v>
      </c>
      <c r="I81" s="33"/>
      <c r="J81" s="33"/>
      <c r="K81" s="33"/>
      <c r="L81" s="33"/>
      <c r="M81" s="33"/>
      <c r="N81" s="33"/>
      <c r="O81" s="33"/>
      <c r="P81" s="33"/>
    </row>
    <row r="82" spans="1:16">
      <c r="A82" s="33">
        <f>IF(Results!H49="Complete",Results!A49,"")</f>
        <v>45</v>
      </c>
      <c r="B82" s="33" t="str">
        <f>IF(Results!H49="Complete",Results!B49,"")</f>
        <v>B</v>
      </c>
      <c r="C82" s="33">
        <f>IF(Results!H49="Complete",Results!C49,"")</f>
        <v>5</v>
      </c>
      <c r="D82" s="33">
        <f>IF(Results!H49="Complete",Results!D49,"")</f>
        <v>0</v>
      </c>
      <c r="E82" s="33">
        <f>IF(Results!H49="Complete",Results!E49,"")</f>
        <v>0</v>
      </c>
      <c r="F82" s="33">
        <f>IF(Results!H49="Complete",Results!G49,"")</f>
        <v>0</v>
      </c>
      <c r="G82" s="33">
        <f>IF(Results!H49="Complete",Results!F49,"")</f>
        <v>0</v>
      </c>
      <c r="H82" s="33" t="str">
        <f>IF(Results!H49="Complete",Results!I49,"")</f>
        <v>Draw</v>
      </c>
      <c r="I82" s="33"/>
      <c r="J82" s="33"/>
      <c r="K82" s="33"/>
      <c r="L82" s="33"/>
      <c r="M82" s="33"/>
      <c r="N82" s="33"/>
      <c r="O82" s="33"/>
      <c r="P82" s="33"/>
    </row>
    <row r="83" spans="1:16">
      <c r="A83" s="33">
        <f>IF(Results!H50="Complete",Results!A50,"")</f>
        <v>46</v>
      </c>
      <c r="B83" s="33" t="str">
        <f>IF(Results!H50="Complete",Results!B50,"")</f>
        <v>B</v>
      </c>
      <c r="C83" s="33">
        <f>IF(Results!H50="Complete",Results!C50,"")</f>
        <v>5</v>
      </c>
      <c r="D83" s="33">
        <f>IF(Results!H50="Complete",Results!D50,"")</f>
        <v>0</v>
      </c>
      <c r="E83" s="33">
        <f>IF(Results!H50="Complete",Results!E50,"")</f>
        <v>0</v>
      </c>
      <c r="F83" s="33">
        <f>IF(Results!H50="Complete",Results!G50,"")</f>
        <v>0</v>
      </c>
      <c r="G83" s="33">
        <f>IF(Results!H50="Complete",Results!F50,"")</f>
        <v>0</v>
      </c>
      <c r="H83" s="33" t="str">
        <f>IF(Results!H50="Complete",Results!I50,"")</f>
        <v>Draw</v>
      </c>
      <c r="I83" s="33"/>
      <c r="J83" s="33"/>
      <c r="K83" s="33"/>
      <c r="L83" s="33"/>
      <c r="M83" s="33"/>
      <c r="N83" s="33"/>
      <c r="O83" s="33"/>
      <c r="P83" s="33"/>
    </row>
    <row r="84" spans="1:16">
      <c r="A84" s="33">
        <f>IF(Results!H51="Complete",Results!A51,"")</f>
        <v>47</v>
      </c>
      <c r="B84" s="33" t="str">
        <f>IF(Results!H51="Complete",Results!B51,"")</f>
        <v>B</v>
      </c>
      <c r="C84" s="33">
        <f>IF(Results!H51="Complete",Results!C51,"")</f>
        <v>5</v>
      </c>
      <c r="D84" s="33">
        <f>IF(Results!H51="Complete",Results!D51,"")</f>
        <v>0</v>
      </c>
      <c r="E84" s="33">
        <f>IF(Results!H51="Complete",Results!E51,"")</f>
        <v>0</v>
      </c>
      <c r="F84" s="33">
        <f>IF(Results!H51="Complete",Results!G51,"")</f>
        <v>0</v>
      </c>
      <c r="G84" s="33">
        <f>IF(Results!H51="Complete",Results!F51,"")</f>
        <v>0</v>
      </c>
      <c r="H84" s="33" t="str">
        <f>IF(Results!H51="Complete",Results!I51,"")</f>
        <v>Draw</v>
      </c>
      <c r="I84" s="33"/>
      <c r="J84" s="33"/>
      <c r="K84" s="33"/>
      <c r="L84" s="33"/>
      <c r="M84" s="33"/>
      <c r="N84" s="33"/>
      <c r="O84" s="33"/>
      <c r="P84" s="33"/>
    </row>
    <row r="85" spans="1:16">
      <c r="A85" s="33">
        <f>IF(Results!H52="Complete",Results!A52,"")</f>
        <v>48</v>
      </c>
      <c r="B85" s="33" t="str">
        <f>IF(Results!H52="Complete",Results!B52,"")</f>
        <v>B</v>
      </c>
      <c r="C85" s="33">
        <f>IF(Results!H52="Complete",Results!C52,"")</f>
        <v>5</v>
      </c>
      <c r="D85" s="33">
        <f>IF(Results!H52="Complete",Results!D52,"")</f>
        <v>0</v>
      </c>
      <c r="E85" s="33">
        <f>IF(Results!H52="Complete",Results!E52,"")</f>
        <v>0</v>
      </c>
      <c r="F85" s="33">
        <f>IF(Results!H52="Complete",Results!G52,"")</f>
        <v>0</v>
      </c>
      <c r="G85" s="33">
        <f>IF(Results!H52="Complete",Results!F52,"")</f>
        <v>0</v>
      </c>
      <c r="H85" s="33" t="str">
        <f>IF(Results!H52="Complete",Results!I52,"")</f>
        <v>Draw</v>
      </c>
      <c r="I85" s="33"/>
      <c r="J85" s="33"/>
      <c r="K85" s="33"/>
      <c r="L85" s="33"/>
      <c r="M85" s="33"/>
      <c r="N85" s="33"/>
      <c r="O85" s="33"/>
      <c r="P85" s="33"/>
    </row>
    <row r="86" spans="1:16">
      <c r="A86" s="33">
        <f>IF(Results!H53="Complete",Results!A53,"")</f>
        <v>49</v>
      </c>
      <c r="B86" s="33" t="str">
        <f>IF(Results!H53="Complete",Results!B53,"")</f>
        <v>B</v>
      </c>
      <c r="C86" s="33">
        <f>IF(Results!H53="Complete",Results!C53,"")</f>
        <v>6</v>
      </c>
      <c r="D86" s="33">
        <f>IF(Results!H53="Complete",Results!D53,"")</f>
        <v>0</v>
      </c>
      <c r="E86" s="33">
        <f>IF(Results!H53="Complete",Results!E53,"")</f>
        <v>0</v>
      </c>
      <c r="F86" s="33">
        <f>IF(Results!H53="Complete",Results!G53,"")</f>
        <v>0</v>
      </c>
      <c r="G86" s="33">
        <f>IF(Results!H53="Complete",Results!F53,"")</f>
        <v>0</v>
      </c>
      <c r="H86" s="33" t="str">
        <f>IF(Results!H53="Complete",Results!I53,"")</f>
        <v>Draw</v>
      </c>
      <c r="I86" s="33"/>
      <c r="J86" s="33"/>
      <c r="K86" s="33"/>
      <c r="L86" s="33"/>
      <c r="M86" s="33"/>
      <c r="N86" s="33"/>
      <c r="O86" s="33"/>
      <c r="P86" s="33"/>
    </row>
    <row r="87" spans="1:16">
      <c r="A87" s="33">
        <f>IF(Results!H54="Complete",Results!A54,"")</f>
        <v>50</v>
      </c>
      <c r="B87" s="33" t="str">
        <f>IF(Results!H54="Complete",Results!B54,"")</f>
        <v>B</v>
      </c>
      <c r="C87" s="33">
        <f>IF(Results!H54="Complete",Results!C54,"")</f>
        <v>6</v>
      </c>
      <c r="D87" s="33">
        <f>IF(Results!H54="Complete",Results!D54,"")</f>
        <v>0</v>
      </c>
      <c r="E87" s="33">
        <f>IF(Results!H54="Complete",Results!E54,"")</f>
        <v>0</v>
      </c>
      <c r="F87" s="33">
        <f>IF(Results!H54="Complete",Results!G54,"")</f>
        <v>0</v>
      </c>
      <c r="G87" s="33">
        <f>IF(Results!H54="Complete",Results!F54,"")</f>
        <v>0</v>
      </c>
      <c r="H87" s="33" t="str">
        <f>IF(Results!H54="Complete",Results!I54,"")</f>
        <v>Draw</v>
      </c>
      <c r="I87" s="33"/>
      <c r="J87" s="33"/>
      <c r="K87" s="33"/>
      <c r="L87" s="33"/>
      <c r="M87" s="33"/>
      <c r="N87" s="33"/>
      <c r="O87" s="33"/>
      <c r="P87" s="33"/>
    </row>
    <row r="88" spans="1:16">
      <c r="A88" s="33">
        <f>IF(Results!H55="Complete",Results!A55,"")</f>
        <v>51</v>
      </c>
      <c r="B88" s="33" t="str">
        <f>IF(Results!H55="Complete",Results!B55,"")</f>
        <v>B</v>
      </c>
      <c r="C88" s="33">
        <f>IF(Results!H55="Complete",Results!C55,"")</f>
        <v>6</v>
      </c>
      <c r="D88" s="33">
        <f>IF(Results!H55="Complete",Results!D55,"")</f>
        <v>0</v>
      </c>
      <c r="E88" s="33">
        <f>IF(Results!H55="Complete",Results!E55,"")</f>
        <v>0</v>
      </c>
      <c r="F88" s="33">
        <f>IF(Results!H55="Complete",Results!G55,"")</f>
        <v>0</v>
      </c>
      <c r="G88" s="33">
        <f>IF(Results!H55="Complete",Results!F55,"")</f>
        <v>0</v>
      </c>
      <c r="H88" s="33" t="str">
        <f>IF(Results!H55="Complete",Results!I55,"")</f>
        <v>Draw</v>
      </c>
      <c r="I88" s="33"/>
      <c r="J88" s="33"/>
      <c r="K88" s="33"/>
      <c r="L88" s="33"/>
      <c r="M88" s="33"/>
      <c r="N88" s="33"/>
      <c r="O88" s="33"/>
      <c r="P88" s="33"/>
    </row>
    <row r="89" spans="1:16">
      <c r="A89" s="33">
        <f>IF(Results!H56="Complete",Results!A56,"")</f>
        <v>52</v>
      </c>
      <c r="B89" s="33" t="str">
        <f>IF(Results!H56="Complete",Results!B56,"")</f>
        <v>B</v>
      </c>
      <c r="C89" s="33">
        <f>IF(Results!H56="Complete",Results!C56,"")</f>
        <v>6</v>
      </c>
      <c r="D89" s="33">
        <f>IF(Results!H56="Complete",Results!D56,"")</f>
        <v>0</v>
      </c>
      <c r="E89" s="33">
        <f>IF(Results!H56="Complete",Results!E56,"")</f>
        <v>0</v>
      </c>
      <c r="F89" s="33">
        <f>IF(Results!H56="Complete",Results!G56,"")</f>
        <v>0</v>
      </c>
      <c r="G89" s="33">
        <f>IF(Results!H56="Complete",Results!F56,"")</f>
        <v>0</v>
      </c>
      <c r="H89" s="33" t="str">
        <f>IF(Results!H56="Complete",Results!I56,"")</f>
        <v>Draw</v>
      </c>
      <c r="I89" s="33"/>
      <c r="J89" s="33"/>
      <c r="K89" s="33"/>
      <c r="L89" s="33"/>
      <c r="M89" s="33"/>
      <c r="N89" s="33"/>
      <c r="O89" s="33"/>
      <c r="P89" s="33"/>
    </row>
    <row r="90" spans="1:16">
      <c r="A90" s="33">
        <f>IF(Results!H57="Complete",Results!A57,"")</f>
        <v>53</v>
      </c>
      <c r="B90" s="33" t="str">
        <f>IF(Results!H57="Complete",Results!B57,"")</f>
        <v>B</v>
      </c>
      <c r="C90" s="33">
        <f>IF(Results!H57="Complete",Results!C57,"")</f>
        <v>7</v>
      </c>
      <c r="D90" s="33">
        <f>IF(Results!H57="Complete",Results!D57,"")</f>
        <v>0</v>
      </c>
      <c r="E90" s="33">
        <f>IF(Results!H57="Complete",Results!E57,"")</f>
        <v>0</v>
      </c>
      <c r="F90" s="33">
        <f>IF(Results!H57="Complete",Results!G57,"")</f>
        <v>0</v>
      </c>
      <c r="G90" s="33">
        <f>IF(Results!H57="Complete",Results!F57,"")</f>
        <v>0</v>
      </c>
      <c r="H90" s="33" t="str">
        <f>IF(Results!H57="Complete",Results!I57,"")</f>
        <v>Draw</v>
      </c>
      <c r="I90" s="33"/>
      <c r="J90" s="33"/>
      <c r="K90" s="33"/>
      <c r="L90" s="33"/>
      <c r="M90" s="33"/>
      <c r="N90" s="33"/>
      <c r="O90" s="33"/>
      <c r="P90" s="33"/>
    </row>
    <row r="91" spans="1:16">
      <c r="A91" s="33">
        <f>IF(Results!H58="Complete",Results!A58,"")</f>
        <v>54</v>
      </c>
      <c r="B91" s="33" t="str">
        <f>IF(Results!H58="Complete",Results!B58,"")</f>
        <v>B</v>
      </c>
      <c r="C91" s="33">
        <f>IF(Results!H58="Complete",Results!C58,"")</f>
        <v>7</v>
      </c>
      <c r="D91" s="33">
        <f>IF(Results!H58="Complete",Results!D58,"")</f>
        <v>0</v>
      </c>
      <c r="E91" s="33">
        <f>IF(Results!H58="Complete",Results!E58,"")</f>
        <v>0</v>
      </c>
      <c r="F91" s="33">
        <f>IF(Results!H58="Complete",Results!G58,"")</f>
        <v>0</v>
      </c>
      <c r="G91" s="33">
        <f>IF(Results!H58="Complete",Results!F58,"")</f>
        <v>0</v>
      </c>
      <c r="H91" s="33" t="str">
        <f>IF(Results!H58="Complete",Results!I58,"")</f>
        <v>Draw</v>
      </c>
      <c r="I91" s="33"/>
      <c r="J91" s="33"/>
      <c r="K91" s="33"/>
      <c r="L91" s="33"/>
      <c r="M91" s="33"/>
      <c r="N91" s="33"/>
      <c r="O91" s="33"/>
      <c r="P91" s="33"/>
    </row>
    <row r="92" spans="1:16">
      <c r="A92" s="33">
        <f>IF(Results!H59="Complete",Results!A59,"")</f>
        <v>55</v>
      </c>
      <c r="B92" s="33" t="str">
        <f>IF(Results!H59="Complete",Results!B59,"")</f>
        <v>B</v>
      </c>
      <c r="C92" s="33">
        <f>IF(Results!H59="Complete",Results!C59,"")</f>
        <v>7</v>
      </c>
      <c r="D92" s="33">
        <f>IF(Results!H59="Complete",Results!D59,"")</f>
        <v>0</v>
      </c>
      <c r="E92" s="33">
        <f>IF(Results!H59="Complete",Results!E59,"")</f>
        <v>0</v>
      </c>
      <c r="F92" s="33">
        <f>IF(Results!H59="Complete",Results!G59,"")</f>
        <v>0</v>
      </c>
      <c r="G92" s="33">
        <f>IF(Results!H59="Complete",Results!F59,"")</f>
        <v>0</v>
      </c>
      <c r="H92" s="33" t="str">
        <f>IF(Results!H59="Complete",Results!I59,"")</f>
        <v>Draw</v>
      </c>
      <c r="I92" s="33"/>
      <c r="J92" s="33"/>
      <c r="K92" s="33"/>
      <c r="L92" s="33"/>
      <c r="M92" s="33"/>
      <c r="N92" s="33"/>
      <c r="O92" s="33"/>
      <c r="P92" s="33"/>
    </row>
    <row r="93" spans="1:16">
      <c r="A93" s="33">
        <f>IF(Results!H60="Complete",Results!A60,"")</f>
        <v>56</v>
      </c>
      <c r="B93" s="33" t="str">
        <f>IF(Results!H60="Complete",Results!B60,"")</f>
        <v>B</v>
      </c>
      <c r="C93" s="33">
        <f>IF(Results!H60="Complete",Results!C60,"")</f>
        <v>7</v>
      </c>
      <c r="D93" s="33">
        <f>IF(Results!H60="Complete",Results!D60,"")</f>
        <v>0</v>
      </c>
      <c r="E93" s="33">
        <f>IF(Results!H60="Complete",Results!E60,"")</f>
        <v>0</v>
      </c>
      <c r="F93" s="33">
        <f>IF(Results!H60="Complete",Results!G60,"")</f>
        <v>0</v>
      </c>
      <c r="G93" s="33">
        <f>IF(Results!H60="Complete",Results!F60,"")</f>
        <v>0</v>
      </c>
      <c r="H93" s="33" t="str">
        <f>IF(Results!H60="Complete",Results!I60,"")</f>
        <v>Draw</v>
      </c>
      <c r="I93" s="33"/>
      <c r="J93" s="33"/>
      <c r="K93" s="33"/>
      <c r="L93" s="33"/>
      <c r="M93" s="33"/>
      <c r="N93" s="33"/>
      <c r="O93" s="33"/>
      <c r="P93" s="33"/>
    </row>
    <row r="94" spans="1:16">
      <c r="A94" s="33" t="str">
        <f>IF(Results!H61="Complete",Results!A61,"")</f>
        <v/>
      </c>
      <c r="B94" s="33" t="str">
        <f>IF(Results!H61="Complete",Results!B61,"")</f>
        <v/>
      </c>
      <c r="C94" s="33" t="str">
        <f>IF(Results!H61="Complete",Results!C61,"")</f>
        <v/>
      </c>
      <c r="D94" s="33" t="str">
        <f>IF(Results!H61="Complete",Results!D61,"")</f>
        <v/>
      </c>
      <c r="E94" s="33" t="str">
        <f>IF(Results!H61="Complete",Results!E61,"")</f>
        <v/>
      </c>
      <c r="F94" s="33" t="str">
        <f>IF(Results!H61="Complete",Results!G61,"")</f>
        <v/>
      </c>
      <c r="G94" s="33" t="str">
        <f>IF(Results!H61="Complete",Results!F61,"")</f>
        <v/>
      </c>
      <c r="H94" s="33" t="str">
        <f>IF(Results!H61="Complete",Results!I61,"")</f>
        <v/>
      </c>
      <c r="I94" s="33"/>
      <c r="J94" s="33"/>
      <c r="K94" s="33"/>
      <c r="L94" s="33"/>
      <c r="M94" s="33"/>
      <c r="N94" s="33"/>
      <c r="O94" s="33"/>
      <c r="P94" s="33"/>
    </row>
    <row r="95" spans="1:16">
      <c r="A95" s="33" t="str">
        <f>IF(Results!H62="Complete",Results!A62,"")</f>
        <v/>
      </c>
      <c r="B95" s="33" t="str">
        <f>IF(Results!H62="Complete",Results!B62,"")</f>
        <v/>
      </c>
      <c r="C95" s="33" t="str">
        <f>IF(Results!H62="Complete",Results!C62,"")</f>
        <v/>
      </c>
      <c r="D95" s="33" t="str">
        <f>IF(Results!H62="Complete",Results!D62,"")</f>
        <v/>
      </c>
      <c r="E95" s="33" t="str">
        <f>IF(Results!H62="Complete",Results!E62,"")</f>
        <v/>
      </c>
      <c r="F95" s="33" t="str">
        <f>IF(Results!H62="Complete",Results!G62,"")</f>
        <v/>
      </c>
      <c r="G95" s="33" t="str">
        <f>IF(Results!H62="Complete",Results!F62,"")</f>
        <v/>
      </c>
      <c r="H95" s="33" t="str">
        <f>IF(Results!H62="Complete",Results!I62,"")</f>
        <v/>
      </c>
      <c r="I95" s="33"/>
      <c r="J95" s="33"/>
      <c r="K95" s="33"/>
      <c r="L95" s="33"/>
      <c r="M95" s="33"/>
      <c r="N95" s="33"/>
      <c r="O95" s="33"/>
      <c r="P95" s="33"/>
    </row>
    <row r="96" spans="1:16">
      <c r="A96" s="33" t="str">
        <f>IF(Results!H63="Complete",Results!A63,"")</f>
        <v/>
      </c>
      <c r="B96" s="33" t="str">
        <f>IF(Results!H63="Complete",Results!B63,"")</f>
        <v/>
      </c>
      <c r="C96" s="33" t="str">
        <f>IF(Results!H63="Complete",Results!C63,"")</f>
        <v/>
      </c>
      <c r="D96" s="33" t="str">
        <f>IF(Results!H63="Complete",Results!D63,"")</f>
        <v/>
      </c>
      <c r="E96" s="33" t="str">
        <f>IF(Results!H63="Complete",Results!E63,"")</f>
        <v/>
      </c>
      <c r="F96" s="33" t="str">
        <f>IF(Results!H63="Complete",Results!G63,"")</f>
        <v/>
      </c>
      <c r="G96" s="33" t="str">
        <f>IF(Results!H63="Complete",Results!F63,"")</f>
        <v/>
      </c>
      <c r="H96" s="33" t="str">
        <f>IF(Results!H63="Complete",Results!I63,"")</f>
        <v/>
      </c>
      <c r="I96" s="33"/>
      <c r="J96" s="33"/>
      <c r="K96" s="33"/>
      <c r="L96" s="33"/>
      <c r="M96" s="33"/>
      <c r="N96" s="33"/>
      <c r="O96" s="33"/>
      <c r="P96" s="33"/>
    </row>
    <row r="97" spans="1:16">
      <c r="A97" s="33" t="str">
        <f>IF(Results!H64="Complete",Results!A64,"")</f>
        <v/>
      </c>
      <c r="B97" s="33" t="str">
        <f>IF(Results!H64="Complete",Results!B64,"")</f>
        <v/>
      </c>
      <c r="C97" s="33" t="str">
        <f>IF(Results!H64="Complete",Results!C64,"")</f>
        <v/>
      </c>
      <c r="D97" s="33" t="str">
        <f>IF(Results!H64="Complete",Results!D64,"")</f>
        <v/>
      </c>
      <c r="E97" s="33" t="str">
        <f>IF(Results!H64="Complete",Results!E64,"")</f>
        <v/>
      </c>
      <c r="F97" s="33" t="str">
        <f>IF(Results!H64="Complete",Results!G64,"")</f>
        <v/>
      </c>
      <c r="G97" s="33" t="str">
        <f>IF(Results!H64="Complete",Results!F64,"")</f>
        <v/>
      </c>
      <c r="H97" s="33" t="str">
        <f>IF(Results!H64="Complete",Results!I64,"")</f>
        <v/>
      </c>
      <c r="I97" s="33"/>
      <c r="J97" s="33"/>
      <c r="K97" s="33"/>
      <c r="L97" s="33"/>
      <c r="M97" s="33"/>
      <c r="N97" s="33"/>
      <c r="O97" s="33"/>
      <c r="P97" s="33"/>
    </row>
    <row r="98" spans="1:16">
      <c r="A98" s="33" t="str">
        <f>IF(Results!H65="Complete",Results!A65,"")</f>
        <v/>
      </c>
      <c r="B98" s="33" t="str">
        <f>IF(Results!H65="Complete",Results!B65,"")</f>
        <v/>
      </c>
      <c r="C98" s="33" t="str">
        <f>IF(Results!H65="Complete",Results!C65,"")</f>
        <v/>
      </c>
      <c r="D98" s="33" t="str">
        <f>IF(Results!H65="Complete",Results!D65,"")</f>
        <v/>
      </c>
      <c r="E98" s="33" t="str">
        <f>IF(Results!H65="Complete",Results!E65,"")</f>
        <v/>
      </c>
      <c r="F98" s="33" t="str">
        <f>IF(Results!H65="Complete",Results!G65,"")</f>
        <v/>
      </c>
      <c r="G98" s="33" t="str">
        <f>IF(Results!H65="Complete",Results!F65,"")</f>
        <v/>
      </c>
      <c r="H98" s="33" t="str">
        <f>IF(Results!H65="Complete",Results!I65,"")</f>
        <v/>
      </c>
      <c r="I98" s="33"/>
      <c r="J98" s="33"/>
      <c r="K98" s="33"/>
      <c r="L98" s="33"/>
      <c r="M98" s="33"/>
      <c r="N98" s="33"/>
      <c r="O98" s="33"/>
      <c r="P98" s="33"/>
    </row>
    <row r="99" spans="1:16">
      <c r="A99" s="33" t="str">
        <f>IF(Results!H66="Complete",Results!A66,"")</f>
        <v/>
      </c>
      <c r="B99" s="33" t="str">
        <f>IF(Results!H66="Complete",Results!B66,"")</f>
        <v/>
      </c>
      <c r="C99" s="33" t="str">
        <f>IF(Results!H66="Complete",Results!C66,"")</f>
        <v/>
      </c>
      <c r="D99" s="33" t="str">
        <f>IF(Results!H66="Complete",Results!D66,"")</f>
        <v/>
      </c>
      <c r="E99" s="33" t="str">
        <f>IF(Results!H66="Complete",Results!E66,"")</f>
        <v/>
      </c>
      <c r="F99" s="33" t="str">
        <f>IF(Results!H66="Complete",Results!G66,"")</f>
        <v/>
      </c>
      <c r="G99" s="33" t="str">
        <f>IF(Results!H66="Complete",Results!F66,"")</f>
        <v/>
      </c>
      <c r="H99" s="33" t="str">
        <f>IF(Results!H66="Complete",Results!I66,"")</f>
        <v/>
      </c>
      <c r="I99" s="33"/>
      <c r="J99" s="33"/>
      <c r="K99" s="33"/>
      <c r="L99" s="33"/>
      <c r="M99" s="33"/>
      <c r="N99" s="33"/>
      <c r="O99" s="33"/>
      <c r="P99" s="33"/>
    </row>
    <row r="100" spans="1:16">
      <c r="A100" s="33" t="str">
        <f>IF(Results!H67="Complete",Results!A67,"")</f>
        <v/>
      </c>
      <c r="B100" s="33" t="str">
        <f>IF(Results!H67="Complete",Results!B67,"")</f>
        <v/>
      </c>
      <c r="C100" s="33" t="str">
        <f>IF(Results!H67="Complete",Results!C67,"")</f>
        <v/>
      </c>
      <c r="D100" s="33" t="str">
        <f>IF(Results!H67="Complete",Results!D67,"")</f>
        <v/>
      </c>
      <c r="E100" s="33" t="str">
        <f>IF(Results!H67="Complete",Results!E67,"")</f>
        <v/>
      </c>
      <c r="F100" s="33" t="str">
        <f>IF(Results!H67="Complete",Results!G67,"")</f>
        <v/>
      </c>
      <c r="G100" s="33" t="str">
        <f>IF(Results!H67="Complete",Results!F67,"")</f>
        <v/>
      </c>
      <c r="H100" s="33" t="str">
        <f>IF(Results!H67="Complete",Results!I67,"")</f>
        <v/>
      </c>
      <c r="I100" s="33"/>
      <c r="J100" s="33"/>
      <c r="K100" s="33"/>
      <c r="L100" s="33"/>
      <c r="M100" s="33"/>
      <c r="N100" s="33"/>
      <c r="O100" s="33"/>
      <c r="P100" s="33"/>
    </row>
    <row r="101" spans="1:16">
      <c r="A101" s="33" t="str">
        <f>IF(Results!H68="Complete",Results!A68,"")</f>
        <v/>
      </c>
      <c r="B101" s="33" t="str">
        <f>IF(Results!H68="Complete",Results!B68,"")</f>
        <v/>
      </c>
      <c r="C101" s="33" t="str">
        <f>IF(Results!H68="Complete",Results!C68,"")</f>
        <v/>
      </c>
      <c r="D101" s="33" t="str">
        <f>IF(Results!H68="Complete",Results!D68,"")</f>
        <v/>
      </c>
      <c r="E101" s="33" t="str">
        <f>IF(Results!H68="Complete",Results!E68,"")</f>
        <v/>
      </c>
      <c r="F101" s="33" t="str">
        <f>IF(Results!H68="Complete",Results!G68,"")</f>
        <v/>
      </c>
      <c r="G101" s="33" t="str">
        <f>IF(Results!H68="Complete",Results!F68,"")</f>
        <v/>
      </c>
      <c r="H101" s="33" t="str">
        <f>IF(Results!H68="Complete",Results!I68,"")</f>
        <v/>
      </c>
      <c r="I101" s="33"/>
      <c r="J101" s="33"/>
      <c r="K101" s="33"/>
      <c r="L101" s="33"/>
      <c r="M101" s="33"/>
      <c r="N101" s="33"/>
      <c r="O101" s="33"/>
      <c r="P101" s="33"/>
    </row>
    <row r="102" spans="1:16">
      <c r="A102" s="33" t="str">
        <f>IF(Results!H69="Complete",Results!A69,"")</f>
        <v/>
      </c>
      <c r="B102" s="33" t="str">
        <f>IF(Results!H69="Complete",Results!B69,"")</f>
        <v/>
      </c>
      <c r="C102" s="33" t="str">
        <f>IF(Results!H69="Complete",Results!C69,"")</f>
        <v/>
      </c>
      <c r="D102" s="33" t="str">
        <f>IF(Results!H69="Complete",Results!D69,"")</f>
        <v/>
      </c>
      <c r="E102" s="33" t="str">
        <f>IF(Results!H69="Complete",Results!E69,"")</f>
        <v/>
      </c>
      <c r="F102" s="33" t="str">
        <f>IF(Results!H69="Complete",Results!G69,"")</f>
        <v/>
      </c>
      <c r="G102" s="33" t="str">
        <f>IF(Results!H69="Complete",Results!F69,"")</f>
        <v/>
      </c>
      <c r="H102" s="33" t="str">
        <f>IF(Results!H69="Complete",Results!I69,"")</f>
        <v/>
      </c>
      <c r="I102" s="33"/>
      <c r="J102" s="33"/>
      <c r="K102" s="33"/>
      <c r="L102" s="33"/>
      <c r="M102" s="33"/>
      <c r="N102" s="33"/>
      <c r="O102" s="33"/>
      <c r="P102" s="33"/>
    </row>
    <row r="103" spans="1:16">
      <c r="A103" s="33" t="str">
        <f>IF(Results!H70="Complete",Results!A70,"")</f>
        <v/>
      </c>
      <c r="B103" s="33" t="str">
        <f>IF(Results!H70="Complete",Results!B70,"")</f>
        <v/>
      </c>
      <c r="C103" s="33" t="str">
        <f>IF(Results!H70="Complete",Results!C70,"")</f>
        <v/>
      </c>
      <c r="D103" s="33" t="str">
        <f>IF(Results!H70="Complete",Results!D70,"")</f>
        <v/>
      </c>
      <c r="E103" s="33" t="str">
        <f>IF(Results!H70="Complete",Results!E70,"")</f>
        <v/>
      </c>
      <c r="F103" s="33" t="str">
        <f>IF(Results!H70="Complete",Results!G70,"")</f>
        <v/>
      </c>
      <c r="G103" s="33" t="str">
        <f>IF(Results!H70="Complete",Results!F70,"")</f>
        <v/>
      </c>
      <c r="H103" s="33" t="str">
        <f>IF(Results!H70="Complete",Results!I70,"")</f>
        <v/>
      </c>
      <c r="I103" s="33"/>
      <c r="J103" s="33"/>
      <c r="K103" s="33"/>
      <c r="L103" s="33"/>
      <c r="M103" s="33"/>
      <c r="N103" s="33"/>
      <c r="O103" s="33"/>
      <c r="P103" s="33"/>
    </row>
    <row r="104" spans="1:16">
      <c r="A104" s="33" t="str">
        <f>IF(Results!H71="Complete",Results!A71,"")</f>
        <v/>
      </c>
      <c r="B104" s="33" t="str">
        <f>IF(Results!H71="Complete",Results!B71,"")</f>
        <v/>
      </c>
      <c r="C104" s="33" t="str">
        <f>IF(Results!H71="Complete",Results!C71,"")</f>
        <v/>
      </c>
      <c r="D104" s="33" t="str">
        <f>IF(Results!H71="Complete",Results!D71,"")</f>
        <v/>
      </c>
      <c r="E104" s="33" t="str">
        <f>IF(Results!H71="Complete",Results!E71,"")</f>
        <v/>
      </c>
      <c r="F104" s="33" t="str">
        <f>IF(Results!H71="Complete",Results!G71,"")</f>
        <v/>
      </c>
      <c r="G104" s="33" t="str">
        <f>IF(Results!H71="Complete",Results!F71,"")</f>
        <v/>
      </c>
      <c r="H104" s="33" t="str">
        <f>IF(Results!H71="Complete",Results!I71,"")</f>
        <v/>
      </c>
      <c r="I104" s="33"/>
      <c r="J104" s="33"/>
      <c r="K104" s="33"/>
      <c r="L104" s="33"/>
      <c r="M104" s="33"/>
      <c r="N104" s="33"/>
      <c r="O104" s="33"/>
      <c r="P104" s="33"/>
    </row>
    <row r="105" spans="1:16">
      <c r="A105" s="33" t="str">
        <f>IF(Results!H72="Complete",Results!A72,"")</f>
        <v/>
      </c>
      <c r="B105" s="33" t="str">
        <f>IF(Results!H72="Complete",Results!B72,"")</f>
        <v/>
      </c>
      <c r="C105" s="33" t="str">
        <f>IF(Results!H72="Complete",Results!C72,"")</f>
        <v/>
      </c>
      <c r="D105" s="33" t="str">
        <f>IF(Results!H72="Complete",Results!D72,"")</f>
        <v/>
      </c>
      <c r="E105" s="33" t="str">
        <f>IF(Results!H72="Complete",Results!E72,"")</f>
        <v/>
      </c>
      <c r="F105" s="33" t="str">
        <f>IF(Results!H72="Complete",Results!G72,"")</f>
        <v/>
      </c>
      <c r="G105" s="33" t="str">
        <f>IF(Results!H72="Complete",Results!F72,"")</f>
        <v/>
      </c>
      <c r="H105" s="33" t="str">
        <f>IF(Results!H72="Complete",Results!I72,"")</f>
        <v/>
      </c>
      <c r="I105" s="33"/>
      <c r="J105" s="33"/>
      <c r="K105" s="33"/>
      <c r="L105" s="33"/>
      <c r="M105" s="33"/>
      <c r="N105" s="33"/>
      <c r="O105" s="33"/>
      <c r="P105" s="33"/>
    </row>
    <row r="106" spans="1:16">
      <c r="A106" s="33" t="str">
        <f>IF(Results!H73="Complete",Results!A73,"")</f>
        <v/>
      </c>
      <c r="B106" s="33" t="str">
        <f>IF(Results!H73="Complete",Results!B73,"")</f>
        <v/>
      </c>
      <c r="C106" s="33" t="str">
        <f>IF(Results!H73="Complete",Results!C73,"")</f>
        <v/>
      </c>
      <c r="D106" s="33" t="str">
        <f>IF(Results!H73="Complete",Results!D73,"")</f>
        <v/>
      </c>
      <c r="E106" s="33" t="str">
        <f>IF(Results!H73="Complete",Results!E73,"")</f>
        <v/>
      </c>
      <c r="F106" s="33" t="str">
        <f>IF(Results!H73="Complete",Results!G73,"")</f>
        <v/>
      </c>
      <c r="G106" s="33" t="str">
        <f>IF(Results!H73="Complete",Results!F73,"")</f>
        <v/>
      </c>
      <c r="H106" s="33" t="str">
        <f>IF(Results!H73="Complete",Results!I73,"")</f>
        <v/>
      </c>
      <c r="I106" s="33"/>
      <c r="J106" s="33"/>
      <c r="K106" s="33"/>
      <c r="L106" s="33"/>
      <c r="M106" s="33"/>
      <c r="N106" s="33"/>
      <c r="O106" s="33"/>
      <c r="P106" s="33"/>
    </row>
    <row r="107" spans="1:16">
      <c r="A107" s="33" t="str">
        <f>IF(Results!H74="Complete",Results!A74,"")</f>
        <v/>
      </c>
      <c r="B107" s="33" t="str">
        <f>IF(Results!H74="Complete",Results!B74,"")</f>
        <v/>
      </c>
      <c r="C107" s="33" t="str">
        <f>IF(Results!H74="Complete",Results!C74,"")</f>
        <v/>
      </c>
      <c r="D107" s="33" t="str">
        <f>IF(Results!H74="Complete",Results!D74,"")</f>
        <v/>
      </c>
      <c r="E107" s="33" t="str">
        <f>IF(Results!H74="Complete",Results!E74,"")</f>
        <v/>
      </c>
      <c r="F107" s="33" t="str">
        <f>IF(Results!H74="Complete",Results!G74,"")</f>
        <v/>
      </c>
      <c r="G107" s="33" t="str">
        <f>IF(Results!H74="Complete",Results!F74,"")</f>
        <v/>
      </c>
      <c r="H107" s="33" t="str">
        <f>IF(Results!H74="Complete",Results!I74,"")</f>
        <v/>
      </c>
      <c r="I107" s="33"/>
      <c r="J107" s="33"/>
      <c r="K107" s="33"/>
      <c r="L107" s="33"/>
      <c r="M107" s="33"/>
      <c r="N107" s="33"/>
      <c r="O107" s="33"/>
      <c r="P107" s="33"/>
    </row>
    <row r="108" spans="1:16">
      <c r="A108" s="33" t="str">
        <f>IF(Results!H75="Complete",Results!A75,"")</f>
        <v/>
      </c>
      <c r="B108" s="33" t="str">
        <f>IF(Results!H75="Complete",Results!B75,"")</f>
        <v/>
      </c>
      <c r="C108" s="33" t="str">
        <f>IF(Results!H75="Complete",Results!C75,"")</f>
        <v/>
      </c>
      <c r="D108" s="33" t="str">
        <f>IF(Results!H75="Complete",Results!D75,"")</f>
        <v/>
      </c>
      <c r="E108" s="33" t="str">
        <f>IF(Results!H75="Complete",Results!E75,"")</f>
        <v/>
      </c>
      <c r="F108" s="33" t="str">
        <f>IF(Results!H75="Complete",Results!G75,"")</f>
        <v/>
      </c>
      <c r="G108" s="33" t="str">
        <f>IF(Results!H75="Complete",Results!F75,"")</f>
        <v/>
      </c>
      <c r="H108" s="33" t="str">
        <f>IF(Results!H75="Complete",Results!I75,"")</f>
        <v/>
      </c>
      <c r="I108" s="33"/>
      <c r="J108" s="33"/>
      <c r="K108" s="33"/>
      <c r="L108" s="33"/>
      <c r="M108" s="33"/>
      <c r="N108" s="33"/>
      <c r="O108" s="33"/>
      <c r="P108" s="33"/>
    </row>
    <row r="109" spans="1:16">
      <c r="A109" s="33" t="str">
        <f>IF(Results!H76="Complete",Results!A76,"")</f>
        <v/>
      </c>
      <c r="B109" s="33" t="str">
        <f>IF(Results!H76="Complete",Results!B76,"")</f>
        <v/>
      </c>
      <c r="C109" s="33" t="str">
        <f>IF(Results!H76="Complete",Results!C76,"")</f>
        <v/>
      </c>
      <c r="D109" s="33" t="str">
        <f>IF(Results!H76="Complete",Results!D76,"")</f>
        <v/>
      </c>
      <c r="E109" s="33" t="str">
        <f>IF(Results!H76="Complete",Results!E76,"")</f>
        <v/>
      </c>
      <c r="F109" s="33" t="str">
        <f>IF(Results!H76="Complete",Results!G76,"")</f>
        <v/>
      </c>
      <c r="G109" s="33" t="str">
        <f>IF(Results!H76="Complete",Results!F76,"")</f>
        <v/>
      </c>
      <c r="H109" s="33" t="str">
        <f>IF(Results!H76="Complete",Results!I76,"")</f>
        <v/>
      </c>
      <c r="I109" s="33"/>
      <c r="J109" s="33"/>
      <c r="K109" s="33"/>
      <c r="L109" s="33"/>
      <c r="M109" s="33"/>
      <c r="N109" s="33"/>
      <c r="O109" s="33"/>
      <c r="P109" s="33"/>
    </row>
    <row r="110" spans="1:16">
      <c r="A110" s="33" t="str">
        <f>IF(Results!H77="Complete",Results!A77,"")</f>
        <v/>
      </c>
      <c r="B110" s="33" t="str">
        <f>IF(Results!H77="Complete",Results!B77,"")</f>
        <v/>
      </c>
      <c r="C110" s="33" t="str">
        <f>IF(Results!H77="Complete",Results!C77,"")</f>
        <v/>
      </c>
      <c r="D110" s="33" t="str">
        <f>IF(Results!H77="Complete",Results!D77,"")</f>
        <v/>
      </c>
      <c r="E110" s="33" t="str">
        <f>IF(Results!H77="Complete",Results!E77,"")</f>
        <v/>
      </c>
      <c r="F110" s="33" t="str">
        <f>IF(Results!H77="Complete",Results!G77,"")</f>
        <v/>
      </c>
      <c r="G110" s="33" t="str">
        <f>IF(Results!H77="Complete",Results!F77,"")</f>
        <v/>
      </c>
      <c r="H110" s="33" t="str">
        <f>IF(Results!H77="Complete",Results!I77,"")</f>
        <v/>
      </c>
      <c r="I110" s="33"/>
      <c r="J110" s="33"/>
      <c r="K110" s="33"/>
      <c r="L110" s="33"/>
      <c r="M110" s="33"/>
      <c r="N110" s="33"/>
      <c r="O110" s="33"/>
      <c r="P110" s="33"/>
    </row>
    <row r="111" spans="1:16">
      <c r="A111" s="33" t="str">
        <f>IF(Results!H78="Complete",Results!A78,"")</f>
        <v/>
      </c>
      <c r="B111" s="33" t="str">
        <f>IF(Results!H78="Complete",Results!B78,"")</f>
        <v/>
      </c>
      <c r="C111" s="33" t="str">
        <f>IF(Results!H78="Complete",Results!C78,"")</f>
        <v/>
      </c>
      <c r="D111" s="33" t="str">
        <f>IF(Results!H78="Complete",Results!D78,"")</f>
        <v/>
      </c>
      <c r="E111" s="33" t="str">
        <f>IF(Results!H78="Complete",Results!E78,"")</f>
        <v/>
      </c>
      <c r="F111" s="33" t="str">
        <f>IF(Results!H78="Complete",Results!G78,"")</f>
        <v/>
      </c>
      <c r="G111" s="33" t="str">
        <f>IF(Results!H78="Complete",Results!F78,"")</f>
        <v/>
      </c>
      <c r="H111" s="33" t="str">
        <f>IF(Results!H78="Complete",Results!I78,"")</f>
        <v/>
      </c>
      <c r="I111" s="33"/>
      <c r="J111" s="33"/>
      <c r="K111" s="33"/>
      <c r="L111" s="33"/>
      <c r="M111" s="33"/>
      <c r="N111" s="33"/>
      <c r="O111" s="33"/>
      <c r="P111" s="33"/>
    </row>
    <row r="112" spans="1:16">
      <c r="A112" s="33" t="str">
        <f>IF(Results!H79="Complete",Results!A79,"")</f>
        <v/>
      </c>
      <c r="B112" s="33" t="str">
        <f>IF(Results!H79="Complete",Results!B79,"")</f>
        <v/>
      </c>
      <c r="C112" s="33" t="str">
        <f>IF(Results!H79="Complete",Results!C79,"")</f>
        <v/>
      </c>
      <c r="D112" s="33" t="str">
        <f>IF(Results!H79="Complete",Results!D79,"")</f>
        <v/>
      </c>
      <c r="E112" s="33" t="str">
        <f>IF(Results!H79="Complete",Results!E79,"")</f>
        <v/>
      </c>
      <c r="F112" s="33" t="str">
        <f>IF(Results!H79="Complete",Results!G79,"")</f>
        <v/>
      </c>
      <c r="G112" s="33" t="str">
        <f>IF(Results!H79="Complete",Results!F79,"")</f>
        <v/>
      </c>
      <c r="H112" s="33" t="str">
        <f>IF(Results!H79="Complete",Results!I79,"")</f>
        <v/>
      </c>
      <c r="I112" s="33"/>
      <c r="J112" s="33"/>
      <c r="K112" s="33"/>
      <c r="L112" s="33"/>
      <c r="M112" s="33"/>
      <c r="N112" s="33"/>
      <c r="O112" s="33"/>
      <c r="P112" s="33"/>
    </row>
    <row r="113" spans="1:16">
      <c r="A113" s="33" t="str">
        <f>IF(Results!H80="Complete",Results!A80,"")</f>
        <v/>
      </c>
      <c r="B113" s="33" t="str">
        <f>IF(Results!H80="Complete",Results!B80,"")</f>
        <v/>
      </c>
      <c r="C113" s="33" t="str">
        <f>IF(Results!H80="Complete",Results!C80,"")</f>
        <v/>
      </c>
      <c r="D113" s="33" t="str">
        <f>IF(Results!H80="Complete",Results!D80,"")</f>
        <v/>
      </c>
      <c r="E113" s="33" t="str">
        <f>IF(Results!H80="Complete",Results!E80,"")</f>
        <v/>
      </c>
      <c r="F113" s="33" t="str">
        <f>IF(Results!H80="Complete",Results!G80,"")</f>
        <v/>
      </c>
      <c r="G113" s="33" t="str">
        <f>IF(Results!H80="Complete",Results!F80,"")</f>
        <v/>
      </c>
      <c r="H113" s="33" t="str">
        <f>IF(Results!H80="Complete",Results!I80,"")</f>
        <v/>
      </c>
      <c r="I113" s="33"/>
      <c r="J113" s="33"/>
      <c r="K113" s="33"/>
      <c r="L113" s="33"/>
      <c r="M113" s="33"/>
      <c r="N113" s="33"/>
      <c r="O113" s="33"/>
      <c r="P113" s="33"/>
    </row>
    <row r="114" spans="1:16">
      <c r="A114" s="33" t="str">
        <f>IF(Results!H81="Complete",Results!A81,"")</f>
        <v/>
      </c>
      <c r="B114" s="33" t="str">
        <f>IF(Results!H81="Complete",Results!B81,"")</f>
        <v/>
      </c>
      <c r="C114" s="33" t="str">
        <f>IF(Results!H81="Complete",Results!C81,"")</f>
        <v/>
      </c>
      <c r="D114" s="33" t="str">
        <f>IF(Results!H81="Complete",Results!D81,"")</f>
        <v/>
      </c>
      <c r="E114" s="33" t="str">
        <f>IF(Results!H81="Complete",Results!E81,"")</f>
        <v/>
      </c>
      <c r="F114" s="33" t="str">
        <f>IF(Results!H81="Complete",Results!G81,"")</f>
        <v/>
      </c>
      <c r="G114" s="33" t="str">
        <f>IF(Results!H81="Complete",Results!F81,"")</f>
        <v/>
      </c>
      <c r="H114" s="33" t="str">
        <f>IF(Results!H81="Complete",Results!I81,"")</f>
        <v/>
      </c>
      <c r="I114" s="33"/>
      <c r="J114" s="33"/>
      <c r="K114" s="33"/>
      <c r="L114" s="33"/>
      <c r="M114" s="33"/>
      <c r="N114" s="33"/>
      <c r="O114" s="33"/>
      <c r="P114" s="33"/>
    </row>
    <row r="115" spans="1:16">
      <c r="A115" s="33" t="str">
        <f>IF(Results!H82="Complete",Results!A82,"")</f>
        <v/>
      </c>
      <c r="B115" s="33" t="str">
        <f>IF(Results!H82="Complete",Results!B82,"")</f>
        <v/>
      </c>
      <c r="C115" s="33" t="str">
        <f>IF(Results!H82="Complete",Results!C82,"")</f>
        <v/>
      </c>
      <c r="D115" s="33" t="str">
        <f>IF(Results!H82="Complete",Results!D82,"")</f>
        <v/>
      </c>
      <c r="E115" s="33" t="str">
        <f>IF(Results!H82="Complete",Results!E82,"")</f>
        <v/>
      </c>
      <c r="F115" s="33" t="str">
        <f>IF(Results!H82="Complete",Results!G82,"")</f>
        <v/>
      </c>
      <c r="G115" s="33" t="str">
        <f>IF(Results!H82="Complete",Results!F82,"")</f>
        <v/>
      </c>
      <c r="H115" s="33" t="str">
        <f>IF(Results!H82="Complete",Results!I82,"")</f>
        <v/>
      </c>
      <c r="I115" s="33"/>
      <c r="J115" s="33"/>
      <c r="K115" s="33"/>
      <c r="L115" s="33"/>
      <c r="M115" s="33"/>
      <c r="N115" s="33"/>
      <c r="O115" s="33"/>
      <c r="P115" s="33"/>
    </row>
    <row r="116" spans="1:16">
      <c r="A116" s="33" t="str">
        <f>IF(Results!H83="Complete",Results!A83,"")</f>
        <v/>
      </c>
      <c r="B116" s="33" t="str">
        <f>IF(Results!H83="Complete",Results!B83,"")</f>
        <v/>
      </c>
      <c r="C116" s="33" t="str">
        <f>IF(Results!H83="Complete",Results!C83,"")</f>
        <v/>
      </c>
      <c r="D116" s="33" t="str">
        <f>IF(Results!H83="Complete",Results!D83,"")</f>
        <v/>
      </c>
      <c r="E116" s="33" t="str">
        <f>IF(Results!H83="Complete",Results!E83,"")</f>
        <v/>
      </c>
      <c r="F116" s="33" t="str">
        <f>IF(Results!H83="Complete",Results!G83,"")</f>
        <v/>
      </c>
      <c r="G116" s="33" t="str">
        <f>IF(Results!H83="Complete",Results!F83,"")</f>
        <v/>
      </c>
      <c r="H116" s="33" t="str">
        <f>IF(Results!H83="Complete",Results!I83,"")</f>
        <v/>
      </c>
      <c r="I116" s="33"/>
      <c r="J116" s="33"/>
      <c r="K116" s="33"/>
      <c r="L116" s="33"/>
      <c r="M116" s="33"/>
      <c r="N116" s="33"/>
      <c r="O116" s="33"/>
      <c r="P116" s="33"/>
    </row>
    <row r="117" spans="1:16">
      <c r="A117" s="33" t="str">
        <f>IF(Results!H84="Complete",Results!A84,"")</f>
        <v/>
      </c>
      <c r="B117" s="33" t="str">
        <f>IF(Results!H84="Complete",Results!B84,"")</f>
        <v/>
      </c>
      <c r="C117" s="33" t="str">
        <f>IF(Results!H84="Complete",Results!C84,"")</f>
        <v/>
      </c>
      <c r="D117" s="33" t="str">
        <f>IF(Results!H84="Complete",Results!D84,"")</f>
        <v/>
      </c>
      <c r="E117" s="33" t="str">
        <f>IF(Results!H84="Complete",Results!E84,"")</f>
        <v/>
      </c>
      <c r="F117" s="33" t="str">
        <f>IF(Results!H84="Complete",Results!G84,"")</f>
        <v/>
      </c>
      <c r="G117" s="33" t="str">
        <f>IF(Results!H84="Complete",Results!F84,"")</f>
        <v/>
      </c>
      <c r="H117" s="33" t="str">
        <f>IF(Results!H84="Complete",Results!I84,"")</f>
        <v/>
      </c>
      <c r="I117" s="33"/>
      <c r="J117" s="33"/>
      <c r="K117" s="33"/>
      <c r="L117" s="33"/>
      <c r="M117" s="33"/>
      <c r="N117" s="33"/>
      <c r="O117" s="33"/>
      <c r="P117" s="33"/>
    </row>
    <row r="118" spans="1:16">
      <c r="A118" s="33" t="str">
        <f>IF(Results!H85="Complete",Results!A85,"")</f>
        <v/>
      </c>
      <c r="B118" s="33" t="str">
        <f>IF(Results!H85="Complete",Results!B85,"")</f>
        <v/>
      </c>
      <c r="C118" s="33" t="str">
        <f>IF(Results!H85="Complete",Results!C85,"")</f>
        <v/>
      </c>
      <c r="D118" s="33" t="str">
        <f>IF(Results!H85="Complete",Results!D85,"")</f>
        <v/>
      </c>
      <c r="E118" s="33" t="str">
        <f>IF(Results!H85="Complete",Results!E85,"")</f>
        <v/>
      </c>
      <c r="F118" s="33" t="str">
        <f>IF(Results!H85="Complete",Results!G85,"")</f>
        <v/>
      </c>
      <c r="G118" s="33" t="str">
        <f>IF(Results!H85="Complete",Results!F85,"")</f>
        <v/>
      </c>
      <c r="H118" s="33" t="str">
        <f>IF(Results!H85="Complete",Results!I85,"")</f>
        <v/>
      </c>
      <c r="I118" s="33"/>
      <c r="J118" s="33"/>
      <c r="K118" s="33"/>
      <c r="L118" s="33"/>
      <c r="M118" s="33"/>
      <c r="N118" s="33"/>
      <c r="O118" s="33"/>
      <c r="P118" s="33"/>
    </row>
    <row r="119" spans="1:16">
      <c r="A119" s="33" t="str">
        <f>IF(Results!H86="Complete",Results!A86,"")</f>
        <v/>
      </c>
      <c r="B119" s="33" t="str">
        <f>IF(Results!H86="Complete",Results!B86,"")</f>
        <v/>
      </c>
      <c r="C119" s="33" t="str">
        <f>IF(Results!H86="Complete",Results!C86,"")</f>
        <v/>
      </c>
      <c r="D119" s="33" t="str">
        <f>IF(Results!H86="Complete",Results!D86,"")</f>
        <v/>
      </c>
      <c r="E119" s="33" t="str">
        <f>IF(Results!H86="Complete",Results!E86,"")</f>
        <v/>
      </c>
      <c r="F119" s="33" t="str">
        <f>IF(Results!H86="Complete",Results!G86,"")</f>
        <v/>
      </c>
      <c r="G119" s="33" t="str">
        <f>IF(Results!H86="Complete",Results!F86,"")</f>
        <v/>
      </c>
      <c r="H119" s="33" t="str">
        <f>IF(Results!H86="Complete",Results!I86,"")</f>
        <v/>
      </c>
      <c r="I119" s="33"/>
      <c r="J119" s="33"/>
      <c r="K119" s="33"/>
      <c r="L119" s="33"/>
      <c r="M119" s="33"/>
      <c r="N119" s="33"/>
      <c r="O119" s="33"/>
      <c r="P119" s="33"/>
    </row>
    <row r="120" spans="1:16">
      <c r="A120" s="33" t="str">
        <f>IF(Results!H87="Complete",Results!A87,"")</f>
        <v/>
      </c>
      <c r="B120" s="33" t="str">
        <f>IF(Results!H87="Complete",Results!B87,"")</f>
        <v/>
      </c>
      <c r="C120" s="33" t="str">
        <f>IF(Results!H87="Complete",Results!C87,"")</f>
        <v/>
      </c>
      <c r="D120" s="33" t="str">
        <f>IF(Results!H87="Complete",Results!D87,"")</f>
        <v/>
      </c>
      <c r="E120" s="33" t="str">
        <f>IF(Results!H87="Complete",Results!E87,"")</f>
        <v/>
      </c>
      <c r="F120" s="33" t="str">
        <f>IF(Results!H87="Complete",Results!G87,"")</f>
        <v/>
      </c>
      <c r="G120" s="33" t="str">
        <f>IF(Results!H87="Complete",Results!F87,"")</f>
        <v/>
      </c>
      <c r="H120" s="33" t="str">
        <f>IF(Results!H87="Complete",Results!I87,"")</f>
        <v/>
      </c>
      <c r="I120" s="33"/>
      <c r="J120" s="33"/>
      <c r="K120" s="33"/>
      <c r="L120" s="33"/>
      <c r="M120" s="33"/>
      <c r="N120" s="33"/>
      <c r="O120" s="33"/>
      <c r="P120" s="33"/>
    </row>
    <row r="121" spans="1:16">
      <c r="A121" s="33" t="str">
        <f>IF(Results!H88="Complete",Results!A88,"")</f>
        <v/>
      </c>
      <c r="B121" s="33" t="str">
        <f>IF(Results!H88="Complete",Results!B88,"")</f>
        <v/>
      </c>
      <c r="C121" s="33" t="str">
        <f>IF(Results!H88="Complete",Results!C88,"")</f>
        <v/>
      </c>
      <c r="D121" s="33" t="str">
        <f>IF(Results!H88="Complete",Results!D88,"")</f>
        <v/>
      </c>
      <c r="E121" s="33" t="str">
        <f>IF(Results!H88="Complete",Results!E88,"")</f>
        <v/>
      </c>
      <c r="F121" s="33" t="str">
        <f>IF(Results!H88="Complete",Results!G88,"")</f>
        <v/>
      </c>
      <c r="G121" s="33" t="str">
        <f>IF(Results!H88="Complete",Results!F88,"")</f>
        <v/>
      </c>
      <c r="H121" s="33" t="str">
        <f>IF(Results!H88="Complete",Results!I88,"")</f>
        <v/>
      </c>
      <c r="I121" s="33"/>
      <c r="J121" s="33"/>
      <c r="K121" s="33"/>
      <c r="L121" s="33"/>
      <c r="M121" s="33"/>
      <c r="N121" s="33"/>
      <c r="O121" s="33"/>
      <c r="P121" s="33"/>
    </row>
    <row r="122" spans="1:16">
      <c r="A122" s="33" t="str">
        <f>IF(Results!H89="Complete",Results!A89,"")</f>
        <v/>
      </c>
      <c r="B122" s="33" t="str">
        <f>IF(Results!H89="Complete",Results!B89,"")</f>
        <v/>
      </c>
      <c r="C122" s="33" t="str">
        <f>IF(Results!H89="Complete",Results!C89,"")</f>
        <v/>
      </c>
      <c r="D122" s="33" t="str">
        <f>IF(Results!H89="Complete",Results!D89,"")</f>
        <v/>
      </c>
      <c r="E122" s="33" t="str">
        <f>IF(Results!H89="Complete",Results!E89,"")</f>
        <v/>
      </c>
      <c r="F122" s="33" t="str">
        <f>IF(Results!H89="Complete",Results!G89,"")</f>
        <v/>
      </c>
      <c r="G122" s="33" t="str">
        <f>IF(Results!H89="Complete",Results!F89,"")</f>
        <v/>
      </c>
      <c r="H122" s="33" t="str">
        <f>IF(Results!H89="Complete",Results!I89,"")</f>
        <v/>
      </c>
      <c r="I122" s="33"/>
      <c r="J122" s="33"/>
      <c r="K122" s="33"/>
      <c r="L122" s="33"/>
      <c r="M122" s="33"/>
      <c r="N122" s="33"/>
      <c r="O122" s="33"/>
      <c r="P122" s="33"/>
    </row>
    <row r="123" spans="1:16">
      <c r="A123" s="33" t="str">
        <f>IF(Results!H90="Complete",Results!A90,"")</f>
        <v/>
      </c>
      <c r="B123" s="33" t="str">
        <f>IF(Results!H90="Complete",Results!B90,"")</f>
        <v/>
      </c>
      <c r="C123" s="33" t="str">
        <f>IF(Results!H90="Complete",Results!C90,"")</f>
        <v/>
      </c>
      <c r="D123" s="33" t="str">
        <f>IF(Results!H90="Complete",Results!D90,"")</f>
        <v/>
      </c>
      <c r="E123" s="33" t="str">
        <f>IF(Results!H90="Complete",Results!E90,"")</f>
        <v/>
      </c>
      <c r="F123" s="33" t="str">
        <f>IF(Results!H90="Complete",Results!G90,"")</f>
        <v/>
      </c>
      <c r="G123" s="33" t="str">
        <f>IF(Results!H90="Complete",Results!F90,"")</f>
        <v/>
      </c>
      <c r="H123" s="33" t="str">
        <f>IF(Results!H90="Complete",Results!I90,"")</f>
        <v/>
      </c>
      <c r="I123" s="33"/>
      <c r="J123" s="33"/>
      <c r="K123" s="33"/>
      <c r="L123" s="33"/>
      <c r="M123" s="33"/>
      <c r="N123" s="33"/>
      <c r="O123" s="33"/>
      <c r="P123" s="33"/>
    </row>
    <row r="124" spans="1:16">
      <c r="A124" s="33" t="str">
        <f>IF(Results!H91="Complete",Results!A91,"")</f>
        <v/>
      </c>
      <c r="B124" s="33" t="str">
        <f>IF(Results!H91="Complete",Results!B91,"")</f>
        <v/>
      </c>
      <c r="C124" s="33" t="str">
        <f>IF(Results!H91="Complete",Results!C91,"")</f>
        <v/>
      </c>
      <c r="D124" s="33" t="str">
        <f>IF(Results!H91="Complete",Results!D91,"")</f>
        <v/>
      </c>
      <c r="E124" s="33" t="str">
        <f>IF(Results!H91="Complete",Results!E91,"")</f>
        <v/>
      </c>
      <c r="F124" s="33" t="str">
        <f>IF(Results!H91="Complete",Results!G91,"")</f>
        <v/>
      </c>
      <c r="G124" s="33" t="str">
        <f>IF(Results!H91="Complete",Results!F91,"")</f>
        <v/>
      </c>
      <c r="H124" s="33" t="str">
        <f>IF(Results!H91="Complete",Results!I91,"")</f>
        <v/>
      </c>
      <c r="I124" s="33"/>
      <c r="J124" s="33"/>
      <c r="K124" s="33"/>
      <c r="L124" s="33"/>
      <c r="M124" s="33"/>
      <c r="N124" s="33"/>
      <c r="O124" s="33"/>
      <c r="P124" s="33"/>
    </row>
    <row r="125" spans="1:16">
      <c r="A125" s="33" t="str">
        <f>IF(Results!H92="Complete",Results!A92,"")</f>
        <v/>
      </c>
      <c r="B125" s="33" t="str">
        <f>IF(Results!H92="Complete",Results!B92,"")</f>
        <v/>
      </c>
      <c r="C125" s="33" t="str">
        <f>IF(Results!H92="Complete",Results!C92,"")</f>
        <v/>
      </c>
      <c r="D125" s="33" t="str">
        <f>IF(Results!H92="Complete",Results!D92,"")</f>
        <v/>
      </c>
      <c r="E125" s="33" t="str">
        <f>IF(Results!H92="Complete",Results!E92,"")</f>
        <v/>
      </c>
      <c r="F125" s="33" t="str">
        <f>IF(Results!H92="Complete",Results!G92,"")</f>
        <v/>
      </c>
      <c r="G125" s="33" t="str">
        <f>IF(Results!H92="Complete",Results!F92,"")</f>
        <v/>
      </c>
      <c r="H125" s="33" t="str">
        <f>IF(Results!H92="Complete",Results!I92,"")</f>
        <v/>
      </c>
      <c r="I125" s="33"/>
      <c r="J125" s="33"/>
      <c r="K125" s="33"/>
      <c r="L125" s="33"/>
      <c r="M125" s="33"/>
      <c r="N125" s="33"/>
      <c r="O125" s="33"/>
      <c r="P125" s="33"/>
    </row>
    <row r="126" spans="1:16">
      <c r="A126" s="33" t="str">
        <f>IF(Results!H93="Complete",Results!A93,"")</f>
        <v/>
      </c>
      <c r="B126" s="33" t="str">
        <f>IF(Results!H93="Complete",Results!B93,"")</f>
        <v/>
      </c>
      <c r="C126" s="33" t="str">
        <f>IF(Results!H93="Complete",Results!C93,"")</f>
        <v/>
      </c>
      <c r="D126" s="33" t="str">
        <f>IF(Results!H93="Complete",Results!D93,"")</f>
        <v/>
      </c>
      <c r="E126" s="33" t="str">
        <f>IF(Results!H93="Complete",Results!E93,"")</f>
        <v/>
      </c>
      <c r="F126" s="33" t="str">
        <f>IF(Results!H93="Complete",Results!G93,"")</f>
        <v/>
      </c>
      <c r="G126" s="33" t="str">
        <f>IF(Results!H93="Complete",Results!F93,"")</f>
        <v/>
      </c>
      <c r="H126" s="33" t="str">
        <f>IF(Results!H93="Complete",Results!I93,"")</f>
        <v/>
      </c>
      <c r="I126" s="33"/>
      <c r="J126" s="33"/>
      <c r="K126" s="33"/>
      <c r="L126" s="33"/>
      <c r="M126" s="33"/>
      <c r="N126" s="33"/>
      <c r="O126" s="33"/>
      <c r="P126" s="33"/>
    </row>
    <row r="127" spans="1:16">
      <c r="A127" s="33" t="str">
        <f>IF(Results!H94="Complete",Results!A94,"")</f>
        <v/>
      </c>
      <c r="B127" s="33" t="str">
        <f>IF(Results!H94="Complete",Results!B94,"")</f>
        <v/>
      </c>
      <c r="C127" s="33" t="str">
        <f>IF(Results!H94="Complete",Results!C94,"")</f>
        <v/>
      </c>
      <c r="D127" s="33" t="str">
        <f>IF(Results!H94="Complete",Results!D94,"")</f>
        <v/>
      </c>
      <c r="E127" s="33" t="str">
        <f>IF(Results!H94="Complete",Results!E94,"")</f>
        <v/>
      </c>
      <c r="F127" s="33" t="str">
        <f>IF(Results!H94="Complete",Results!G94,"")</f>
        <v/>
      </c>
      <c r="G127" s="33" t="str">
        <f>IF(Results!H94="Complete",Results!F94,"")</f>
        <v/>
      </c>
      <c r="H127" s="33" t="str">
        <f>IF(Results!H94="Complete",Results!I94,"")</f>
        <v/>
      </c>
      <c r="I127" s="33"/>
      <c r="J127" s="33"/>
      <c r="K127" s="33"/>
      <c r="L127" s="33"/>
      <c r="M127" s="33"/>
      <c r="N127" s="33"/>
      <c r="O127" s="33"/>
      <c r="P127" s="33"/>
    </row>
    <row r="128" spans="1:16">
      <c r="A128" s="33" t="str">
        <f>IF(Results!H95="Complete",Results!A95,"")</f>
        <v/>
      </c>
      <c r="B128" s="33" t="str">
        <f>IF(Results!H95="Complete",Results!B95,"")</f>
        <v/>
      </c>
      <c r="C128" s="33" t="str">
        <f>IF(Results!H95="Complete",Results!C95,"")</f>
        <v/>
      </c>
      <c r="D128" s="33" t="str">
        <f>IF(Results!H95="Complete",Results!D95,"")</f>
        <v/>
      </c>
      <c r="E128" s="33" t="str">
        <f>IF(Results!H95="Complete",Results!E95,"")</f>
        <v/>
      </c>
      <c r="F128" s="33" t="str">
        <f>IF(Results!H95="Complete",Results!G95,"")</f>
        <v/>
      </c>
      <c r="G128" s="33" t="str">
        <f>IF(Results!H95="Complete",Results!F95,"")</f>
        <v/>
      </c>
      <c r="H128" s="33" t="str">
        <f>IF(Results!H95="Complete",Results!I95,"")</f>
        <v/>
      </c>
      <c r="I128" s="33"/>
      <c r="J128" s="33"/>
      <c r="K128" s="33"/>
      <c r="L128" s="33"/>
      <c r="M128" s="33"/>
      <c r="N128" s="33"/>
      <c r="O128" s="33"/>
      <c r="P128" s="33"/>
    </row>
    <row r="129" spans="1:16">
      <c r="A129" s="33" t="str">
        <f>IF(Results!H96="Complete",Results!A96,"")</f>
        <v/>
      </c>
      <c r="B129" s="33" t="str">
        <f>IF(Results!H96="Complete",Results!B96,"")</f>
        <v/>
      </c>
      <c r="C129" s="33" t="str">
        <f>IF(Results!H96="Complete",Results!C96,"")</f>
        <v/>
      </c>
      <c r="D129" s="33" t="str">
        <f>IF(Results!H96="Complete",Results!D96,"")</f>
        <v/>
      </c>
      <c r="E129" s="33" t="str">
        <f>IF(Results!H96="Complete",Results!E96,"")</f>
        <v/>
      </c>
      <c r="F129" s="33" t="str">
        <f>IF(Results!H96="Complete",Results!G96,"")</f>
        <v/>
      </c>
      <c r="G129" s="33" t="str">
        <f>IF(Results!H96="Complete",Results!F96,"")</f>
        <v/>
      </c>
      <c r="H129" s="33" t="str">
        <f>IF(Results!H96="Complete",Results!I96,"")</f>
        <v/>
      </c>
      <c r="I129" s="33"/>
      <c r="J129" s="33"/>
      <c r="K129" s="33"/>
      <c r="L129" s="33"/>
      <c r="M129" s="33"/>
      <c r="N129" s="33"/>
      <c r="O129" s="33"/>
      <c r="P129" s="33"/>
    </row>
    <row r="130" spans="1:16">
      <c r="A130" s="33" t="str">
        <f>IF(Results!H97="Complete",Results!A97,"")</f>
        <v/>
      </c>
      <c r="B130" s="33" t="str">
        <f>IF(Results!H97="Complete",Results!B97,"")</f>
        <v/>
      </c>
      <c r="C130" s="33" t="str">
        <f>IF(Results!H97="Complete",Results!C97,"")</f>
        <v/>
      </c>
      <c r="D130" s="33" t="str">
        <f>IF(Results!H97="Complete",Results!D97,"")</f>
        <v/>
      </c>
      <c r="E130" s="33" t="str">
        <f>IF(Results!H97="Complete",Results!E97,"")</f>
        <v/>
      </c>
      <c r="F130" s="33" t="str">
        <f>IF(Results!H97="Complete",Results!G97,"")</f>
        <v/>
      </c>
      <c r="G130" s="33" t="str">
        <f>IF(Results!H97="Complete",Results!F97,"")</f>
        <v/>
      </c>
      <c r="H130" s="33" t="str">
        <f>IF(Results!H97="Complete",Results!I97,"")</f>
        <v/>
      </c>
      <c r="I130" s="33"/>
      <c r="J130" s="33"/>
      <c r="K130" s="33"/>
      <c r="L130" s="33"/>
      <c r="M130" s="33"/>
      <c r="N130" s="33"/>
      <c r="O130" s="33"/>
      <c r="P130" s="33"/>
    </row>
    <row r="131" spans="1:16">
      <c r="A131" s="33" t="str">
        <f>IF(Results!H98="Complete",Results!A98,"")</f>
        <v/>
      </c>
      <c r="B131" s="33" t="str">
        <f>IF(Results!H98="Complete",Results!B98,"")</f>
        <v/>
      </c>
      <c r="C131" s="33" t="str">
        <f>IF(Results!H98="Complete",Results!C98,"")</f>
        <v/>
      </c>
      <c r="D131" s="33" t="str">
        <f>IF(Results!H98="Complete",Results!D98,"")</f>
        <v/>
      </c>
      <c r="E131" s="33" t="str">
        <f>IF(Results!H98="Complete",Results!E98,"")</f>
        <v/>
      </c>
      <c r="F131" s="33" t="str">
        <f>IF(Results!H98="Complete",Results!G98,"")</f>
        <v/>
      </c>
      <c r="G131" s="33" t="str">
        <f>IF(Results!H98="Complete",Results!F98,"")</f>
        <v/>
      </c>
      <c r="H131" s="33" t="str">
        <f>IF(Results!H98="Complete",Results!I98,"")</f>
        <v/>
      </c>
      <c r="I131" s="33"/>
      <c r="J131" s="33"/>
      <c r="K131" s="33"/>
      <c r="L131" s="33"/>
      <c r="M131" s="33"/>
      <c r="N131" s="33"/>
      <c r="O131" s="33"/>
      <c r="P131" s="33"/>
    </row>
    <row r="132" spans="1:16">
      <c r="A132" s="33" t="str">
        <f>IF(Results!H99="Complete",Results!A99,"")</f>
        <v/>
      </c>
      <c r="B132" s="33" t="str">
        <f>IF(Results!H99="Complete",Results!B99,"")</f>
        <v/>
      </c>
      <c r="C132" s="33" t="str">
        <f>IF(Results!H99="Complete",Results!C99,"")</f>
        <v/>
      </c>
      <c r="D132" s="33" t="str">
        <f>IF(Results!H99="Complete",Results!D99,"")</f>
        <v/>
      </c>
      <c r="E132" s="33" t="str">
        <f>IF(Results!H99="Complete",Results!E99,"")</f>
        <v/>
      </c>
      <c r="F132" s="33" t="str">
        <f>IF(Results!H99="Complete",Results!G99,"")</f>
        <v/>
      </c>
      <c r="G132" s="33" t="str">
        <f>IF(Results!H99="Complete",Results!F99,"")</f>
        <v/>
      </c>
      <c r="H132" s="33" t="str">
        <f>IF(Results!H99="Complete",Results!I99,"")</f>
        <v/>
      </c>
      <c r="I132" s="33"/>
      <c r="J132" s="33"/>
      <c r="K132" s="33"/>
      <c r="L132" s="33"/>
      <c r="M132" s="33"/>
      <c r="N132" s="33"/>
      <c r="O132" s="33"/>
      <c r="P132" s="33"/>
    </row>
    <row r="133" spans="1:16">
      <c r="A133" s="33" t="str">
        <f>IF(Results!H100="Complete",Results!A100,"")</f>
        <v/>
      </c>
      <c r="B133" s="33" t="str">
        <f>IF(Results!H100="Complete",Results!B100,"")</f>
        <v/>
      </c>
      <c r="C133" s="33" t="str">
        <f>IF(Results!H100="Complete",Results!C100,"")</f>
        <v/>
      </c>
      <c r="D133" s="33" t="str">
        <f>IF(Results!H100="Complete",Results!D100,"")</f>
        <v/>
      </c>
      <c r="E133" s="33" t="str">
        <f>IF(Results!H100="Complete",Results!E100,"")</f>
        <v/>
      </c>
      <c r="F133" s="33" t="str">
        <f>IF(Results!H100="Complete",Results!G100,"")</f>
        <v/>
      </c>
      <c r="G133" s="33" t="str">
        <f>IF(Results!H100="Complete",Results!F100,"")</f>
        <v/>
      </c>
      <c r="H133" s="33" t="str">
        <f>IF(Results!H100="Complete",Results!I100,"")</f>
        <v/>
      </c>
      <c r="I133" s="33"/>
      <c r="J133" s="33"/>
      <c r="K133" s="33"/>
      <c r="L133" s="33"/>
      <c r="M133" s="33"/>
      <c r="N133" s="33"/>
      <c r="O133" s="33"/>
      <c r="P133" s="33"/>
    </row>
    <row r="134" spans="1:16">
      <c r="A134" s="33" t="str">
        <f>IF(Results!H101="Complete",Results!A101,"")</f>
        <v/>
      </c>
      <c r="B134" s="33" t="str">
        <f>IF(Results!H101="Complete",Results!B101,"")</f>
        <v/>
      </c>
      <c r="C134" s="33" t="str">
        <f>IF(Results!H101="Complete",Results!C101,"")</f>
        <v/>
      </c>
      <c r="D134" s="33" t="str">
        <f>IF(Results!H101="Complete",Results!D101,"")</f>
        <v/>
      </c>
      <c r="E134" s="33" t="str">
        <f>IF(Results!H101="Complete",Results!E101,"")</f>
        <v/>
      </c>
      <c r="F134" s="33" t="str">
        <f>IF(Results!H101="Complete",Results!G101,"")</f>
        <v/>
      </c>
      <c r="G134" s="33" t="str">
        <f>IF(Results!H101="Complete",Results!F101,"")</f>
        <v/>
      </c>
      <c r="H134" s="33" t="str">
        <f>IF(Results!H101="Complete",Results!I101,"")</f>
        <v/>
      </c>
      <c r="I134" s="33"/>
      <c r="J134" s="33"/>
      <c r="K134" s="33"/>
      <c r="L134" s="33"/>
      <c r="M134" s="33"/>
      <c r="N134" s="33"/>
      <c r="O134" s="33"/>
      <c r="P134" s="33"/>
    </row>
    <row r="135" spans="1:16">
      <c r="A135" s="33" t="str">
        <f>IF(Results!H102="Complete",Results!A102,"")</f>
        <v/>
      </c>
      <c r="B135" s="33" t="str">
        <f>IF(Results!H102="Complete",Results!B102,"")</f>
        <v/>
      </c>
      <c r="C135" s="33" t="str">
        <f>IF(Results!H102="Complete",Results!C102,"")</f>
        <v/>
      </c>
      <c r="D135" s="33" t="str">
        <f>IF(Results!H102="Complete",Results!D102,"")</f>
        <v/>
      </c>
      <c r="E135" s="33" t="str">
        <f>IF(Results!H102="Complete",Results!E102,"")</f>
        <v/>
      </c>
      <c r="F135" s="33" t="str">
        <f>IF(Results!H102="Complete",Results!G102,"")</f>
        <v/>
      </c>
      <c r="G135" s="33" t="str">
        <f>IF(Results!H102="Complete",Results!F102,"")</f>
        <v/>
      </c>
      <c r="H135" s="33" t="str">
        <f>IF(Results!H102="Complete",Results!I102,"")</f>
        <v/>
      </c>
      <c r="I135" s="33"/>
      <c r="J135" s="33"/>
      <c r="K135" s="33"/>
      <c r="L135" s="33"/>
      <c r="M135" s="33"/>
      <c r="N135" s="33"/>
      <c r="O135" s="33"/>
      <c r="P135" s="33"/>
    </row>
    <row r="136" spans="1:16">
      <c r="A136" s="33" t="str">
        <f>IF(Results!H103="Complete",Results!A103,"")</f>
        <v/>
      </c>
      <c r="B136" s="33" t="str">
        <f>IF(Results!H103="Complete",Results!B103,"")</f>
        <v/>
      </c>
      <c r="C136" s="33" t="str">
        <f>IF(Results!H103="Complete",Results!C103,"")</f>
        <v/>
      </c>
      <c r="D136" s="33" t="str">
        <f>IF(Results!H103="Complete",Results!D103,"")</f>
        <v/>
      </c>
      <c r="E136" s="33" t="str">
        <f>IF(Results!H103="Complete",Results!E103,"")</f>
        <v/>
      </c>
      <c r="F136" s="33" t="str">
        <f>IF(Results!H103="Complete",Results!G103,"")</f>
        <v/>
      </c>
      <c r="G136" s="33" t="str">
        <f>IF(Results!H103="Complete",Results!F103,"")</f>
        <v/>
      </c>
      <c r="H136" s="33" t="str">
        <f>IF(Results!H103="Complete",Results!I103,"")</f>
        <v/>
      </c>
      <c r="I136" s="33"/>
      <c r="J136" s="33"/>
      <c r="K136" s="33"/>
      <c r="L136" s="33"/>
      <c r="M136" s="33"/>
      <c r="N136" s="33"/>
      <c r="O136" s="33"/>
      <c r="P136" s="33"/>
    </row>
    <row r="137" spans="1:16">
      <c r="A137" s="33" t="str">
        <f>IF(Results!H104="Complete",Results!A104,"")</f>
        <v/>
      </c>
      <c r="B137" s="33" t="str">
        <f>IF(Results!H104="Complete",Results!B104,"")</f>
        <v/>
      </c>
      <c r="C137" s="33" t="str">
        <f>IF(Results!H104="Complete",Results!C104,"")</f>
        <v/>
      </c>
      <c r="D137" s="33" t="str">
        <f>IF(Results!H104="Complete",Results!D104,"")</f>
        <v/>
      </c>
      <c r="E137" s="33" t="str">
        <f>IF(Results!H104="Complete",Results!E104,"")</f>
        <v/>
      </c>
      <c r="F137" s="33" t="str">
        <f>IF(Results!H104="Complete",Results!G104,"")</f>
        <v/>
      </c>
      <c r="G137" s="33" t="str">
        <f>IF(Results!H104="Complete",Results!F104,"")</f>
        <v/>
      </c>
      <c r="H137" s="33" t="str">
        <f>IF(Results!H104="Complete",Results!I104,"")</f>
        <v/>
      </c>
      <c r="I137" s="33"/>
      <c r="J137" s="33"/>
      <c r="K137" s="33"/>
      <c r="L137" s="33"/>
      <c r="M137" s="33"/>
      <c r="N137" s="33"/>
      <c r="O137" s="33"/>
      <c r="P137" s="33"/>
    </row>
    <row r="138" spans="1:16">
      <c r="A138" s="33" t="str">
        <f>IF(Results!H105="Complete",Results!A105,"")</f>
        <v/>
      </c>
      <c r="B138" s="33" t="str">
        <f>IF(Results!H105="Complete",Results!B105,"")</f>
        <v/>
      </c>
      <c r="C138" s="33" t="str">
        <f>IF(Results!H105="Complete",Results!C105,"")</f>
        <v/>
      </c>
      <c r="D138" s="33" t="str">
        <f>IF(Results!H105="Complete",Results!D105,"")</f>
        <v/>
      </c>
      <c r="E138" s="33" t="str">
        <f>IF(Results!H105="Complete",Results!E105,"")</f>
        <v/>
      </c>
      <c r="F138" s="33" t="str">
        <f>IF(Results!H105="Complete",Results!G105,"")</f>
        <v/>
      </c>
      <c r="G138" s="33" t="str">
        <f>IF(Results!H105="Complete",Results!F105,"")</f>
        <v/>
      </c>
      <c r="H138" s="33" t="str">
        <f>IF(Results!H105="Complete",Results!I105,"")</f>
        <v/>
      </c>
      <c r="I138" s="33"/>
      <c r="J138" s="33"/>
      <c r="K138" s="33"/>
      <c r="L138" s="33"/>
      <c r="M138" s="33"/>
      <c r="N138" s="33"/>
      <c r="O138" s="33"/>
      <c r="P138" s="33"/>
    </row>
    <row r="139" spans="1:16">
      <c r="A139" s="33" t="str">
        <f>IF(Results!H106="Complete",Results!A106,"")</f>
        <v/>
      </c>
      <c r="B139" s="33" t="str">
        <f>IF(Results!H106="Complete",Results!B106,"")</f>
        <v/>
      </c>
      <c r="C139" s="33" t="str">
        <f>IF(Results!H106="Complete",Results!C106,"")</f>
        <v/>
      </c>
      <c r="D139" s="33" t="str">
        <f>IF(Results!H106="Complete",Results!D106,"")</f>
        <v/>
      </c>
      <c r="E139" s="33" t="str">
        <f>IF(Results!H106="Complete",Results!E106,"")</f>
        <v/>
      </c>
      <c r="F139" s="33" t="str">
        <f>IF(Results!H106="Complete",Results!G106,"")</f>
        <v/>
      </c>
      <c r="G139" s="33" t="str">
        <f>IF(Results!H106="Complete",Results!F106,"")</f>
        <v/>
      </c>
      <c r="H139" s="33" t="str">
        <f>IF(Results!H106="Complete",Results!I106,"")</f>
        <v/>
      </c>
      <c r="I139" s="33"/>
      <c r="J139" s="33"/>
      <c r="K139" s="33"/>
      <c r="L139" s="33"/>
      <c r="M139" s="33"/>
      <c r="N139" s="33"/>
      <c r="O139" s="33"/>
      <c r="P139" s="33"/>
    </row>
    <row r="140" spans="1:16">
      <c r="A140" s="33" t="str">
        <f>IF(Results!H107="Complete",Results!A107,"")</f>
        <v/>
      </c>
      <c r="B140" s="33" t="str">
        <f>IF(Results!H107="Complete",Results!B107,"")</f>
        <v/>
      </c>
      <c r="C140" s="33" t="str">
        <f>IF(Results!H107="Complete",Results!C107,"")</f>
        <v/>
      </c>
      <c r="D140" s="33" t="str">
        <f>IF(Results!H107="Complete",Results!D107,"")</f>
        <v/>
      </c>
      <c r="E140" s="33" t="str">
        <f>IF(Results!H107="Complete",Results!E107,"")</f>
        <v/>
      </c>
      <c r="F140" s="33" t="str">
        <f>IF(Results!H107="Complete",Results!G107,"")</f>
        <v/>
      </c>
      <c r="G140" s="33" t="str">
        <f>IF(Results!H107="Complete",Results!F107,"")</f>
        <v/>
      </c>
      <c r="H140" s="33" t="str">
        <f>IF(Results!H107="Complete",Results!I107,"")</f>
        <v/>
      </c>
      <c r="I140" s="33"/>
      <c r="J140" s="33"/>
      <c r="K140" s="33"/>
      <c r="L140" s="33"/>
      <c r="M140" s="33"/>
      <c r="N140" s="33"/>
      <c r="O140" s="33"/>
      <c r="P140" s="33"/>
    </row>
    <row r="141" spans="1:16">
      <c r="A141" s="33" t="str">
        <f>IF(Results!H108="Complete",Results!A108,"")</f>
        <v/>
      </c>
      <c r="B141" s="33" t="str">
        <f>IF(Results!H108="Complete",Results!B108,"")</f>
        <v/>
      </c>
      <c r="C141" s="33" t="str">
        <f>IF(Results!H108="Complete",Results!C108,"")</f>
        <v/>
      </c>
      <c r="D141" s="33" t="str">
        <f>IF(Results!H108="Complete",Results!D108,"")</f>
        <v/>
      </c>
      <c r="E141" s="33" t="str">
        <f>IF(Results!H108="Complete",Results!E108,"")</f>
        <v/>
      </c>
      <c r="F141" s="33" t="str">
        <f>IF(Results!H108="Complete",Results!G108,"")</f>
        <v/>
      </c>
      <c r="G141" s="33" t="str">
        <f>IF(Results!H108="Complete",Results!F108,"")</f>
        <v/>
      </c>
      <c r="H141" s="33" t="str">
        <f>IF(Results!H108="Complete",Results!I108,"")</f>
        <v/>
      </c>
      <c r="I141" s="33"/>
      <c r="J141" s="33"/>
      <c r="K141" s="33"/>
      <c r="L141" s="33"/>
      <c r="M141" s="33"/>
      <c r="N141" s="33"/>
      <c r="O141" s="33"/>
      <c r="P141" s="33"/>
    </row>
    <row r="142" spans="1:16">
      <c r="A142" s="33" t="str">
        <f>IF(Results!H109="Complete",Results!A109,"")</f>
        <v/>
      </c>
      <c r="B142" s="33" t="str">
        <f>IF(Results!H109="Complete",Results!B109,"")</f>
        <v/>
      </c>
      <c r="C142" s="33" t="str">
        <f>IF(Results!H109="Complete",Results!C109,"")</f>
        <v/>
      </c>
      <c r="D142" s="33" t="str">
        <f>IF(Results!H109="Complete",Results!D109,"")</f>
        <v/>
      </c>
      <c r="E142" s="33" t="str">
        <f>IF(Results!H109="Complete",Results!E109,"")</f>
        <v/>
      </c>
      <c r="F142" s="33" t="str">
        <f>IF(Results!H109="Complete",Results!G109,"")</f>
        <v/>
      </c>
      <c r="G142" s="33" t="str">
        <f>IF(Results!H109="Complete",Results!F109,"")</f>
        <v/>
      </c>
      <c r="H142" s="33" t="str">
        <f>IF(Results!H109="Complete",Results!I109,"")</f>
        <v/>
      </c>
      <c r="I142" s="33"/>
      <c r="J142" s="33"/>
      <c r="K142" s="33"/>
      <c r="L142" s="33"/>
      <c r="M142" s="33"/>
      <c r="N142" s="33"/>
      <c r="O142" s="33"/>
      <c r="P142" s="33"/>
    </row>
    <row r="143" spans="1:16">
      <c r="A143" s="33" t="str">
        <f>IF(Results!H110="Complete",Results!A110,"")</f>
        <v/>
      </c>
      <c r="B143" s="33" t="str">
        <f>IF(Results!H110="Complete",Results!B110,"")</f>
        <v/>
      </c>
      <c r="C143" s="33" t="str">
        <f>IF(Results!H110="Complete",Results!C110,"")</f>
        <v/>
      </c>
      <c r="D143" s="33" t="str">
        <f>IF(Results!H110="Complete",Results!D110,"")</f>
        <v/>
      </c>
      <c r="E143" s="33" t="str">
        <f>IF(Results!H110="Complete",Results!E110,"")</f>
        <v/>
      </c>
      <c r="F143" s="33" t="str">
        <f>IF(Results!H110="Complete",Results!G110,"")</f>
        <v/>
      </c>
      <c r="G143" s="33" t="str">
        <f>IF(Results!H110="Complete",Results!F110,"")</f>
        <v/>
      </c>
      <c r="H143" s="33" t="str">
        <f>IF(Results!H110="Complete",Results!I110,"")</f>
        <v/>
      </c>
      <c r="I143" s="33"/>
      <c r="J143" s="33"/>
      <c r="K143" s="33"/>
      <c r="L143" s="33"/>
      <c r="M143" s="33"/>
      <c r="N143" s="33"/>
      <c r="O143" s="33"/>
      <c r="P143" s="33"/>
    </row>
    <row r="144" spans="1:16">
      <c r="A144" s="33" t="str">
        <f>IF(Results!H111="Complete",Results!A111,"")</f>
        <v/>
      </c>
      <c r="B144" s="33" t="str">
        <f>IF(Results!H111="Complete",Results!B111,"")</f>
        <v/>
      </c>
      <c r="C144" s="33" t="str">
        <f>IF(Results!H111="Complete",Results!C111,"")</f>
        <v/>
      </c>
      <c r="D144" s="33" t="str">
        <f>IF(Results!H111="Complete",Results!D111,"")</f>
        <v/>
      </c>
      <c r="E144" s="33" t="str">
        <f>IF(Results!H111="Complete",Results!E111,"")</f>
        <v/>
      </c>
      <c r="F144" s="33" t="str">
        <f>IF(Results!H111="Complete",Results!G111,"")</f>
        <v/>
      </c>
      <c r="G144" s="33" t="str">
        <f>IF(Results!H111="Complete",Results!F111,"")</f>
        <v/>
      </c>
      <c r="H144" s="33" t="str">
        <f>IF(Results!H111="Complete",Results!I111,"")</f>
        <v/>
      </c>
      <c r="I144" s="33"/>
      <c r="J144" s="33"/>
      <c r="K144" s="33"/>
      <c r="L144" s="33"/>
      <c r="M144" s="33"/>
      <c r="N144" s="33"/>
      <c r="O144" s="33"/>
      <c r="P144" s="33"/>
    </row>
    <row r="145" spans="1:16">
      <c r="A145" s="33" t="str">
        <f>IF(Results!H112="Complete",Results!A112,"")</f>
        <v/>
      </c>
      <c r="B145" s="33" t="str">
        <f>IF(Results!H112="Complete",Results!B112,"")</f>
        <v/>
      </c>
      <c r="C145" s="33" t="str">
        <f>IF(Results!H112="Complete",Results!C112,"")</f>
        <v/>
      </c>
      <c r="D145" s="33" t="str">
        <f>IF(Results!H112="Complete",Results!D112,"")</f>
        <v/>
      </c>
      <c r="E145" s="33" t="str">
        <f>IF(Results!H112="Complete",Results!E112,"")</f>
        <v/>
      </c>
      <c r="F145" s="33" t="str">
        <f>IF(Results!H112="Complete",Results!G112,"")</f>
        <v/>
      </c>
      <c r="G145" s="33" t="str">
        <f>IF(Results!H112="Complete",Results!F112,"")</f>
        <v/>
      </c>
      <c r="H145" s="33" t="str">
        <f>IF(Results!H112="Complete",Results!I112,"")</f>
        <v/>
      </c>
      <c r="I145" s="33"/>
      <c r="J145" s="33"/>
      <c r="K145" s="33"/>
      <c r="L145" s="33"/>
      <c r="M145" s="33"/>
      <c r="N145" s="33"/>
      <c r="O145" s="33"/>
      <c r="P145" s="33"/>
    </row>
    <row r="146" spans="1:16">
      <c r="A146" s="33" t="str">
        <f>IF(Results!H113="Complete",Results!A113,"")</f>
        <v/>
      </c>
      <c r="B146" s="33" t="str">
        <f>IF(Results!H113="Complete",Results!B113,"")</f>
        <v/>
      </c>
      <c r="C146" s="33" t="str">
        <f>IF(Results!H113="Complete",Results!C113,"")</f>
        <v/>
      </c>
      <c r="D146" s="33" t="str">
        <f>IF(Results!H113="Complete",Results!D113,"")</f>
        <v/>
      </c>
      <c r="E146" s="33" t="str">
        <f>IF(Results!H113="Complete",Results!E113,"")</f>
        <v/>
      </c>
      <c r="F146" s="33" t="str">
        <f>IF(Results!H113="Complete",Results!G113,"")</f>
        <v/>
      </c>
      <c r="G146" s="33" t="str">
        <f>IF(Results!H113="Complete",Results!F113,"")</f>
        <v/>
      </c>
      <c r="H146" s="33" t="str">
        <f>IF(Results!H113="Complete",Results!I113,"")</f>
        <v/>
      </c>
      <c r="I146" s="33"/>
      <c r="J146" s="33"/>
      <c r="K146" s="33"/>
      <c r="L146" s="33"/>
      <c r="M146" s="33"/>
      <c r="N146" s="33"/>
      <c r="O146" s="33"/>
      <c r="P146" s="33"/>
    </row>
    <row r="147" spans="1:16">
      <c r="A147" s="33" t="str">
        <f>IF(Results!H114="Complete",Results!A114,"")</f>
        <v/>
      </c>
      <c r="B147" s="33" t="str">
        <f>IF(Results!H114="Complete",Results!B114,"")</f>
        <v/>
      </c>
      <c r="C147" s="33" t="str">
        <f>IF(Results!H114="Complete",Results!C114,"")</f>
        <v/>
      </c>
      <c r="D147" s="33" t="str">
        <f>IF(Results!H114="Complete",Results!D114,"")</f>
        <v/>
      </c>
      <c r="E147" s="33" t="str">
        <f>IF(Results!H114="Complete",Results!E114,"")</f>
        <v/>
      </c>
      <c r="F147" s="33" t="str">
        <f>IF(Results!H114="Complete",Results!G114,"")</f>
        <v/>
      </c>
      <c r="G147" s="33" t="str">
        <f>IF(Results!H114="Complete",Results!F114,"")</f>
        <v/>
      </c>
      <c r="H147" s="33" t="str">
        <f>IF(Results!H114="Complete",Results!I114,"")</f>
        <v/>
      </c>
      <c r="I147" s="33"/>
      <c r="J147" s="33"/>
      <c r="K147" s="33"/>
      <c r="L147" s="33"/>
      <c r="M147" s="33"/>
      <c r="N147" s="33"/>
      <c r="O147" s="33"/>
      <c r="P147" s="33"/>
    </row>
    <row r="148" spans="1:16">
      <c r="A148" s="33" t="str">
        <f>IF(Results!H115="Complete",Results!A115,"")</f>
        <v/>
      </c>
      <c r="B148" s="33" t="str">
        <f>IF(Results!H115="Complete",Results!B115,"")</f>
        <v/>
      </c>
      <c r="C148" s="33" t="str">
        <f>IF(Results!H115="Complete",Results!C115,"")</f>
        <v/>
      </c>
      <c r="D148" s="33" t="str">
        <f>IF(Results!H115="Complete",Results!D115,"")</f>
        <v/>
      </c>
      <c r="E148" s="33" t="str">
        <f>IF(Results!H115="Complete",Results!E115,"")</f>
        <v/>
      </c>
      <c r="F148" s="33" t="str">
        <f>IF(Results!H115="Complete",Results!G115,"")</f>
        <v/>
      </c>
      <c r="G148" s="33" t="str">
        <f>IF(Results!H115="Complete",Results!F115,"")</f>
        <v/>
      </c>
      <c r="H148" s="33" t="str">
        <f>IF(Results!H115="Complete",Results!I115,"")</f>
        <v/>
      </c>
      <c r="I148" s="33"/>
      <c r="J148" s="33"/>
      <c r="K148" s="33"/>
      <c r="L148" s="33"/>
      <c r="M148" s="33"/>
      <c r="N148" s="33"/>
      <c r="O148" s="33"/>
      <c r="P148" s="33"/>
    </row>
    <row r="149" spans="1:16">
      <c r="A149" s="33" t="str">
        <f>IF(Results!H116="Complete",Results!A116,"")</f>
        <v/>
      </c>
      <c r="B149" s="33" t="str">
        <f>IF(Results!H116="Complete",Results!B116,"")</f>
        <v/>
      </c>
      <c r="C149" s="33" t="str">
        <f>IF(Results!H116="Complete",Results!C116,"")</f>
        <v/>
      </c>
      <c r="D149" s="33" t="str">
        <f>IF(Results!H116="Complete",Results!D116,"")</f>
        <v/>
      </c>
      <c r="E149" s="33" t="str">
        <f>IF(Results!H116="Complete",Results!E116,"")</f>
        <v/>
      </c>
      <c r="F149" s="33" t="str">
        <f>IF(Results!H116="Complete",Results!G116,"")</f>
        <v/>
      </c>
      <c r="G149" s="33" t="str">
        <f>IF(Results!H116="Complete",Results!F116,"")</f>
        <v/>
      </c>
      <c r="H149" s="33" t="str">
        <f>IF(Results!H116="Complete",Results!I116,"")</f>
        <v/>
      </c>
      <c r="I149" s="33"/>
      <c r="J149" s="33"/>
      <c r="K149" s="33"/>
      <c r="L149" s="33"/>
      <c r="M149" s="33"/>
      <c r="N149" s="33"/>
      <c r="O149" s="33"/>
      <c r="P149" s="33"/>
    </row>
    <row r="150" spans="1:16">
      <c r="A150" s="33" t="str">
        <f>IF(Results!H117="Complete",Results!A117,"")</f>
        <v/>
      </c>
      <c r="B150" s="33" t="str">
        <f>IF(Results!H117="Complete",Results!B117,"")</f>
        <v/>
      </c>
      <c r="C150" s="33" t="str">
        <f>IF(Results!H117="Complete",Results!C117,"")</f>
        <v/>
      </c>
      <c r="D150" s="33" t="str">
        <f>IF(Results!H117="Complete",Results!D117,"")</f>
        <v/>
      </c>
      <c r="E150" s="33" t="str">
        <f>IF(Results!H117="Complete",Results!E117,"")</f>
        <v/>
      </c>
      <c r="F150" s="33" t="str">
        <f>IF(Results!H117="Complete",Results!G117,"")</f>
        <v/>
      </c>
      <c r="G150" s="33" t="str">
        <f>IF(Results!H117="Complete",Results!F117,"")</f>
        <v/>
      </c>
      <c r="H150" s="33" t="str">
        <f>IF(Results!H117="Complete",Results!I117,"")</f>
        <v/>
      </c>
      <c r="I150" s="33"/>
      <c r="J150" s="33"/>
      <c r="K150" s="33"/>
      <c r="L150" s="33"/>
      <c r="M150" s="33"/>
      <c r="N150" s="33"/>
      <c r="O150" s="33"/>
      <c r="P150" s="33"/>
    </row>
    <row r="151" spans="1:16">
      <c r="A151" s="33" t="str">
        <f>IF(Results!H118="Complete",Results!A118,"")</f>
        <v/>
      </c>
      <c r="B151" s="33" t="str">
        <f>IF(Results!H118="Complete",Results!B118,"")</f>
        <v/>
      </c>
      <c r="C151" s="33" t="str">
        <f>IF(Results!H118="Complete",Results!C118,"")</f>
        <v/>
      </c>
      <c r="D151" s="33" t="str">
        <f>IF(Results!H118="Complete",Results!D118,"")</f>
        <v/>
      </c>
      <c r="E151" s="33" t="str">
        <f>IF(Results!H118="Complete",Results!E118,"")</f>
        <v/>
      </c>
      <c r="F151" s="33" t="str">
        <f>IF(Results!H118="Complete",Results!G118,"")</f>
        <v/>
      </c>
      <c r="G151" s="33" t="str">
        <f>IF(Results!H118="Complete",Results!F118,"")</f>
        <v/>
      </c>
      <c r="H151" s="33" t="str">
        <f>IF(Results!H118="Complete",Results!I118,"")</f>
        <v/>
      </c>
      <c r="I151" s="33"/>
      <c r="J151" s="33"/>
      <c r="K151" s="33"/>
      <c r="L151" s="33"/>
      <c r="M151" s="33"/>
      <c r="N151" s="33"/>
      <c r="O151" s="33"/>
      <c r="P151" s="33"/>
    </row>
    <row r="152" spans="1:16">
      <c r="A152" s="33" t="str">
        <f>IF(Results!H119="Complete",Results!A119,"")</f>
        <v/>
      </c>
      <c r="B152" s="33" t="str">
        <f>IF(Results!H119="Complete",Results!B119,"")</f>
        <v/>
      </c>
      <c r="C152" s="33" t="str">
        <f>IF(Results!H119="Complete",Results!C119,"")</f>
        <v/>
      </c>
      <c r="D152" s="33" t="str">
        <f>IF(Results!H119="Complete",Results!D119,"")</f>
        <v/>
      </c>
      <c r="E152" s="33" t="str">
        <f>IF(Results!H119="Complete",Results!E119,"")</f>
        <v/>
      </c>
      <c r="F152" s="33" t="str">
        <f>IF(Results!H119="Complete",Results!G119,"")</f>
        <v/>
      </c>
      <c r="G152" s="33" t="str">
        <f>IF(Results!H119="Complete",Results!F119,"")</f>
        <v/>
      </c>
      <c r="H152" s="33" t="str">
        <f>IF(Results!H119="Complete",Results!I119,"")</f>
        <v/>
      </c>
      <c r="I152" s="33"/>
      <c r="J152" s="33"/>
      <c r="K152" s="33"/>
      <c r="L152" s="33"/>
      <c r="M152" s="33"/>
      <c r="N152" s="33"/>
      <c r="O152" s="33"/>
      <c r="P152" s="33"/>
    </row>
    <row r="153" spans="1:16">
      <c r="A153" s="33" t="str">
        <f>IF(Results!H120="Complete",Results!A120,"")</f>
        <v/>
      </c>
      <c r="B153" s="33" t="str">
        <f>IF(Results!H120="Complete",Results!B120,"")</f>
        <v/>
      </c>
      <c r="C153" s="33" t="str">
        <f>IF(Results!H120="Complete",Results!C120,"")</f>
        <v/>
      </c>
      <c r="D153" s="33" t="str">
        <f>IF(Results!H120="Complete",Results!D120,"")</f>
        <v/>
      </c>
      <c r="E153" s="33" t="str">
        <f>IF(Results!H120="Complete",Results!E120,"")</f>
        <v/>
      </c>
      <c r="F153" s="33" t="str">
        <f>IF(Results!H120="Complete",Results!G120,"")</f>
        <v/>
      </c>
      <c r="G153" s="33" t="str">
        <f>IF(Results!H120="Complete",Results!F120,"")</f>
        <v/>
      </c>
      <c r="H153" s="33" t="str">
        <f>IF(Results!H120="Complete",Results!I120,"")</f>
        <v/>
      </c>
      <c r="I153" s="33"/>
      <c r="J153" s="33"/>
      <c r="K153" s="33"/>
      <c r="L153" s="33"/>
      <c r="M153" s="33"/>
      <c r="N153" s="33"/>
      <c r="O153" s="33"/>
      <c r="P153" s="33"/>
    </row>
    <row r="154" spans="1:16">
      <c r="A154" s="33" t="str">
        <f>IF(Results!H121="Complete",Results!A121,"")</f>
        <v/>
      </c>
      <c r="B154" s="33" t="str">
        <f>IF(Results!H121="Complete",Results!B121,"")</f>
        <v/>
      </c>
      <c r="C154" s="33" t="str">
        <f>IF(Results!H121="Complete",Results!C121,"")</f>
        <v/>
      </c>
      <c r="D154" s="33" t="str">
        <f>IF(Results!H121="Complete",Results!D121,"")</f>
        <v/>
      </c>
      <c r="E154" s="33" t="str">
        <f>IF(Results!H121="Complete",Results!E121,"")</f>
        <v/>
      </c>
      <c r="F154" s="33" t="str">
        <f>IF(Results!H121="Complete",Results!G121,"")</f>
        <v/>
      </c>
      <c r="G154" s="33" t="str">
        <f>IF(Results!H121="Complete",Results!F121,"")</f>
        <v/>
      </c>
      <c r="H154" s="33" t="str">
        <f>IF(Results!H121="Complete",Results!I121,"")</f>
        <v/>
      </c>
      <c r="I154" s="33"/>
      <c r="J154" s="33"/>
      <c r="K154" s="33"/>
      <c r="L154" s="33"/>
      <c r="M154" s="33"/>
      <c r="N154" s="33"/>
      <c r="O154" s="33"/>
      <c r="P154" s="33"/>
    </row>
    <row r="155" spans="1:16">
      <c r="A155" s="33" t="str">
        <f>IF(Results!H122="Complete",Results!A122,"")</f>
        <v/>
      </c>
      <c r="B155" s="33" t="str">
        <f>IF(Results!H122="Complete",Results!B122,"")</f>
        <v/>
      </c>
      <c r="C155" s="33" t="str">
        <f>IF(Results!H122="Complete",Results!C122,"")</f>
        <v/>
      </c>
      <c r="D155" s="33" t="str">
        <f>IF(Results!H122="Complete",Results!D122,"")</f>
        <v/>
      </c>
      <c r="E155" s="33" t="str">
        <f>IF(Results!H122="Complete",Results!E122,"")</f>
        <v/>
      </c>
      <c r="F155" s="33" t="str">
        <f>IF(Results!H122="Complete",Results!G122,"")</f>
        <v/>
      </c>
      <c r="G155" s="33" t="str">
        <f>IF(Results!H122="Complete",Results!F122,"")</f>
        <v/>
      </c>
      <c r="H155" s="33" t="str">
        <f>IF(Results!H122="Complete",Results!I122,"")</f>
        <v/>
      </c>
      <c r="I155" s="33"/>
      <c r="J155" s="33"/>
      <c r="K155" s="33"/>
      <c r="L155" s="33"/>
      <c r="M155" s="33"/>
      <c r="N155" s="33"/>
      <c r="O155" s="33"/>
      <c r="P155" s="33"/>
    </row>
    <row r="156" spans="1:16">
      <c r="A156" s="33" t="str">
        <f>IF(Results!H123="Complete",Results!A123,"")</f>
        <v/>
      </c>
      <c r="B156" s="33" t="str">
        <f>IF(Results!H123="Complete",Results!B123,"")</f>
        <v/>
      </c>
      <c r="C156" s="33" t="str">
        <f>IF(Results!H123="Complete",Results!C123,"")</f>
        <v/>
      </c>
      <c r="D156" s="33" t="str">
        <f>IF(Results!H123="Complete",Results!D123,"")</f>
        <v/>
      </c>
      <c r="E156" s="33" t="str">
        <f>IF(Results!H123="Complete",Results!E123,"")</f>
        <v/>
      </c>
      <c r="F156" s="33" t="str">
        <f>IF(Results!H123="Complete",Results!G123,"")</f>
        <v/>
      </c>
      <c r="G156" s="33" t="str">
        <f>IF(Results!H123="Complete",Results!F123,"")</f>
        <v/>
      </c>
      <c r="H156" s="33" t="str">
        <f>IF(Results!H123="Complete",Results!I123,"")</f>
        <v/>
      </c>
      <c r="I156" s="33"/>
      <c r="J156" s="33"/>
      <c r="K156" s="33"/>
      <c r="L156" s="33"/>
      <c r="M156" s="33"/>
      <c r="N156" s="33"/>
      <c r="O156" s="33"/>
      <c r="P156" s="33"/>
    </row>
    <row r="157" spans="1:16">
      <c r="A157" s="33" t="str">
        <f>IF(Results!H124="Complete",Results!A124,"")</f>
        <v/>
      </c>
      <c r="B157" s="33" t="str">
        <f>IF(Results!H124="Complete",Results!B124,"")</f>
        <v/>
      </c>
      <c r="C157" s="33" t="str">
        <f>IF(Results!H124="Complete",Results!C124,"")</f>
        <v/>
      </c>
      <c r="D157" s="33" t="str">
        <f>IF(Results!H124="Complete",Results!D124,"")</f>
        <v/>
      </c>
      <c r="E157" s="33" t="str">
        <f>IF(Results!H124="Complete",Results!E124,"")</f>
        <v/>
      </c>
      <c r="F157" s="33" t="str">
        <f>IF(Results!H124="Complete",Results!G124,"")</f>
        <v/>
      </c>
      <c r="G157" s="33" t="str">
        <f>IF(Results!H124="Complete",Results!F124,"")</f>
        <v/>
      </c>
      <c r="H157" s="33" t="str">
        <f>IF(Results!H124="Complete",Results!I124,"")</f>
        <v/>
      </c>
      <c r="I157" s="33"/>
      <c r="J157" s="33"/>
      <c r="K157" s="33"/>
      <c r="L157" s="33"/>
      <c r="M157" s="33"/>
      <c r="N157" s="33"/>
      <c r="O157" s="33"/>
      <c r="P157" s="33"/>
    </row>
    <row r="158" spans="1:16">
      <c r="A158" s="33" t="str">
        <f>IF(Results!H125="Complete",Results!A125,"")</f>
        <v/>
      </c>
      <c r="B158" s="33" t="str">
        <f>IF(Results!H125="Complete",Results!B125,"")</f>
        <v/>
      </c>
      <c r="C158" s="33" t="str">
        <f>IF(Results!H125="Complete",Results!C125,"")</f>
        <v/>
      </c>
      <c r="D158" s="33" t="str">
        <f>IF(Results!H125="Complete",Results!D125,"")</f>
        <v/>
      </c>
      <c r="E158" s="33" t="str">
        <f>IF(Results!H125="Complete",Results!E125,"")</f>
        <v/>
      </c>
      <c r="F158" s="33" t="str">
        <f>IF(Results!H125="Complete",Results!G125,"")</f>
        <v/>
      </c>
      <c r="G158" s="33" t="str">
        <f>IF(Results!H125="Complete",Results!F125,"")</f>
        <v/>
      </c>
      <c r="H158" s="33" t="str">
        <f>IF(Results!H125="Complete",Results!I125,"")</f>
        <v/>
      </c>
      <c r="I158" s="33"/>
      <c r="J158" s="33"/>
      <c r="K158" s="33"/>
      <c r="L158" s="33"/>
      <c r="M158" s="33"/>
      <c r="N158" s="33"/>
      <c r="O158" s="33"/>
      <c r="P158" s="33"/>
    </row>
    <row r="159" spans="1:16">
      <c r="A159" s="33" t="str">
        <f>IF(Results!H126="Complete",Results!A126,"")</f>
        <v/>
      </c>
      <c r="B159" s="33" t="str">
        <f>IF(Results!H126="Complete",Results!B126,"")</f>
        <v/>
      </c>
      <c r="C159" s="33" t="str">
        <f>IF(Results!H126="Complete",Results!C126,"")</f>
        <v/>
      </c>
      <c r="D159" s="33" t="str">
        <f>IF(Results!H126="Complete",Results!D126,"")</f>
        <v/>
      </c>
      <c r="E159" s="33" t="str">
        <f>IF(Results!H126="Complete",Results!E126,"")</f>
        <v/>
      </c>
      <c r="F159" s="33" t="str">
        <f>IF(Results!H126="Complete",Results!G126,"")</f>
        <v/>
      </c>
      <c r="G159" s="33" t="str">
        <f>IF(Results!H126="Complete",Results!F126,"")</f>
        <v/>
      </c>
      <c r="H159" s="33" t="str">
        <f>IF(Results!H126="Complete",Results!I126,"")</f>
        <v/>
      </c>
      <c r="I159" s="33"/>
      <c r="J159" s="33"/>
      <c r="K159" s="33"/>
      <c r="L159" s="33"/>
      <c r="M159" s="33"/>
      <c r="N159" s="33"/>
      <c r="O159" s="33"/>
      <c r="P159" s="33"/>
    </row>
    <row r="160" spans="1:16">
      <c r="A160" s="33" t="str">
        <f>IF(Results!H127="Complete",Results!A127,"")</f>
        <v/>
      </c>
      <c r="B160" s="33" t="str">
        <f>IF(Results!H127="Complete",Results!B127,"")</f>
        <v/>
      </c>
      <c r="C160" s="33" t="str">
        <f>IF(Results!H127="Complete",Results!C127,"")</f>
        <v/>
      </c>
      <c r="D160" s="33" t="str">
        <f>IF(Results!H127="Complete",Results!D127,"")</f>
        <v/>
      </c>
      <c r="E160" s="33" t="str">
        <f>IF(Results!H127="Complete",Results!E127,"")</f>
        <v/>
      </c>
      <c r="F160" s="33" t="str">
        <f>IF(Results!H127="Complete",Results!G127,"")</f>
        <v/>
      </c>
      <c r="G160" s="33" t="str">
        <f>IF(Results!H127="Complete",Results!F127,"")</f>
        <v/>
      </c>
      <c r="H160" s="33" t="str">
        <f>IF(Results!H127="Complete",Results!I127,"")</f>
        <v/>
      </c>
      <c r="I160" s="33"/>
      <c r="J160" s="33"/>
      <c r="K160" s="33"/>
      <c r="L160" s="33"/>
      <c r="M160" s="33"/>
      <c r="N160" s="33"/>
      <c r="O160" s="33"/>
      <c r="P160" s="33"/>
    </row>
    <row r="161" spans="1:16">
      <c r="A161" s="33" t="str">
        <f>IF(Results!H128="Complete",Results!A128,"")</f>
        <v/>
      </c>
      <c r="B161" s="33" t="str">
        <f>IF(Results!H128="Complete",Results!B128,"")</f>
        <v/>
      </c>
      <c r="C161" s="33" t="str">
        <f>IF(Results!H128="Complete",Results!C128,"")</f>
        <v/>
      </c>
      <c r="D161" s="33" t="str">
        <f>IF(Results!H128="Complete",Results!D128,"")</f>
        <v/>
      </c>
      <c r="E161" s="33" t="str">
        <f>IF(Results!H128="Complete",Results!E128,"")</f>
        <v/>
      </c>
      <c r="F161" s="33" t="str">
        <f>IF(Results!H128="Complete",Results!G128,"")</f>
        <v/>
      </c>
      <c r="G161" s="33" t="str">
        <f>IF(Results!H128="Complete",Results!F128,"")</f>
        <v/>
      </c>
      <c r="H161" s="33" t="str">
        <f>IF(Results!H128="Complete",Results!I128,"")</f>
        <v/>
      </c>
      <c r="I161" s="33"/>
      <c r="J161" s="33"/>
      <c r="K161" s="33"/>
      <c r="L161" s="33"/>
      <c r="M161" s="33"/>
      <c r="N161" s="33"/>
      <c r="O161" s="33"/>
      <c r="P161" s="33"/>
    </row>
    <row r="162" spans="1:16">
      <c r="A162" s="33" t="str">
        <f>IF(Results!H129="Complete",Results!A129,"")</f>
        <v/>
      </c>
      <c r="B162" s="33" t="str">
        <f>IF(Results!H129="Complete",Results!B129,"")</f>
        <v/>
      </c>
      <c r="C162" s="33" t="str">
        <f>IF(Results!H129="Complete",Results!C129,"")</f>
        <v/>
      </c>
      <c r="D162" s="33" t="str">
        <f>IF(Results!H129="Complete",Results!D129,"")</f>
        <v/>
      </c>
      <c r="E162" s="33" t="str">
        <f>IF(Results!H129="Complete",Results!E129,"")</f>
        <v/>
      </c>
      <c r="F162" s="33" t="str">
        <f>IF(Results!H129="Complete",Results!G129,"")</f>
        <v/>
      </c>
      <c r="G162" s="33" t="str">
        <f>IF(Results!H129="Complete",Results!F129,"")</f>
        <v/>
      </c>
      <c r="H162" s="33" t="str">
        <f>IF(Results!H129="Complete",Results!I129,"")</f>
        <v/>
      </c>
      <c r="I162" s="33"/>
      <c r="J162" s="33"/>
      <c r="K162" s="33"/>
      <c r="L162" s="33"/>
      <c r="M162" s="33"/>
      <c r="N162" s="33"/>
      <c r="O162" s="33"/>
      <c r="P162" s="33"/>
    </row>
    <row r="163" spans="1:16">
      <c r="A163" s="33" t="str">
        <f>IF(Results!H130="Complete",Results!A130,"")</f>
        <v/>
      </c>
      <c r="B163" s="33" t="str">
        <f>IF(Results!H130="Complete",Results!B130,"")</f>
        <v/>
      </c>
      <c r="C163" s="33" t="str">
        <f>IF(Results!H130="Complete",Results!C130,"")</f>
        <v/>
      </c>
      <c r="D163" s="33" t="str">
        <f>IF(Results!H130="Complete",Results!D130,"")</f>
        <v/>
      </c>
      <c r="E163" s="33" t="str">
        <f>IF(Results!H130="Complete",Results!E130,"")</f>
        <v/>
      </c>
      <c r="F163" s="33" t="str">
        <f>IF(Results!H130="Complete",Results!G130,"")</f>
        <v/>
      </c>
      <c r="G163" s="33" t="str">
        <f>IF(Results!H130="Complete",Results!F130,"")</f>
        <v/>
      </c>
      <c r="H163" s="33" t="str">
        <f>IF(Results!H130="Complete",Results!I130,"")</f>
        <v/>
      </c>
      <c r="I163" s="33"/>
      <c r="J163" s="33"/>
      <c r="K163" s="33"/>
      <c r="L163" s="33"/>
      <c r="M163" s="33"/>
      <c r="N163" s="33"/>
      <c r="O163" s="33"/>
      <c r="P163" s="33"/>
    </row>
    <row r="164" spans="1:16">
      <c r="A164" s="33" t="str">
        <f>IF(Results!H131="Complete",Results!A131,"")</f>
        <v/>
      </c>
      <c r="B164" s="33" t="str">
        <f>IF(Results!H131="Complete",Results!B131,"")</f>
        <v/>
      </c>
      <c r="C164" s="33" t="str">
        <f>IF(Results!H131="Complete",Results!C131,"")</f>
        <v/>
      </c>
      <c r="D164" s="33" t="str">
        <f>IF(Results!H131="Complete",Results!D131,"")</f>
        <v/>
      </c>
      <c r="E164" s="33" t="str">
        <f>IF(Results!H131="Complete",Results!E131,"")</f>
        <v/>
      </c>
      <c r="F164" s="33" t="str">
        <f>IF(Results!H131="Complete",Results!G131,"")</f>
        <v/>
      </c>
      <c r="G164" s="33" t="str">
        <f>IF(Results!H131="Complete",Results!F131,"")</f>
        <v/>
      </c>
      <c r="H164" s="33" t="str">
        <f>IF(Results!H131="Complete",Results!I131,"")</f>
        <v/>
      </c>
      <c r="I164" s="33"/>
      <c r="J164" s="33"/>
      <c r="K164" s="33"/>
      <c r="L164" s="33"/>
      <c r="M164" s="33"/>
      <c r="N164" s="33"/>
      <c r="O164" s="33"/>
      <c r="P164" s="33"/>
    </row>
    <row r="165" spans="1:16">
      <c r="A165" s="33" t="str">
        <f>IF(Results!H132="Complete",Results!A132,"")</f>
        <v/>
      </c>
      <c r="B165" s="33" t="str">
        <f>IF(Results!H132="Complete",Results!B132,"")</f>
        <v/>
      </c>
      <c r="C165" s="33" t="str">
        <f>IF(Results!H132="Complete",Results!C132,"")</f>
        <v/>
      </c>
      <c r="D165" s="33" t="str">
        <f>IF(Results!H132="Complete",Results!D132,"")</f>
        <v/>
      </c>
      <c r="E165" s="33" t="str">
        <f>IF(Results!H132="Complete",Results!E132,"")</f>
        <v/>
      </c>
      <c r="F165" s="33" t="str">
        <f>IF(Results!H132="Complete",Results!G132,"")</f>
        <v/>
      </c>
      <c r="G165" s="33" t="str">
        <f>IF(Results!H132="Complete",Results!F132,"")</f>
        <v/>
      </c>
      <c r="H165" s="33" t="str">
        <f>IF(Results!H132="Complete",Results!I132,"")</f>
        <v/>
      </c>
      <c r="I165" s="33"/>
      <c r="J165" s="33"/>
      <c r="K165" s="33"/>
      <c r="L165" s="33"/>
      <c r="M165" s="33"/>
      <c r="N165" s="33"/>
      <c r="O165" s="33"/>
      <c r="P165" s="33"/>
    </row>
    <row r="166" spans="1:16">
      <c r="A166" s="33" t="str">
        <f>IF(Results!H133="Complete",Results!A133,"")</f>
        <v/>
      </c>
      <c r="B166" s="33" t="str">
        <f>IF(Results!H133="Complete",Results!B133,"")</f>
        <v/>
      </c>
      <c r="C166" s="33" t="str">
        <f>IF(Results!H133="Complete",Results!C133,"")</f>
        <v/>
      </c>
      <c r="D166" s="33" t="str">
        <f>IF(Results!H133="Complete",Results!D133,"")</f>
        <v/>
      </c>
      <c r="E166" s="33" t="str">
        <f>IF(Results!H133="Complete",Results!E133,"")</f>
        <v/>
      </c>
      <c r="F166" s="33" t="str">
        <f>IF(Results!H133="Complete",Results!G133,"")</f>
        <v/>
      </c>
      <c r="G166" s="33" t="str">
        <f>IF(Results!H133="Complete",Results!F133,"")</f>
        <v/>
      </c>
      <c r="H166" s="33" t="str">
        <f>IF(Results!H133="Complete",Results!I133,"")</f>
        <v/>
      </c>
      <c r="I166" s="33"/>
      <c r="J166" s="33"/>
      <c r="K166" s="33"/>
      <c r="L166" s="33"/>
      <c r="M166" s="33"/>
      <c r="N166" s="33"/>
      <c r="O166" s="33"/>
      <c r="P166" s="33"/>
    </row>
    <row r="167" spans="1:16">
      <c r="A167" s="33" t="str">
        <f>IF(Results!H134="Complete",Results!A134,"")</f>
        <v/>
      </c>
      <c r="B167" s="33" t="str">
        <f>IF(Results!H134="Complete",Results!B134,"")</f>
        <v/>
      </c>
      <c r="C167" s="33" t="str">
        <f>IF(Results!H134="Complete",Results!C134,"")</f>
        <v/>
      </c>
      <c r="D167" s="33" t="str">
        <f>IF(Results!H134="Complete",Results!D134,"")</f>
        <v/>
      </c>
      <c r="E167" s="33" t="str">
        <f>IF(Results!H134="Complete",Results!E134,"")</f>
        <v/>
      </c>
      <c r="F167" s="33" t="str">
        <f>IF(Results!H134="Complete",Results!G134,"")</f>
        <v/>
      </c>
      <c r="G167" s="33" t="str">
        <f>IF(Results!H134="Complete",Results!F134,"")</f>
        <v/>
      </c>
      <c r="H167" s="33" t="str">
        <f>IF(Results!H134="Complete",Results!I134,"")</f>
        <v/>
      </c>
      <c r="I167" s="33"/>
      <c r="J167" s="33"/>
      <c r="K167" s="33"/>
      <c r="L167" s="33"/>
      <c r="M167" s="33"/>
      <c r="N167" s="33"/>
      <c r="O167" s="33"/>
      <c r="P167" s="33"/>
    </row>
    <row r="168" spans="1:16">
      <c r="A168" s="33" t="str">
        <f>IF(Results!H135="Complete",Results!A135,"")</f>
        <v/>
      </c>
      <c r="B168" s="33" t="str">
        <f>IF(Results!H135="Complete",Results!B135,"")</f>
        <v/>
      </c>
      <c r="C168" s="33" t="str">
        <f>IF(Results!H135="Complete",Results!C135,"")</f>
        <v/>
      </c>
      <c r="D168" s="33" t="str">
        <f>IF(Results!H135="Complete",Results!D135,"")</f>
        <v/>
      </c>
      <c r="E168" s="33" t="str">
        <f>IF(Results!H135="Complete",Results!E135,"")</f>
        <v/>
      </c>
      <c r="F168" s="33" t="str">
        <f>IF(Results!H135="Complete",Results!G135,"")</f>
        <v/>
      </c>
      <c r="G168" s="33" t="str">
        <f>IF(Results!H135="Complete",Results!F135,"")</f>
        <v/>
      </c>
      <c r="H168" s="33" t="str">
        <f>IF(Results!H135="Complete",Results!I135,"")</f>
        <v/>
      </c>
      <c r="I168" s="33"/>
      <c r="J168" s="33"/>
      <c r="K168" s="33"/>
      <c r="L168" s="33"/>
      <c r="M168" s="33"/>
      <c r="N168" s="33"/>
      <c r="O168" s="33"/>
      <c r="P168" s="33"/>
    </row>
    <row r="169" spans="1:16">
      <c r="A169" s="33" t="str">
        <f>IF(Results!H136="Complete",Results!A136,"")</f>
        <v/>
      </c>
      <c r="B169" s="33" t="str">
        <f>IF(Results!H136="Complete",Results!B136,"")</f>
        <v/>
      </c>
      <c r="C169" s="33" t="str">
        <f>IF(Results!H136="Complete",Results!C136,"")</f>
        <v/>
      </c>
      <c r="D169" s="33" t="str">
        <f>IF(Results!H136="Complete",Results!D136,"")</f>
        <v/>
      </c>
      <c r="E169" s="33" t="str">
        <f>IF(Results!H136="Complete",Results!E136,"")</f>
        <v/>
      </c>
      <c r="F169" s="33" t="str">
        <f>IF(Results!H136="Complete",Results!G136,"")</f>
        <v/>
      </c>
      <c r="G169" s="33" t="str">
        <f>IF(Results!H136="Complete",Results!F136,"")</f>
        <v/>
      </c>
      <c r="H169" s="33" t="str">
        <f>IF(Results!H136="Complete",Results!I136,"")</f>
        <v/>
      </c>
      <c r="I169" s="33"/>
      <c r="J169" s="33"/>
      <c r="K169" s="33"/>
      <c r="L169" s="33"/>
      <c r="M169" s="33"/>
      <c r="N169" s="33"/>
      <c r="O169" s="33"/>
      <c r="P169" s="33"/>
    </row>
    <row r="170" spans="1:16">
      <c r="A170" s="33" t="str">
        <f>IF(Results!H137="Complete",Results!A137,"")</f>
        <v/>
      </c>
      <c r="B170" s="33" t="str">
        <f>IF(Results!H137="Complete",Results!B137,"")</f>
        <v/>
      </c>
      <c r="C170" s="33" t="str">
        <f>IF(Results!H137="Complete",Results!C137,"")</f>
        <v/>
      </c>
      <c r="D170" s="33" t="str">
        <f>IF(Results!H137="Complete",Results!D137,"")</f>
        <v/>
      </c>
      <c r="E170" s="33" t="str">
        <f>IF(Results!H137="Complete",Results!E137,"")</f>
        <v/>
      </c>
      <c r="F170" s="33" t="str">
        <f>IF(Results!H137="Complete",Results!G137,"")</f>
        <v/>
      </c>
      <c r="G170" s="33" t="str">
        <f>IF(Results!H137="Complete",Results!F137,"")</f>
        <v/>
      </c>
      <c r="H170" s="33" t="str">
        <f>IF(Results!H137="Complete",Results!I137,"")</f>
        <v/>
      </c>
      <c r="I170" s="33"/>
      <c r="J170" s="33"/>
      <c r="K170" s="33"/>
      <c r="L170" s="33"/>
      <c r="M170" s="33"/>
      <c r="N170" s="33"/>
      <c r="O170" s="33"/>
      <c r="P170" s="33"/>
    </row>
    <row r="171" spans="1:16">
      <c r="A171" s="33" t="str">
        <f>IF(Results!H138="Complete",Results!A138,"")</f>
        <v/>
      </c>
      <c r="B171" s="33" t="str">
        <f>IF(Results!H138="Complete",Results!B138,"")</f>
        <v/>
      </c>
      <c r="C171" s="33" t="str">
        <f>IF(Results!H138="Complete",Results!C138,"")</f>
        <v/>
      </c>
      <c r="D171" s="33" t="str">
        <f>IF(Results!H138="Complete",Results!D138,"")</f>
        <v/>
      </c>
      <c r="E171" s="33" t="str">
        <f>IF(Results!H138="Complete",Results!E138,"")</f>
        <v/>
      </c>
      <c r="F171" s="33" t="str">
        <f>IF(Results!H138="Complete",Results!G138,"")</f>
        <v/>
      </c>
      <c r="G171" s="33" t="str">
        <f>IF(Results!H138="Complete",Results!F138,"")</f>
        <v/>
      </c>
      <c r="H171" s="33" t="str">
        <f>IF(Results!H138="Complete",Results!I138,"")</f>
        <v/>
      </c>
      <c r="I171" s="33"/>
      <c r="J171" s="33"/>
      <c r="K171" s="33"/>
      <c r="L171" s="33"/>
      <c r="M171" s="33"/>
      <c r="N171" s="33"/>
      <c r="O171" s="33"/>
      <c r="P171" s="33"/>
    </row>
    <row r="172" spans="1:16">
      <c r="A172" s="33" t="str">
        <f>IF(Results!H139="Complete",Results!A139,"")</f>
        <v/>
      </c>
      <c r="B172" s="33" t="str">
        <f>IF(Results!H139="Complete",Results!B139,"")</f>
        <v/>
      </c>
      <c r="C172" s="33" t="str">
        <f>IF(Results!H139="Complete",Results!C139,"")</f>
        <v/>
      </c>
      <c r="D172" s="33" t="str">
        <f>IF(Results!H139="Complete",Results!D139,"")</f>
        <v/>
      </c>
      <c r="E172" s="33" t="str">
        <f>IF(Results!H139="Complete",Results!E139,"")</f>
        <v/>
      </c>
      <c r="F172" s="33" t="str">
        <f>IF(Results!H139="Complete",Results!G139,"")</f>
        <v/>
      </c>
      <c r="G172" s="33" t="str">
        <f>IF(Results!H139="Complete",Results!F139,"")</f>
        <v/>
      </c>
      <c r="H172" s="33" t="str">
        <f>IF(Results!H139="Complete",Results!I139,"")</f>
        <v/>
      </c>
      <c r="I172" s="33"/>
      <c r="J172" s="33"/>
      <c r="K172" s="33"/>
      <c r="L172" s="33"/>
      <c r="M172" s="33"/>
      <c r="N172" s="33"/>
      <c r="O172" s="33"/>
      <c r="P172" s="33"/>
    </row>
    <row r="173" spans="1:16">
      <c r="A173" s="33" t="str">
        <f>IF(Results!H140="Complete",Results!A140,"")</f>
        <v/>
      </c>
      <c r="B173" s="33" t="str">
        <f>IF(Results!H140="Complete",Results!B140,"")</f>
        <v/>
      </c>
      <c r="C173" s="33" t="str">
        <f>IF(Results!H140="Complete",Results!C140,"")</f>
        <v/>
      </c>
      <c r="D173" s="33" t="str">
        <f>IF(Results!H140="Complete",Results!D140,"")</f>
        <v/>
      </c>
      <c r="E173" s="33" t="str">
        <f>IF(Results!H140="Complete",Results!E140,"")</f>
        <v/>
      </c>
      <c r="F173" s="33" t="str">
        <f>IF(Results!H140="Complete",Results!G140,"")</f>
        <v/>
      </c>
      <c r="G173" s="33" t="str">
        <f>IF(Results!H140="Complete",Results!F140,"")</f>
        <v/>
      </c>
      <c r="H173" s="33" t="str">
        <f>IF(Results!H140="Complete",Results!I140,"")</f>
        <v/>
      </c>
      <c r="I173" s="33"/>
      <c r="J173" s="33"/>
      <c r="K173" s="33"/>
      <c r="L173" s="33"/>
      <c r="M173" s="33"/>
      <c r="N173" s="33"/>
      <c r="O173" s="33"/>
      <c r="P173" s="33"/>
    </row>
    <row r="174" spans="1:16">
      <c r="A174" s="33" t="str">
        <f>IF(Results!H141="Complete",Results!A141,"")</f>
        <v/>
      </c>
      <c r="B174" s="33" t="str">
        <f>IF(Results!H141="Complete",Results!B141,"")</f>
        <v/>
      </c>
      <c r="C174" s="33" t="str">
        <f>IF(Results!H141="Complete",Results!C141,"")</f>
        <v/>
      </c>
      <c r="D174" s="33" t="str">
        <f>IF(Results!H141="Complete",Results!D141,"")</f>
        <v/>
      </c>
      <c r="E174" s="33" t="str">
        <f>IF(Results!H141="Complete",Results!E141,"")</f>
        <v/>
      </c>
      <c r="F174" s="33" t="str">
        <f>IF(Results!H141="Complete",Results!G141,"")</f>
        <v/>
      </c>
      <c r="G174" s="33" t="str">
        <f>IF(Results!H141="Complete",Results!F141,"")</f>
        <v/>
      </c>
      <c r="H174" s="33" t="str">
        <f>IF(Results!H141="Complete",Results!I141,"")</f>
        <v/>
      </c>
      <c r="I174" s="33"/>
      <c r="J174" s="33"/>
      <c r="K174" s="33"/>
      <c r="L174" s="33"/>
      <c r="M174" s="33"/>
      <c r="N174" s="33"/>
      <c r="O174" s="33"/>
      <c r="P174" s="33"/>
    </row>
    <row r="175" spans="1:16">
      <c r="A175" s="33" t="str">
        <f>IF(Results!H142="Complete",Results!A142,"")</f>
        <v/>
      </c>
      <c r="B175" s="33" t="str">
        <f>IF(Results!H142="Complete",Results!B142,"")</f>
        <v/>
      </c>
      <c r="C175" s="33" t="str">
        <f>IF(Results!H142="Complete",Results!C142,"")</f>
        <v/>
      </c>
      <c r="D175" s="33" t="str">
        <f>IF(Results!H142="Complete",Results!D142,"")</f>
        <v/>
      </c>
      <c r="E175" s="33" t="str">
        <f>IF(Results!H142="Complete",Results!E142,"")</f>
        <v/>
      </c>
      <c r="F175" s="33" t="str">
        <f>IF(Results!H142="Complete",Results!G142,"")</f>
        <v/>
      </c>
      <c r="G175" s="33" t="str">
        <f>IF(Results!H142="Complete",Results!F142,"")</f>
        <v/>
      </c>
      <c r="H175" s="33" t="str">
        <f>IF(Results!H142="Complete",Results!I142,"")</f>
        <v/>
      </c>
      <c r="I175" s="33"/>
      <c r="J175" s="33"/>
      <c r="K175" s="33"/>
      <c r="L175" s="33"/>
      <c r="M175" s="33"/>
      <c r="N175" s="33"/>
      <c r="O175" s="33"/>
      <c r="P175" s="33"/>
    </row>
    <row r="176" spans="1:16">
      <c r="A176" s="33" t="str">
        <f>IF(Results!H143="Complete",Results!A143,"")</f>
        <v/>
      </c>
      <c r="B176" s="33" t="str">
        <f>IF(Results!H143="Complete",Results!B143,"")</f>
        <v/>
      </c>
      <c r="C176" s="33" t="str">
        <f>IF(Results!H143="Complete",Results!C143,"")</f>
        <v/>
      </c>
      <c r="D176" s="33" t="str">
        <f>IF(Results!H143="Complete",Results!D143,"")</f>
        <v/>
      </c>
      <c r="E176" s="33" t="str">
        <f>IF(Results!H143="Complete",Results!E143,"")</f>
        <v/>
      </c>
      <c r="F176" s="33" t="str">
        <f>IF(Results!H143="Complete",Results!G143,"")</f>
        <v/>
      </c>
      <c r="G176" s="33" t="str">
        <f>IF(Results!H143="Complete",Results!F143,"")</f>
        <v/>
      </c>
      <c r="H176" s="33" t="str">
        <f>IF(Results!H143="Complete",Results!I143,"")</f>
        <v/>
      </c>
      <c r="I176" s="33"/>
      <c r="J176" s="33"/>
      <c r="K176" s="33"/>
      <c r="L176" s="33"/>
      <c r="M176" s="33"/>
      <c r="N176" s="33"/>
      <c r="O176" s="33"/>
      <c r="P176" s="33"/>
    </row>
    <row r="177" spans="1:16">
      <c r="A177" s="33" t="str">
        <f>IF(Results!H144="Complete",Results!A144,"")</f>
        <v/>
      </c>
      <c r="B177" s="33" t="str">
        <f>IF(Results!H144="Complete",Results!B144,"")</f>
        <v/>
      </c>
      <c r="C177" s="33" t="str">
        <f>IF(Results!H144="Complete",Results!C144,"")</f>
        <v/>
      </c>
      <c r="D177" s="33" t="str">
        <f>IF(Results!H144="Complete",Results!D144,"")</f>
        <v/>
      </c>
      <c r="E177" s="33" t="str">
        <f>IF(Results!H144="Complete",Results!E144,"")</f>
        <v/>
      </c>
      <c r="F177" s="33" t="str">
        <f>IF(Results!H144="Complete",Results!G144,"")</f>
        <v/>
      </c>
      <c r="G177" s="33" t="str">
        <f>IF(Results!H144="Complete",Results!F144,"")</f>
        <v/>
      </c>
      <c r="H177" s="33" t="str">
        <f>IF(Results!H144="Complete",Results!I144,"")</f>
        <v/>
      </c>
      <c r="I177" s="33"/>
      <c r="J177" s="33"/>
      <c r="K177" s="33"/>
      <c r="L177" s="33"/>
      <c r="M177" s="33"/>
      <c r="N177" s="33"/>
      <c r="O177" s="33"/>
      <c r="P177" s="33"/>
    </row>
    <row r="178" spans="1:16">
      <c r="A178" s="33" t="str">
        <f>IF(Results!H145="Complete",Results!A145,"")</f>
        <v/>
      </c>
      <c r="B178" s="33" t="str">
        <f>IF(Results!H145="Complete",Results!B145,"")</f>
        <v/>
      </c>
      <c r="C178" s="33" t="str">
        <f>IF(Results!H145="Complete",Results!C145,"")</f>
        <v/>
      </c>
      <c r="D178" s="33" t="str">
        <f>IF(Results!H145="Complete",Results!D145,"")</f>
        <v/>
      </c>
      <c r="E178" s="33" t="str">
        <f>IF(Results!H145="Complete",Results!E145,"")</f>
        <v/>
      </c>
      <c r="F178" s="33" t="str">
        <f>IF(Results!H145="Complete",Results!G145,"")</f>
        <v/>
      </c>
      <c r="G178" s="33" t="str">
        <f>IF(Results!H145="Complete",Results!F145,"")</f>
        <v/>
      </c>
      <c r="H178" s="33" t="str">
        <f>IF(Results!H145="Complete",Results!I145,"")</f>
        <v/>
      </c>
      <c r="I178" s="33"/>
      <c r="J178" s="33"/>
      <c r="K178" s="33"/>
      <c r="L178" s="33"/>
      <c r="M178" s="33"/>
      <c r="N178" s="33"/>
      <c r="O178" s="33"/>
      <c r="P178" s="33"/>
    </row>
    <row r="179" spans="1:16">
      <c r="A179" s="33" t="str">
        <f>IF(Results!H146="Complete",Results!A146,"")</f>
        <v/>
      </c>
      <c r="B179" s="33" t="str">
        <f>IF(Results!H146="Complete",Results!B146,"")</f>
        <v/>
      </c>
      <c r="C179" s="33" t="str">
        <f>IF(Results!H146="Complete",Results!C146,"")</f>
        <v/>
      </c>
      <c r="D179" s="33" t="str">
        <f>IF(Results!H146="Complete",Results!D146,"")</f>
        <v/>
      </c>
      <c r="E179" s="33" t="str">
        <f>IF(Results!H146="Complete",Results!E146,"")</f>
        <v/>
      </c>
      <c r="F179" s="33" t="str">
        <f>IF(Results!H146="Complete",Results!G146,"")</f>
        <v/>
      </c>
      <c r="G179" s="33" t="str">
        <f>IF(Results!H146="Complete",Results!F146,"")</f>
        <v/>
      </c>
      <c r="H179" s="33" t="str">
        <f>IF(Results!H146="Complete",Results!I146,"")</f>
        <v/>
      </c>
      <c r="I179" s="33"/>
      <c r="J179" s="33"/>
      <c r="K179" s="33"/>
      <c r="L179" s="33"/>
      <c r="M179" s="33"/>
      <c r="N179" s="33"/>
      <c r="O179" s="33"/>
      <c r="P179" s="33"/>
    </row>
    <row r="180" spans="1:16">
      <c r="A180" s="33" t="str">
        <f>IF(Results!H147="Complete",Results!A147,"")</f>
        <v/>
      </c>
      <c r="B180" s="33" t="str">
        <f>IF(Results!H147="Complete",Results!B147,"")</f>
        <v/>
      </c>
      <c r="C180" s="33" t="str">
        <f>IF(Results!H147="Complete",Results!C147,"")</f>
        <v/>
      </c>
      <c r="D180" s="33" t="str">
        <f>IF(Results!H147="Complete",Results!D147,"")</f>
        <v/>
      </c>
      <c r="E180" s="33" t="str">
        <f>IF(Results!H147="Complete",Results!E147,"")</f>
        <v/>
      </c>
      <c r="F180" s="33" t="str">
        <f>IF(Results!H147="Complete",Results!G147,"")</f>
        <v/>
      </c>
      <c r="G180" s="33" t="str">
        <f>IF(Results!H147="Complete",Results!F147,"")</f>
        <v/>
      </c>
      <c r="H180" s="33" t="str">
        <f>IF(Results!H147="Complete",Results!I147,"")</f>
        <v/>
      </c>
      <c r="I180" s="33"/>
      <c r="J180" s="33"/>
      <c r="K180" s="33"/>
      <c r="L180" s="33"/>
      <c r="M180" s="33"/>
      <c r="N180" s="33"/>
      <c r="O180" s="33"/>
      <c r="P180" s="33"/>
    </row>
    <row r="181" spans="1:16">
      <c r="A181" s="33" t="str">
        <f>IF(Results!H148="Complete",Results!A148,"")</f>
        <v/>
      </c>
      <c r="B181" s="33" t="str">
        <f>IF(Results!H148="Complete",Results!B148,"")</f>
        <v/>
      </c>
      <c r="C181" s="33" t="str">
        <f>IF(Results!H148="Complete",Results!C148,"")</f>
        <v/>
      </c>
      <c r="D181" s="33" t="str">
        <f>IF(Results!H148="Complete",Results!D148,"")</f>
        <v/>
      </c>
      <c r="E181" s="33" t="str">
        <f>IF(Results!H148="Complete",Results!E148,"")</f>
        <v/>
      </c>
      <c r="F181" s="33" t="str">
        <f>IF(Results!H148="Complete",Results!G148,"")</f>
        <v/>
      </c>
      <c r="G181" s="33" t="str">
        <f>IF(Results!H148="Complete",Results!F148,"")</f>
        <v/>
      </c>
      <c r="H181" s="33" t="str">
        <f>IF(Results!H148="Complete",Results!I148,"")</f>
        <v/>
      </c>
      <c r="I181" s="33"/>
      <c r="J181" s="33"/>
      <c r="K181" s="33"/>
      <c r="L181" s="33"/>
      <c r="M181" s="33"/>
      <c r="N181" s="33"/>
      <c r="O181" s="33"/>
      <c r="P181" s="33"/>
    </row>
    <row r="182" spans="1:16">
      <c r="A182" s="33" t="str">
        <f>IF(Results!H149="Complete",Results!A149,"")</f>
        <v/>
      </c>
      <c r="B182" s="33" t="str">
        <f>IF(Results!H149="Complete",Results!B149,"")</f>
        <v/>
      </c>
      <c r="C182" s="33" t="str">
        <f>IF(Results!H149="Complete",Results!C149,"")</f>
        <v/>
      </c>
      <c r="D182" s="33" t="str">
        <f>IF(Results!H149="Complete",Results!D149,"")</f>
        <v/>
      </c>
      <c r="E182" s="33" t="str">
        <f>IF(Results!H149="Complete",Results!E149,"")</f>
        <v/>
      </c>
      <c r="F182" s="33" t="str">
        <f>IF(Results!H149="Complete",Results!G149,"")</f>
        <v/>
      </c>
      <c r="G182" s="33" t="str">
        <f>IF(Results!H149="Complete",Results!F149,"")</f>
        <v/>
      </c>
      <c r="H182" s="33" t="str">
        <f>IF(Results!H149="Complete",Results!I149,"")</f>
        <v/>
      </c>
      <c r="I182" s="33"/>
      <c r="J182" s="33"/>
      <c r="K182" s="33"/>
      <c r="L182" s="33"/>
      <c r="M182" s="33"/>
      <c r="N182" s="33"/>
      <c r="O182" s="33"/>
      <c r="P182" s="33"/>
    </row>
    <row r="183" spans="1:16">
      <c r="A183" s="33" t="str">
        <f>IF(Results!H150="Complete",Results!A150,"")</f>
        <v/>
      </c>
      <c r="B183" s="33" t="str">
        <f>IF(Results!H150="Complete",Results!B150,"")</f>
        <v/>
      </c>
      <c r="C183" s="33" t="str">
        <f>IF(Results!H150="Complete",Results!C150,"")</f>
        <v/>
      </c>
      <c r="D183" s="33" t="str">
        <f>IF(Results!H150="Complete",Results!D150,"")</f>
        <v/>
      </c>
      <c r="E183" s="33" t="str">
        <f>IF(Results!H150="Complete",Results!E150,"")</f>
        <v/>
      </c>
      <c r="F183" s="33" t="str">
        <f>IF(Results!H150="Complete",Results!G150,"")</f>
        <v/>
      </c>
      <c r="G183" s="33" t="str">
        <f>IF(Results!H150="Complete",Results!F150,"")</f>
        <v/>
      </c>
      <c r="H183" s="33" t="str">
        <f>IF(Results!H150="Complete",Results!I150,"")</f>
        <v/>
      </c>
      <c r="I183" s="33"/>
      <c r="J183" s="33"/>
      <c r="K183" s="33"/>
      <c r="L183" s="33"/>
      <c r="M183" s="33"/>
      <c r="N183" s="33"/>
      <c r="O183" s="33"/>
      <c r="P183" s="33"/>
    </row>
    <row r="184" spans="1:16">
      <c r="A184" s="33" t="str">
        <f>IF(Results!H151="Complete",Results!A151,"")</f>
        <v/>
      </c>
      <c r="B184" s="33" t="str">
        <f>IF(Results!H151="Complete",Results!B151,"")</f>
        <v/>
      </c>
      <c r="C184" s="33" t="str">
        <f>IF(Results!H151="Complete",Results!C151,"")</f>
        <v/>
      </c>
      <c r="D184" s="33" t="str">
        <f>IF(Results!H151="Complete",Results!D151,"")</f>
        <v/>
      </c>
      <c r="E184" s="33" t="str">
        <f>IF(Results!H151="Complete",Results!E151,"")</f>
        <v/>
      </c>
      <c r="F184" s="33" t="str">
        <f>IF(Results!H151="Complete",Results!G151,"")</f>
        <v/>
      </c>
      <c r="G184" s="33" t="str">
        <f>IF(Results!H151="Complete",Results!F151,"")</f>
        <v/>
      </c>
      <c r="H184" s="33" t="str">
        <f>IF(Results!H151="Complete",Results!I151,"")</f>
        <v/>
      </c>
      <c r="I184" s="33"/>
      <c r="J184" s="33"/>
      <c r="K184" s="33"/>
      <c r="L184" s="33"/>
      <c r="M184" s="33"/>
      <c r="N184" s="33"/>
      <c r="O184" s="33"/>
      <c r="P184" s="33"/>
    </row>
    <row r="185" spans="1:16">
      <c r="A185" s="33" t="str">
        <f>IF(Results!H152="Complete",Results!A152,"")</f>
        <v/>
      </c>
      <c r="B185" s="33" t="str">
        <f>IF(Results!H152="Complete",Results!B152,"")</f>
        <v/>
      </c>
      <c r="C185" s="33" t="str">
        <f>IF(Results!H152="Complete",Results!C152,"")</f>
        <v/>
      </c>
      <c r="D185" s="33" t="str">
        <f>IF(Results!H152="Complete",Results!D152,"")</f>
        <v/>
      </c>
      <c r="E185" s="33" t="str">
        <f>IF(Results!H152="Complete",Results!E152,"")</f>
        <v/>
      </c>
      <c r="F185" s="33" t="str">
        <f>IF(Results!H152="Complete",Results!G152,"")</f>
        <v/>
      </c>
      <c r="G185" s="33" t="str">
        <f>IF(Results!H152="Complete",Results!F152,"")</f>
        <v/>
      </c>
      <c r="H185" s="33" t="str">
        <f>IF(Results!H152="Complete",Results!I152,"")</f>
        <v/>
      </c>
      <c r="I185" s="33"/>
      <c r="J185" s="33"/>
      <c r="K185" s="33"/>
      <c r="L185" s="33"/>
      <c r="M185" s="33"/>
      <c r="N185" s="33"/>
      <c r="O185" s="33"/>
      <c r="P185" s="33"/>
    </row>
    <row r="186" spans="1:16">
      <c r="A186" s="33" t="str">
        <f>IF(Results!H153="Complete",Results!A153,"")</f>
        <v/>
      </c>
      <c r="B186" s="33" t="str">
        <f>IF(Results!H153="Complete",Results!B153,"")</f>
        <v/>
      </c>
      <c r="C186" s="33" t="str">
        <f>IF(Results!H153="Complete",Results!C153,"")</f>
        <v/>
      </c>
      <c r="D186" s="33" t="str">
        <f>IF(Results!H153="Complete",Results!D153,"")</f>
        <v/>
      </c>
      <c r="E186" s="33" t="str">
        <f>IF(Results!H153="Complete",Results!E153,"")</f>
        <v/>
      </c>
      <c r="F186" s="33" t="str">
        <f>IF(Results!H153="Complete",Results!G153,"")</f>
        <v/>
      </c>
      <c r="G186" s="33" t="str">
        <f>IF(Results!H153="Complete",Results!F153,"")</f>
        <v/>
      </c>
      <c r="H186" s="33" t="str">
        <f>IF(Results!H153="Complete",Results!I153,"")</f>
        <v/>
      </c>
      <c r="I186" s="33"/>
      <c r="J186" s="33"/>
      <c r="K186" s="33"/>
      <c r="L186" s="33"/>
      <c r="M186" s="33"/>
      <c r="N186" s="33"/>
      <c r="O186" s="33"/>
      <c r="P186" s="33"/>
    </row>
    <row r="187" spans="1:16">
      <c r="A187" s="33" t="str">
        <f>IF(Results!H154="Complete",Results!A154,"")</f>
        <v/>
      </c>
      <c r="B187" s="33" t="str">
        <f>IF(Results!H154="Complete",Results!B154,"")</f>
        <v/>
      </c>
      <c r="C187" s="33" t="str">
        <f>IF(Results!H154="Complete",Results!C154,"")</f>
        <v/>
      </c>
      <c r="D187" s="33" t="str">
        <f>IF(Results!H154="Complete",Results!D154,"")</f>
        <v/>
      </c>
      <c r="E187" s="33" t="str">
        <f>IF(Results!H154="Complete",Results!E154,"")</f>
        <v/>
      </c>
      <c r="F187" s="33" t="str">
        <f>IF(Results!H154="Complete",Results!G154,"")</f>
        <v/>
      </c>
      <c r="G187" s="33" t="str">
        <f>IF(Results!H154="Complete",Results!F154,"")</f>
        <v/>
      </c>
      <c r="H187" s="33" t="str">
        <f>IF(Results!H154="Complete",Results!I154,"")</f>
        <v/>
      </c>
      <c r="I187" s="33"/>
      <c r="J187" s="33"/>
      <c r="K187" s="33"/>
      <c r="L187" s="33"/>
      <c r="M187" s="33"/>
      <c r="N187" s="33"/>
      <c r="O187" s="33"/>
      <c r="P187" s="33"/>
    </row>
    <row r="188" spans="1:16">
      <c r="A188" s="33" t="str">
        <f>IF(Results!H155="Complete",Results!A155,"")</f>
        <v/>
      </c>
      <c r="B188" s="33" t="str">
        <f>IF(Results!H155="Complete",Results!B155,"")</f>
        <v/>
      </c>
      <c r="C188" s="33" t="str">
        <f>IF(Results!H155="Complete",Results!C155,"")</f>
        <v/>
      </c>
      <c r="D188" s="33" t="str">
        <f>IF(Results!H155="Complete",Results!D155,"")</f>
        <v/>
      </c>
      <c r="E188" s="33" t="str">
        <f>IF(Results!H155="Complete",Results!E155,"")</f>
        <v/>
      </c>
      <c r="F188" s="33" t="str">
        <f>IF(Results!H155="Complete",Results!G155,"")</f>
        <v/>
      </c>
      <c r="G188" s="33" t="str">
        <f>IF(Results!H155="Complete",Results!F155,"")</f>
        <v/>
      </c>
      <c r="H188" s="33" t="str">
        <f>IF(Results!H155="Complete",Results!I155,"")</f>
        <v/>
      </c>
      <c r="I188" s="33"/>
      <c r="J188" s="33"/>
      <c r="K188" s="33"/>
      <c r="L188" s="33"/>
      <c r="M188" s="33"/>
      <c r="N188" s="33"/>
      <c r="O188" s="33"/>
      <c r="P188" s="33"/>
    </row>
    <row r="189" spans="1:16">
      <c r="A189" s="33" t="str">
        <f>IF(Results!H156="Complete",Results!A156,"")</f>
        <v/>
      </c>
      <c r="B189" s="33" t="str">
        <f>IF(Results!H156="Complete",Results!B156,"")</f>
        <v/>
      </c>
      <c r="C189" s="33" t="str">
        <f>IF(Results!H156="Complete",Results!C156,"")</f>
        <v/>
      </c>
      <c r="D189" s="33" t="str">
        <f>IF(Results!H156="Complete",Results!D156,"")</f>
        <v/>
      </c>
      <c r="E189" s="33" t="str">
        <f>IF(Results!H156="Complete",Results!E156,"")</f>
        <v/>
      </c>
      <c r="F189" s="33" t="str">
        <f>IF(Results!H156="Complete",Results!G156,"")</f>
        <v/>
      </c>
      <c r="G189" s="33" t="str">
        <f>IF(Results!H156="Complete",Results!F156,"")</f>
        <v/>
      </c>
      <c r="H189" s="33" t="str">
        <f>IF(Results!H156="Complete",Results!I156,"")</f>
        <v/>
      </c>
      <c r="I189" s="33"/>
      <c r="J189" s="33"/>
      <c r="K189" s="33"/>
      <c r="L189" s="33"/>
      <c r="M189" s="33"/>
      <c r="N189" s="33"/>
      <c r="O189" s="33"/>
      <c r="P189" s="33"/>
    </row>
    <row r="190" spans="1:16">
      <c r="A190" s="33" t="str">
        <f>IF(Results!H157="Complete",Results!A157,"")</f>
        <v/>
      </c>
      <c r="B190" s="33" t="str">
        <f>IF(Results!H157="Complete",Results!B157,"")</f>
        <v/>
      </c>
      <c r="C190" s="33" t="str">
        <f>IF(Results!H157="Complete",Results!C157,"")</f>
        <v/>
      </c>
      <c r="D190" s="33" t="str">
        <f>IF(Results!H157="Complete",Results!D157,"")</f>
        <v/>
      </c>
      <c r="E190" s="33" t="str">
        <f>IF(Results!H157="Complete",Results!E157,"")</f>
        <v/>
      </c>
      <c r="F190" s="33" t="str">
        <f>IF(Results!H157="Complete",Results!G157,"")</f>
        <v/>
      </c>
      <c r="G190" s="33" t="str">
        <f>IF(Results!H157="Complete",Results!F157,"")</f>
        <v/>
      </c>
      <c r="H190" s="33" t="str">
        <f>IF(Results!H157="Complete",Results!I157,"")</f>
        <v/>
      </c>
      <c r="I190" s="33"/>
      <c r="J190" s="33"/>
      <c r="K190" s="33"/>
      <c r="L190" s="33"/>
      <c r="M190" s="33"/>
      <c r="N190" s="33"/>
      <c r="O190" s="33"/>
      <c r="P190" s="33"/>
    </row>
    <row r="191" spans="1:16">
      <c r="A191" s="33" t="str">
        <f>IF(Results!H158="Complete",Results!A158,"")</f>
        <v/>
      </c>
      <c r="B191" s="33" t="str">
        <f>IF(Results!H158="Complete",Results!B158,"")</f>
        <v/>
      </c>
      <c r="C191" s="33" t="str">
        <f>IF(Results!H158="Complete",Results!C158,"")</f>
        <v/>
      </c>
      <c r="D191" s="33" t="str">
        <f>IF(Results!H158="Complete",Results!D158,"")</f>
        <v/>
      </c>
      <c r="E191" s="33" t="str">
        <f>IF(Results!H158="Complete",Results!E158,"")</f>
        <v/>
      </c>
      <c r="F191" s="33" t="str">
        <f>IF(Results!H158="Complete",Results!G158,"")</f>
        <v/>
      </c>
      <c r="G191" s="33" t="str">
        <f>IF(Results!H158="Complete",Results!F158,"")</f>
        <v/>
      </c>
      <c r="H191" s="33" t="str">
        <f>IF(Results!H158="Complete",Results!I158,"")</f>
        <v/>
      </c>
      <c r="I191" s="33"/>
      <c r="J191" s="33"/>
      <c r="K191" s="33"/>
      <c r="L191" s="33"/>
      <c r="M191" s="33"/>
      <c r="N191" s="33"/>
      <c r="O191" s="33"/>
      <c r="P191" s="33"/>
    </row>
    <row r="192" spans="1:16">
      <c r="A192" s="33" t="str">
        <f>IF(Results!H159="Complete",Results!A159,"")</f>
        <v/>
      </c>
      <c r="B192" s="33" t="str">
        <f>IF(Results!H159="Complete",Results!B159,"")</f>
        <v/>
      </c>
      <c r="C192" s="33" t="str">
        <f>IF(Results!H159="Complete",Results!C159,"")</f>
        <v/>
      </c>
      <c r="D192" s="33" t="str">
        <f>IF(Results!H159="Complete",Results!D159,"")</f>
        <v/>
      </c>
      <c r="E192" s="33" t="str">
        <f>IF(Results!H159="Complete",Results!E159,"")</f>
        <v/>
      </c>
      <c r="F192" s="33" t="str">
        <f>IF(Results!H159="Complete",Results!G159,"")</f>
        <v/>
      </c>
      <c r="G192" s="33" t="str">
        <f>IF(Results!H159="Complete",Results!F159,"")</f>
        <v/>
      </c>
      <c r="H192" s="33" t="str">
        <f>IF(Results!H159="Complete",Results!I159,"")</f>
        <v/>
      </c>
      <c r="I192" s="33"/>
      <c r="J192" s="33"/>
      <c r="K192" s="33"/>
      <c r="L192" s="33"/>
      <c r="M192" s="33"/>
      <c r="N192" s="33"/>
      <c r="O192" s="33"/>
      <c r="P192" s="33"/>
    </row>
    <row r="193" spans="1:16">
      <c r="A193" s="33" t="str">
        <f>IF(Results!H160="Complete",Results!A160,"")</f>
        <v/>
      </c>
      <c r="B193" s="33" t="str">
        <f>IF(Results!H160="Complete",Results!B160,"")</f>
        <v/>
      </c>
      <c r="C193" s="33" t="str">
        <f>IF(Results!H160="Complete",Results!C160,"")</f>
        <v/>
      </c>
      <c r="D193" s="33" t="str">
        <f>IF(Results!H160="Complete",Results!D160,"")</f>
        <v/>
      </c>
      <c r="E193" s="33" t="str">
        <f>IF(Results!H160="Complete",Results!E160,"")</f>
        <v/>
      </c>
      <c r="F193" s="33" t="str">
        <f>IF(Results!H160="Complete",Results!G160,"")</f>
        <v/>
      </c>
      <c r="G193" s="33" t="str">
        <f>IF(Results!H160="Complete",Results!F160,"")</f>
        <v/>
      </c>
      <c r="H193" s="33" t="str">
        <f>IF(Results!H160="Complete",Results!I160,"")</f>
        <v/>
      </c>
      <c r="I193" s="33"/>
      <c r="J193" s="33"/>
      <c r="K193" s="33"/>
      <c r="L193" s="33"/>
      <c r="M193" s="33"/>
      <c r="N193" s="33"/>
      <c r="O193" s="33"/>
      <c r="P193" s="33"/>
    </row>
    <row r="194" spans="1:16">
      <c r="A194" s="33" t="str">
        <f>IF(Results!H161="Complete",Results!A161,"")</f>
        <v/>
      </c>
      <c r="B194" s="33" t="str">
        <f>IF(Results!H161="Complete",Results!B161,"")</f>
        <v/>
      </c>
      <c r="C194" s="33" t="str">
        <f>IF(Results!H161="Complete",Results!C161,"")</f>
        <v/>
      </c>
      <c r="D194" s="33" t="str">
        <f>IF(Results!H161="Complete",Results!D161,"")</f>
        <v/>
      </c>
      <c r="E194" s="33" t="str">
        <f>IF(Results!H161="Complete",Results!E161,"")</f>
        <v/>
      </c>
      <c r="F194" s="33" t="str">
        <f>IF(Results!H161="Complete",Results!G161,"")</f>
        <v/>
      </c>
      <c r="G194" s="33" t="str">
        <f>IF(Results!H161="Complete",Results!F161,"")</f>
        <v/>
      </c>
      <c r="H194" s="33" t="str">
        <f>IF(Results!H161="Complete",Results!I161,"")</f>
        <v/>
      </c>
      <c r="I194" s="33"/>
      <c r="J194" s="33"/>
      <c r="K194" s="33"/>
      <c r="L194" s="33"/>
      <c r="M194" s="33"/>
      <c r="N194" s="33"/>
      <c r="O194" s="33"/>
      <c r="P194" s="33"/>
    </row>
    <row r="195" spans="1:16">
      <c r="A195" s="33" t="str">
        <f>IF(Results!H162="Complete",Results!A162,"")</f>
        <v/>
      </c>
      <c r="B195" s="33" t="str">
        <f>IF(Results!H162="Complete",Results!B162,"")</f>
        <v/>
      </c>
      <c r="C195" s="33" t="str">
        <f>IF(Results!H162="Complete",Results!C162,"")</f>
        <v/>
      </c>
      <c r="D195" s="33" t="str">
        <f>IF(Results!H162="Complete",Results!D162,"")</f>
        <v/>
      </c>
      <c r="E195" s="33" t="str">
        <f>IF(Results!H162="Complete",Results!E162,"")</f>
        <v/>
      </c>
      <c r="F195" s="33" t="str">
        <f>IF(Results!H162="Complete",Results!G162,"")</f>
        <v/>
      </c>
      <c r="G195" s="33" t="str">
        <f>IF(Results!H162="Complete",Results!F162,"")</f>
        <v/>
      </c>
      <c r="H195" s="33" t="str">
        <f>IF(Results!H162="Complete",Results!I162,"")</f>
        <v/>
      </c>
      <c r="I195" s="33"/>
      <c r="J195" s="33"/>
      <c r="K195" s="33"/>
      <c r="L195" s="33"/>
      <c r="M195" s="33"/>
      <c r="N195" s="33"/>
      <c r="O195" s="33"/>
      <c r="P195" s="33"/>
    </row>
    <row r="196" spans="1:16">
      <c r="A196" s="33" t="str">
        <f>IF(Results!H163="Complete",Results!A163,"")</f>
        <v/>
      </c>
      <c r="B196" s="33" t="str">
        <f>IF(Results!H163="Complete",Results!B163,"")</f>
        <v/>
      </c>
      <c r="C196" s="33" t="str">
        <f>IF(Results!H163="Complete",Results!C163,"")</f>
        <v/>
      </c>
      <c r="D196" s="33" t="str">
        <f>IF(Results!H163="Complete",Results!D163,"")</f>
        <v/>
      </c>
      <c r="E196" s="33" t="str">
        <f>IF(Results!H163="Complete",Results!E163,"")</f>
        <v/>
      </c>
      <c r="F196" s="33" t="str">
        <f>IF(Results!H163="Complete",Results!G163,"")</f>
        <v/>
      </c>
      <c r="G196" s="33" t="str">
        <f>IF(Results!H163="Complete",Results!F163,"")</f>
        <v/>
      </c>
      <c r="H196" s="33" t="str">
        <f>IF(Results!H163="Complete",Results!I163,"")</f>
        <v/>
      </c>
      <c r="I196" s="33"/>
      <c r="J196" s="33"/>
      <c r="K196" s="33"/>
      <c r="L196" s="33"/>
      <c r="M196" s="33"/>
      <c r="N196" s="33"/>
      <c r="O196" s="33"/>
      <c r="P196" s="33"/>
    </row>
    <row r="197" spans="1:16">
      <c r="A197" s="33" t="str">
        <f>IF(Results!H164="Complete",Results!A164,"")</f>
        <v/>
      </c>
      <c r="B197" s="33" t="str">
        <f>IF(Results!H164="Complete",Results!B164,"")</f>
        <v/>
      </c>
      <c r="C197" s="33" t="str">
        <f>IF(Results!H164="Complete",Results!C164,"")</f>
        <v/>
      </c>
      <c r="D197" s="33" t="str">
        <f>IF(Results!H164="Complete",Results!D164,"")</f>
        <v/>
      </c>
      <c r="E197" s="33" t="str">
        <f>IF(Results!H164="Complete",Results!E164,"")</f>
        <v/>
      </c>
      <c r="F197" s="33" t="str">
        <f>IF(Results!H164="Complete",Results!G164,"")</f>
        <v/>
      </c>
      <c r="G197" s="33" t="str">
        <f>IF(Results!H164="Complete",Results!F164,"")</f>
        <v/>
      </c>
      <c r="H197" s="33" t="str">
        <f>IF(Results!H164="Complete",Results!I164,"")</f>
        <v/>
      </c>
      <c r="I197" s="33"/>
      <c r="J197" s="33"/>
      <c r="K197" s="33"/>
      <c r="L197" s="33"/>
      <c r="M197" s="33"/>
      <c r="N197" s="33"/>
      <c r="O197" s="33"/>
      <c r="P197" s="33"/>
    </row>
    <row r="198" spans="1:16">
      <c r="A198" s="33" t="str">
        <f>IF(Results!H165="Complete",Results!A165,"")</f>
        <v/>
      </c>
      <c r="B198" s="33" t="str">
        <f>IF(Results!H165="Complete",Results!B165,"")</f>
        <v/>
      </c>
      <c r="C198" s="33" t="str">
        <f>IF(Results!H165="Complete",Results!C165,"")</f>
        <v/>
      </c>
      <c r="D198" s="33" t="str">
        <f>IF(Results!H165="Complete",Results!D165,"")</f>
        <v/>
      </c>
      <c r="E198" s="33" t="str">
        <f>IF(Results!H165="Complete",Results!E165,"")</f>
        <v/>
      </c>
      <c r="F198" s="33" t="str">
        <f>IF(Results!H165="Complete",Results!G165,"")</f>
        <v/>
      </c>
      <c r="G198" s="33" t="str">
        <f>IF(Results!H165="Complete",Results!F165,"")</f>
        <v/>
      </c>
      <c r="H198" s="33" t="str">
        <f>IF(Results!H165="Complete",Results!I165,"")</f>
        <v/>
      </c>
      <c r="I198" s="33"/>
      <c r="J198" s="33"/>
      <c r="K198" s="33"/>
      <c r="L198" s="33"/>
      <c r="M198" s="33"/>
      <c r="N198" s="33"/>
      <c r="O198" s="33"/>
      <c r="P198" s="33"/>
    </row>
    <row r="199" spans="1:16">
      <c r="A199" s="33" t="str">
        <f>IF(Results!H166="Complete",Results!A166,"")</f>
        <v/>
      </c>
      <c r="B199" s="33" t="str">
        <f>IF(Results!H166="Complete",Results!B166,"")</f>
        <v/>
      </c>
      <c r="C199" s="33" t="str">
        <f>IF(Results!H166="Complete",Results!C166,"")</f>
        <v/>
      </c>
      <c r="D199" s="33" t="str">
        <f>IF(Results!H166="Complete",Results!D166,"")</f>
        <v/>
      </c>
      <c r="E199" s="33" t="str">
        <f>IF(Results!H166="Complete",Results!E166,"")</f>
        <v/>
      </c>
      <c r="F199" s="33" t="str">
        <f>IF(Results!H166="Complete",Results!G166,"")</f>
        <v/>
      </c>
      <c r="G199" s="33" t="str">
        <f>IF(Results!H166="Complete",Results!F166,"")</f>
        <v/>
      </c>
      <c r="H199" s="33" t="str">
        <f>IF(Results!H166="Complete",Results!I166,"")</f>
        <v/>
      </c>
      <c r="I199" s="33"/>
      <c r="J199" s="33"/>
      <c r="K199" s="33"/>
      <c r="L199" s="33"/>
      <c r="M199" s="33"/>
      <c r="N199" s="33"/>
      <c r="O199" s="33"/>
      <c r="P199" s="33"/>
    </row>
    <row r="200" spans="1:16">
      <c r="A200" s="33" t="str">
        <f>IF(Results!H167="Complete",Results!A167,"")</f>
        <v/>
      </c>
      <c r="B200" s="33" t="str">
        <f>IF(Results!H167="Complete",Results!B167,"")</f>
        <v/>
      </c>
      <c r="C200" s="33" t="str">
        <f>IF(Results!H167="Complete",Results!C167,"")</f>
        <v/>
      </c>
      <c r="D200" s="33" t="str">
        <f>IF(Results!H167="Complete",Results!D167,"")</f>
        <v/>
      </c>
      <c r="E200" s="33" t="str">
        <f>IF(Results!H167="Complete",Results!E167,"")</f>
        <v/>
      </c>
      <c r="F200" s="33" t="str">
        <f>IF(Results!H167="Complete",Results!G167,"")</f>
        <v/>
      </c>
      <c r="G200" s="33" t="str">
        <f>IF(Results!H167="Complete",Results!F167,"")</f>
        <v/>
      </c>
      <c r="H200" s="33" t="str">
        <f>IF(Results!H167="Complete",Results!I167,"")</f>
        <v/>
      </c>
      <c r="I200" s="33"/>
      <c r="J200" s="33"/>
      <c r="K200" s="33"/>
      <c r="L200" s="33"/>
      <c r="M200" s="33"/>
      <c r="N200" s="33"/>
      <c r="O200" s="33"/>
      <c r="P200" s="33"/>
    </row>
    <row r="201" spans="1:16">
      <c r="A201" s="33" t="str">
        <f>IF(Results!H168="Complete",Results!A168,"")</f>
        <v/>
      </c>
      <c r="B201" s="33" t="str">
        <f>IF(Results!H168="Complete",Results!B168,"")</f>
        <v/>
      </c>
      <c r="C201" s="33" t="str">
        <f>IF(Results!H168="Complete",Results!C168,"")</f>
        <v/>
      </c>
      <c r="D201" s="33" t="str">
        <f>IF(Results!H168="Complete",Results!D168,"")</f>
        <v/>
      </c>
      <c r="E201" s="33" t="str">
        <f>IF(Results!H168="Complete",Results!E168,"")</f>
        <v/>
      </c>
      <c r="F201" s="33" t="str">
        <f>IF(Results!H168="Complete",Results!G168,"")</f>
        <v/>
      </c>
      <c r="G201" s="33" t="str">
        <f>IF(Results!H168="Complete",Results!F168,"")</f>
        <v/>
      </c>
      <c r="H201" s="33" t="str">
        <f>IF(Results!H168="Complete",Results!I168,"")</f>
        <v/>
      </c>
      <c r="I201" s="33"/>
      <c r="J201" s="33"/>
      <c r="K201" s="33"/>
      <c r="L201" s="33"/>
      <c r="M201" s="33"/>
      <c r="N201" s="33"/>
      <c r="O201" s="33"/>
      <c r="P201" s="33"/>
    </row>
    <row r="202" spans="1:16">
      <c r="A202" s="33" t="str">
        <f>IF(Results!H169="Complete",Results!A169,"")</f>
        <v/>
      </c>
      <c r="B202" s="33" t="str">
        <f>IF(Results!H169="Complete",Results!B169,"")</f>
        <v/>
      </c>
      <c r="C202" s="33" t="str">
        <f>IF(Results!H169="Complete",Results!C169,"")</f>
        <v/>
      </c>
      <c r="D202" s="33" t="str">
        <f>IF(Results!H169="Complete",Results!D169,"")</f>
        <v/>
      </c>
      <c r="E202" s="33" t="str">
        <f>IF(Results!H169="Complete",Results!E169,"")</f>
        <v/>
      </c>
      <c r="F202" s="33" t="str">
        <f>IF(Results!H169="Complete",Results!G169,"")</f>
        <v/>
      </c>
      <c r="G202" s="33" t="str">
        <f>IF(Results!H169="Complete",Results!F169,"")</f>
        <v/>
      </c>
      <c r="H202" s="33" t="str">
        <f>IF(Results!H169="Complete",Results!I169,"")</f>
        <v/>
      </c>
      <c r="I202" s="33"/>
      <c r="J202" s="33"/>
      <c r="K202" s="33"/>
      <c r="L202" s="33"/>
      <c r="M202" s="33"/>
      <c r="N202" s="33"/>
      <c r="O202" s="33"/>
      <c r="P202" s="33"/>
    </row>
    <row r="203" spans="1:16">
      <c r="A203" s="33" t="str">
        <f>IF(Results!H170="Complete",Results!A170,"")</f>
        <v/>
      </c>
      <c r="B203" s="33" t="str">
        <f>IF(Results!H170="Complete",Results!B170,"")</f>
        <v/>
      </c>
      <c r="C203" s="33" t="str">
        <f>IF(Results!H170="Complete",Results!C170,"")</f>
        <v/>
      </c>
      <c r="D203" s="33" t="str">
        <f>IF(Results!H170="Complete",Results!D170,"")</f>
        <v/>
      </c>
      <c r="E203" s="33" t="str">
        <f>IF(Results!H170="Complete",Results!E170,"")</f>
        <v/>
      </c>
      <c r="F203" s="33" t="str">
        <f>IF(Results!H170="Complete",Results!G170,"")</f>
        <v/>
      </c>
      <c r="G203" s="33" t="str">
        <f>IF(Results!H170="Complete",Results!F170,"")</f>
        <v/>
      </c>
      <c r="H203" s="33" t="str">
        <f>IF(Results!H170="Complete",Results!I170,"")</f>
        <v/>
      </c>
      <c r="I203" s="33"/>
      <c r="J203" s="33"/>
      <c r="K203" s="33"/>
      <c r="L203" s="33"/>
      <c r="M203" s="33"/>
      <c r="N203" s="33"/>
      <c r="O203" s="33"/>
      <c r="P203" s="33"/>
    </row>
    <row r="204" spans="1:16">
      <c r="A204" s="33" t="str">
        <f>IF(Results!H171="Complete",Results!A171,"")</f>
        <v/>
      </c>
      <c r="B204" s="33" t="str">
        <f>IF(Results!H171="Complete",Results!B171,"")</f>
        <v/>
      </c>
      <c r="C204" s="33" t="str">
        <f>IF(Results!H171="Complete",Results!C171,"")</f>
        <v/>
      </c>
      <c r="D204" s="33" t="str">
        <f>IF(Results!H171="Complete",Results!D171,"")</f>
        <v/>
      </c>
      <c r="E204" s="33" t="str">
        <f>IF(Results!H171="Complete",Results!E171,"")</f>
        <v/>
      </c>
      <c r="F204" s="33" t="str">
        <f>IF(Results!H171="Complete",Results!G171,"")</f>
        <v/>
      </c>
      <c r="G204" s="33" t="str">
        <f>IF(Results!H171="Complete",Results!F171,"")</f>
        <v/>
      </c>
      <c r="H204" s="33" t="str">
        <f>IF(Results!H171="Complete",Results!I171,"")</f>
        <v/>
      </c>
      <c r="I204" s="33"/>
      <c r="J204" s="33"/>
      <c r="K204" s="33"/>
      <c r="L204" s="33"/>
      <c r="M204" s="33"/>
      <c r="N204" s="33"/>
      <c r="O204" s="33"/>
      <c r="P204" s="33"/>
    </row>
    <row r="205" spans="1:16">
      <c r="A205" s="33" t="str">
        <f>IF(Results!H172="Complete",Results!A172,"")</f>
        <v/>
      </c>
      <c r="B205" s="33" t="str">
        <f>IF(Results!H172="Complete",Results!B172,"")</f>
        <v/>
      </c>
      <c r="C205" s="33" t="str">
        <f>IF(Results!H172="Complete",Results!C172,"")</f>
        <v/>
      </c>
      <c r="D205" s="33" t="str">
        <f>IF(Results!H172="Complete",Results!D172,"")</f>
        <v/>
      </c>
      <c r="E205" s="33" t="str">
        <f>IF(Results!H172="Complete",Results!E172,"")</f>
        <v/>
      </c>
      <c r="F205" s="33" t="str">
        <f>IF(Results!H172="Complete",Results!G172,"")</f>
        <v/>
      </c>
      <c r="G205" s="33" t="str">
        <f>IF(Results!H172="Complete",Results!F172,"")</f>
        <v/>
      </c>
      <c r="H205" s="33" t="str">
        <f>IF(Results!H172="Complete",Results!I172,"")</f>
        <v/>
      </c>
      <c r="I205" s="33"/>
      <c r="J205" s="33"/>
      <c r="K205" s="33"/>
      <c r="L205" s="33"/>
      <c r="M205" s="33"/>
      <c r="N205" s="33"/>
      <c r="O205" s="33"/>
      <c r="P205" s="33"/>
    </row>
    <row r="206" spans="1:16">
      <c r="A206" s="33" t="str">
        <f>IF(Results!H173="Complete",Results!A173,"")</f>
        <v/>
      </c>
      <c r="B206" s="33" t="str">
        <f>IF(Results!H173="Complete",Results!B173,"")</f>
        <v/>
      </c>
      <c r="C206" s="33" t="str">
        <f>IF(Results!H173="Complete",Results!C173,"")</f>
        <v/>
      </c>
      <c r="D206" s="33" t="str">
        <f>IF(Results!H173="Complete",Results!D173,"")</f>
        <v/>
      </c>
      <c r="E206" s="33" t="str">
        <f>IF(Results!H173="Complete",Results!E173,"")</f>
        <v/>
      </c>
      <c r="F206" s="33" t="str">
        <f>IF(Results!H173="Complete",Results!G173,"")</f>
        <v/>
      </c>
      <c r="G206" s="33" t="str">
        <f>IF(Results!H173="Complete",Results!F173,"")</f>
        <v/>
      </c>
      <c r="H206" s="33" t="str">
        <f>IF(Results!H173="Complete",Results!I173,"")</f>
        <v/>
      </c>
      <c r="I206" s="33"/>
      <c r="J206" s="33"/>
      <c r="K206" s="33"/>
      <c r="L206" s="33"/>
      <c r="M206" s="33"/>
      <c r="N206" s="33"/>
      <c r="O206" s="33"/>
      <c r="P206" s="33"/>
    </row>
    <row r="207" spans="1:16">
      <c r="A207" s="33" t="str">
        <f>IF(Results!H174="Complete",Results!A174,"")</f>
        <v/>
      </c>
      <c r="B207" s="33" t="str">
        <f>IF(Results!H174="Complete",Results!B174,"")</f>
        <v/>
      </c>
      <c r="C207" s="33" t="str">
        <f>IF(Results!H174="Complete",Results!C174,"")</f>
        <v/>
      </c>
      <c r="D207" s="33" t="str">
        <f>IF(Results!H174="Complete",Results!D174,"")</f>
        <v/>
      </c>
      <c r="E207" s="33" t="str">
        <f>IF(Results!H174="Complete",Results!E174,"")</f>
        <v/>
      </c>
      <c r="F207" s="33" t="str">
        <f>IF(Results!H174="Complete",Results!G174,"")</f>
        <v/>
      </c>
      <c r="G207" s="33" t="str">
        <f>IF(Results!H174="Complete",Results!F174,"")</f>
        <v/>
      </c>
      <c r="H207" s="33" t="str">
        <f>IF(Results!H174="Complete",Results!I174,"")</f>
        <v/>
      </c>
      <c r="I207" s="33"/>
      <c r="J207" s="33"/>
      <c r="K207" s="33"/>
      <c r="L207" s="33"/>
      <c r="M207" s="33"/>
      <c r="N207" s="33"/>
      <c r="O207" s="33"/>
      <c r="P207" s="33"/>
    </row>
    <row r="208" spans="1:16">
      <c r="A208" s="33" t="str">
        <f>IF(Results!H175="Complete",Results!A175,"")</f>
        <v/>
      </c>
      <c r="B208" s="33" t="str">
        <f>IF(Results!H175="Complete",Results!B175,"")</f>
        <v/>
      </c>
      <c r="C208" s="33" t="str">
        <f>IF(Results!H175="Complete",Results!C175,"")</f>
        <v/>
      </c>
      <c r="D208" s="33" t="str">
        <f>IF(Results!H175="Complete",Results!D175,"")</f>
        <v/>
      </c>
      <c r="E208" s="33" t="str">
        <f>IF(Results!H175="Complete",Results!E175,"")</f>
        <v/>
      </c>
      <c r="F208" s="33" t="str">
        <f>IF(Results!H175="Complete",Results!G175,"")</f>
        <v/>
      </c>
      <c r="G208" s="33" t="str">
        <f>IF(Results!H175="Complete",Results!F175,"")</f>
        <v/>
      </c>
      <c r="H208" s="33" t="str">
        <f>IF(Results!H175="Complete",Results!I175,"")</f>
        <v/>
      </c>
      <c r="I208" s="33"/>
      <c r="J208" s="33"/>
      <c r="K208" s="33"/>
      <c r="L208" s="33"/>
      <c r="M208" s="33"/>
      <c r="N208" s="33"/>
      <c r="O208" s="33"/>
      <c r="P208" s="33"/>
    </row>
    <row r="209" spans="1:16">
      <c r="A209" s="33" t="str">
        <f>IF(Results!H176="Complete",Results!A176,"")</f>
        <v/>
      </c>
      <c r="B209" s="33" t="str">
        <f>IF(Results!H176="Complete",Results!B176,"")</f>
        <v/>
      </c>
      <c r="C209" s="33" t="str">
        <f>IF(Results!H176="Complete",Results!C176,"")</f>
        <v/>
      </c>
      <c r="D209" s="33" t="str">
        <f>IF(Results!H176="Complete",Results!D176,"")</f>
        <v/>
      </c>
      <c r="E209" s="33" t="str">
        <f>IF(Results!H176="Complete",Results!E176,"")</f>
        <v/>
      </c>
      <c r="F209" s="33" t="str">
        <f>IF(Results!H176="Complete",Results!G176,"")</f>
        <v/>
      </c>
      <c r="G209" s="33" t="str">
        <f>IF(Results!H176="Complete",Results!F176,"")</f>
        <v/>
      </c>
      <c r="H209" s="33" t="str">
        <f>IF(Results!H176="Complete",Results!I176,"")</f>
        <v/>
      </c>
      <c r="I209" s="33"/>
      <c r="J209" s="33"/>
      <c r="K209" s="33"/>
      <c r="L209" s="33"/>
      <c r="M209" s="33"/>
      <c r="N209" s="33"/>
      <c r="O209" s="33"/>
      <c r="P209" s="33"/>
    </row>
    <row r="210" spans="1:16">
      <c r="A210" s="33" t="str">
        <f>IF(Results!H177="Complete",Results!A177,"")</f>
        <v/>
      </c>
      <c r="B210" s="33" t="str">
        <f>IF(Results!H177="Complete",Results!B177,"")</f>
        <v/>
      </c>
      <c r="C210" s="33" t="str">
        <f>IF(Results!H177="Complete",Results!C177,"")</f>
        <v/>
      </c>
      <c r="D210" s="33" t="str">
        <f>IF(Results!H177="Complete",Results!D177,"")</f>
        <v/>
      </c>
      <c r="E210" s="33" t="str">
        <f>IF(Results!H177="Complete",Results!E177,"")</f>
        <v/>
      </c>
      <c r="F210" s="33" t="str">
        <f>IF(Results!H177="Complete",Results!G177,"")</f>
        <v/>
      </c>
      <c r="G210" s="33" t="str">
        <f>IF(Results!H177="Complete",Results!F177,"")</f>
        <v/>
      </c>
      <c r="H210" s="33" t="str">
        <f>IF(Results!H177="Complete",Results!I177,"")</f>
        <v/>
      </c>
      <c r="I210" s="33"/>
      <c r="J210" s="33"/>
      <c r="K210" s="33"/>
      <c r="L210" s="33"/>
      <c r="M210" s="33"/>
      <c r="N210" s="33"/>
      <c r="O210" s="33"/>
      <c r="P210" s="33"/>
    </row>
    <row r="211" spans="1:16">
      <c r="A211" s="33" t="str">
        <f>IF(Results!H178="Complete",Results!A178,"")</f>
        <v/>
      </c>
      <c r="B211" s="33" t="str">
        <f>IF(Results!H178="Complete",Results!B178,"")</f>
        <v/>
      </c>
      <c r="C211" s="33" t="str">
        <f>IF(Results!H178="Complete",Results!C178,"")</f>
        <v/>
      </c>
      <c r="D211" s="33" t="str">
        <f>IF(Results!H178="Complete",Results!D178,"")</f>
        <v/>
      </c>
      <c r="E211" s="33" t="str">
        <f>IF(Results!H178="Complete",Results!E178,"")</f>
        <v/>
      </c>
      <c r="F211" s="33" t="str">
        <f>IF(Results!H178="Complete",Results!G178,"")</f>
        <v/>
      </c>
      <c r="G211" s="33" t="str">
        <f>IF(Results!H178="Complete",Results!F178,"")</f>
        <v/>
      </c>
      <c r="H211" s="33" t="str">
        <f>IF(Results!H178="Complete",Results!I178,"")</f>
        <v/>
      </c>
      <c r="I211" s="33"/>
      <c r="J211" s="33"/>
      <c r="K211" s="33"/>
      <c r="L211" s="33"/>
      <c r="M211" s="33"/>
      <c r="N211" s="33"/>
      <c r="O211" s="33"/>
      <c r="P211" s="33"/>
    </row>
    <row r="212" spans="1:16">
      <c r="A212" s="33" t="str">
        <f>IF(Results!H179="Complete",Results!A179,"")</f>
        <v/>
      </c>
      <c r="B212" s="33" t="str">
        <f>IF(Results!H179="Complete",Results!B179,"")</f>
        <v/>
      </c>
      <c r="C212" s="33" t="str">
        <f>IF(Results!H179="Complete",Results!C179,"")</f>
        <v/>
      </c>
      <c r="D212" s="33" t="str">
        <f>IF(Results!H179="Complete",Results!D179,"")</f>
        <v/>
      </c>
      <c r="E212" s="33" t="str">
        <f>IF(Results!H179="Complete",Results!E179,"")</f>
        <v/>
      </c>
      <c r="F212" s="33" t="str">
        <f>IF(Results!H179="Complete",Results!G179,"")</f>
        <v/>
      </c>
      <c r="G212" s="33" t="str">
        <f>IF(Results!H179="Complete",Results!F179,"")</f>
        <v/>
      </c>
      <c r="H212" s="33" t="str">
        <f>IF(Results!H179="Complete",Results!I179,"")</f>
        <v/>
      </c>
      <c r="I212" s="33"/>
      <c r="J212" s="33"/>
      <c r="K212" s="33"/>
      <c r="L212" s="33"/>
      <c r="M212" s="33"/>
      <c r="N212" s="33"/>
      <c r="O212" s="33"/>
      <c r="P212" s="33"/>
    </row>
    <row r="213" spans="1:16">
      <c r="A213" s="33" t="str">
        <f>IF(Results!H180="Complete",Results!A180,"")</f>
        <v/>
      </c>
      <c r="B213" s="33" t="str">
        <f>IF(Results!H180="Complete",Results!B180,"")</f>
        <v/>
      </c>
      <c r="C213" s="33" t="str">
        <f>IF(Results!H180="Complete",Results!C180,"")</f>
        <v/>
      </c>
      <c r="D213" s="33" t="str">
        <f>IF(Results!H180="Complete",Results!D180,"")</f>
        <v/>
      </c>
      <c r="E213" s="33" t="str">
        <f>IF(Results!H180="Complete",Results!E180,"")</f>
        <v/>
      </c>
      <c r="F213" s="33" t="str">
        <f>IF(Results!H180="Complete",Results!G180,"")</f>
        <v/>
      </c>
      <c r="G213" s="33" t="str">
        <f>IF(Results!H180="Complete",Results!F180,"")</f>
        <v/>
      </c>
      <c r="H213" s="33" t="str">
        <f>IF(Results!H180="Complete",Results!I180,"")</f>
        <v/>
      </c>
      <c r="I213" s="33"/>
      <c r="J213" s="33"/>
      <c r="K213" s="33"/>
      <c r="L213" s="33"/>
      <c r="M213" s="33"/>
      <c r="N213" s="33"/>
      <c r="O213" s="33"/>
      <c r="P213" s="33"/>
    </row>
    <row r="214" spans="1:16">
      <c r="A214" s="33" t="str">
        <f>IF(Results!H181="Complete",Results!A181,"")</f>
        <v/>
      </c>
      <c r="B214" s="33" t="str">
        <f>IF(Results!H181="Complete",Results!B181,"")</f>
        <v/>
      </c>
      <c r="C214" s="33" t="str">
        <f>IF(Results!H181="Complete",Results!C181,"")</f>
        <v/>
      </c>
      <c r="D214" s="33" t="str">
        <f>IF(Results!H181="Complete",Results!D181,"")</f>
        <v/>
      </c>
      <c r="E214" s="33" t="str">
        <f>IF(Results!H181="Complete",Results!E181,"")</f>
        <v/>
      </c>
      <c r="F214" s="33" t="str">
        <f>IF(Results!H181="Complete",Results!G181,"")</f>
        <v/>
      </c>
      <c r="G214" s="33" t="str">
        <f>IF(Results!H181="Complete",Results!F181,"")</f>
        <v/>
      </c>
      <c r="H214" s="33" t="str">
        <f>IF(Results!H181="Complete",Results!I181,"")</f>
        <v/>
      </c>
      <c r="I214" s="33"/>
      <c r="J214" s="33"/>
      <c r="K214" s="33"/>
      <c r="L214" s="33"/>
      <c r="M214" s="33"/>
      <c r="N214" s="33"/>
      <c r="O214" s="33"/>
      <c r="P214" s="33"/>
    </row>
    <row r="215" spans="1:16">
      <c r="A215" s="33" t="str">
        <f>IF(Results!H182="Complete",Results!A182,"")</f>
        <v/>
      </c>
      <c r="B215" s="33" t="str">
        <f>IF(Results!H182="Complete",Results!B182,"")</f>
        <v/>
      </c>
      <c r="C215" s="33" t="str">
        <f>IF(Results!H182="Complete",Results!C182,"")</f>
        <v/>
      </c>
      <c r="D215" s="33" t="str">
        <f>IF(Results!H182="Complete",Results!D182,"")</f>
        <v/>
      </c>
      <c r="E215" s="33" t="str">
        <f>IF(Results!H182="Complete",Results!E182,"")</f>
        <v/>
      </c>
      <c r="F215" s="33" t="str">
        <f>IF(Results!H182="Complete",Results!G182,"")</f>
        <v/>
      </c>
      <c r="G215" s="33" t="str">
        <f>IF(Results!H182="Complete",Results!F182,"")</f>
        <v/>
      </c>
      <c r="H215" s="33" t="str">
        <f>IF(Results!H182="Complete",Results!I182,"")</f>
        <v/>
      </c>
      <c r="I215" s="33"/>
      <c r="J215" s="33"/>
      <c r="K215" s="33"/>
      <c r="L215" s="33"/>
      <c r="M215" s="33"/>
      <c r="N215" s="33"/>
      <c r="O215" s="33"/>
      <c r="P215" s="33"/>
    </row>
    <row r="216" spans="1:16">
      <c r="A216" s="33" t="str">
        <f>IF(Results!H183="Complete",Results!A183,"")</f>
        <v/>
      </c>
      <c r="B216" s="33" t="str">
        <f>IF(Results!H183="Complete",Results!B183,"")</f>
        <v/>
      </c>
      <c r="C216" s="33" t="str">
        <f>IF(Results!H183="Complete",Results!C183,"")</f>
        <v/>
      </c>
      <c r="D216" s="33" t="str">
        <f>IF(Results!H183="Complete",Results!D183,"")</f>
        <v/>
      </c>
      <c r="E216" s="33" t="str">
        <f>IF(Results!H183="Complete",Results!E183,"")</f>
        <v/>
      </c>
      <c r="F216" s="33" t="str">
        <f>IF(Results!H183="Complete",Results!G183,"")</f>
        <v/>
      </c>
      <c r="G216" s="33" t="str">
        <f>IF(Results!H183="Complete",Results!F183,"")</f>
        <v/>
      </c>
      <c r="H216" s="33" t="str">
        <f>IF(Results!H183="Complete",Results!I183,"")</f>
        <v/>
      </c>
      <c r="I216" s="33"/>
      <c r="J216" s="33"/>
      <c r="K216" s="33"/>
      <c r="L216" s="33"/>
      <c r="M216" s="33"/>
      <c r="N216" s="33"/>
      <c r="O216" s="33"/>
      <c r="P216" s="33"/>
    </row>
    <row r="217" spans="1:16">
      <c r="A217" s="33" t="str">
        <f>IF(Results!H184="Complete",Results!A184,"")</f>
        <v/>
      </c>
      <c r="B217" s="33" t="str">
        <f>IF(Results!H184="Complete",Results!B184,"")</f>
        <v/>
      </c>
      <c r="C217" s="33" t="str">
        <f>IF(Results!H184="Complete",Results!C184,"")</f>
        <v/>
      </c>
      <c r="D217" s="33" t="str">
        <f>IF(Results!H184="Complete",Results!D184,"")</f>
        <v/>
      </c>
      <c r="E217" s="33" t="str">
        <f>IF(Results!H184="Complete",Results!E184,"")</f>
        <v/>
      </c>
      <c r="F217" s="33" t="str">
        <f>IF(Results!H184="Complete",Results!G184,"")</f>
        <v/>
      </c>
      <c r="G217" s="33" t="str">
        <f>IF(Results!H184="Complete",Results!F184,"")</f>
        <v/>
      </c>
      <c r="H217" s="33" t="str">
        <f>IF(Results!H184="Complete",Results!I184,"")</f>
        <v/>
      </c>
      <c r="I217" s="33"/>
      <c r="J217" s="33"/>
      <c r="K217" s="33"/>
      <c r="L217" s="33"/>
      <c r="M217" s="33"/>
      <c r="N217" s="33"/>
      <c r="O217" s="33"/>
      <c r="P217" s="33"/>
    </row>
    <row r="218" spans="1:16">
      <c r="A218" s="33" t="str">
        <f>IF(Results!H185="Complete",Results!A185,"")</f>
        <v/>
      </c>
      <c r="B218" s="33" t="str">
        <f>IF(Results!H185="Complete",Results!B185,"")</f>
        <v/>
      </c>
      <c r="C218" s="33" t="str">
        <f>IF(Results!H185="Complete",Results!C185,"")</f>
        <v/>
      </c>
      <c r="D218" s="33" t="str">
        <f>IF(Results!H185="Complete",Results!D185,"")</f>
        <v/>
      </c>
      <c r="E218" s="33" t="str">
        <f>IF(Results!H185="Complete",Results!E185,"")</f>
        <v/>
      </c>
      <c r="F218" s="33" t="str">
        <f>IF(Results!H185="Complete",Results!G185,"")</f>
        <v/>
      </c>
      <c r="G218" s="33" t="str">
        <f>IF(Results!H185="Complete",Results!F185,"")</f>
        <v/>
      </c>
      <c r="H218" s="33" t="str">
        <f>IF(Results!H185="Complete",Results!I185,"")</f>
        <v/>
      </c>
      <c r="I218" s="33"/>
      <c r="J218" s="33"/>
      <c r="K218" s="33"/>
      <c r="L218" s="33"/>
      <c r="M218" s="33"/>
      <c r="N218" s="33"/>
      <c r="O218" s="33"/>
      <c r="P218" s="33"/>
    </row>
    <row r="219" spans="1:16">
      <c r="A219" s="33" t="str">
        <f>IF(Results!H186="Complete",Results!A186,"")</f>
        <v/>
      </c>
      <c r="B219" s="33" t="str">
        <f>IF(Results!H186="Complete",Results!B186,"")</f>
        <v/>
      </c>
      <c r="C219" s="33" t="str">
        <f>IF(Results!H186="Complete",Results!C186,"")</f>
        <v/>
      </c>
      <c r="D219" s="33" t="str">
        <f>IF(Results!H186="Complete",Results!D186,"")</f>
        <v/>
      </c>
      <c r="E219" s="33" t="str">
        <f>IF(Results!H186="Complete",Results!E186,"")</f>
        <v/>
      </c>
      <c r="F219" s="33" t="str">
        <f>IF(Results!H186="Complete",Results!G186,"")</f>
        <v/>
      </c>
      <c r="G219" s="33" t="str">
        <f>IF(Results!H186="Complete",Results!F186,"")</f>
        <v/>
      </c>
      <c r="H219" s="33" t="str">
        <f>IF(Results!H186="Complete",Results!I186,"")</f>
        <v/>
      </c>
      <c r="I219" s="33"/>
      <c r="J219" s="33"/>
      <c r="K219" s="33"/>
      <c r="L219" s="33"/>
      <c r="M219" s="33"/>
      <c r="N219" s="33"/>
      <c r="O219" s="33"/>
      <c r="P219" s="33"/>
    </row>
    <row r="220" spans="1:16">
      <c r="A220" s="33" t="str">
        <f>IF(Results!H187="Complete",Results!A187,"")</f>
        <v/>
      </c>
      <c r="B220" s="33" t="str">
        <f>IF(Results!H187="Complete",Results!B187,"")</f>
        <v/>
      </c>
      <c r="C220" s="33" t="str">
        <f>IF(Results!H187="Complete",Results!C187,"")</f>
        <v/>
      </c>
      <c r="D220" s="33" t="str">
        <f>IF(Results!H187="Complete",Results!D187,"")</f>
        <v/>
      </c>
      <c r="E220" s="33" t="str">
        <f>IF(Results!H187="Complete",Results!E187,"")</f>
        <v/>
      </c>
      <c r="F220" s="33" t="str">
        <f>IF(Results!H187="Complete",Results!G187,"")</f>
        <v/>
      </c>
      <c r="G220" s="33" t="str">
        <f>IF(Results!H187="Complete",Results!F187,"")</f>
        <v/>
      </c>
      <c r="H220" s="33" t="str">
        <f>IF(Results!H187="Complete",Results!I187,"")</f>
        <v/>
      </c>
      <c r="I220" s="33"/>
      <c r="J220" s="33"/>
      <c r="K220" s="33"/>
      <c r="L220" s="33"/>
      <c r="M220" s="33"/>
      <c r="N220" s="33"/>
      <c r="O220" s="33"/>
      <c r="P220" s="33"/>
    </row>
    <row r="221" spans="1:16">
      <c r="A221" s="33" t="str">
        <f>IF(Results!H188="Complete",Results!A188,"")</f>
        <v/>
      </c>
      <c r="B221" s="33" t="str">
        <f>IF(Results!H188="Complete",Results!B188,"")</f>
        <v/>
      </c>
      <c r="C221" s="33" t="str">
        <f>IF(Results!H188="Complete",Results!C188,"")</f>
        <v/>
      </c>
      <c r="D221" s="33" t="str">
        <f>IF(Results!H188="Complete",Results!D188,"")</f>
        <v/>
      </c>
      <c r="E221" s="33" t="str">
        <f>IF(Results!H188="Complete",Results!E188,"")</f>
        <v/>
      </c>
      <c r="F221" s="33" t="str">
        <f>IF(Results!H188="Complete",Results!G188,"")</f>
        <v/>
      </c>
      <c r="G221" s="33" t="str">
        <f>IF(Results!H188="Complete",Results!F188,"")</f>
        <v/>
      </c>
      <c r="H221" s="33" t="str">
        <f>IF(Results!H188="Complete",Results!I188,"")</f>
        <v/>
      </c>
      <c r="I221" s="33"/>
      <c r="J221" s="33"/>
      <c r="K221" s="33"/>
      <c r="L221" s="33"/>
      <c r="M221" s="33"/>
      <c r="N221" s="33"/>
      <c r="O221" s="33"/>
      <c r="P221" s="33"/>
    </row>
    <row r="222" spans="1:16">
      <c r="A222" s="33" t="str">
        <f>IF(Results!H189="Complete",Results!A189,"")</f>
        <v/>
      </c>
      <c r="B222" s="33" t="str">
        <f>IF(Results!H189="Complete",Results!B189,"")</f>
        <v/>
      </c>
      <c r="C222" s="33" t="str">
        <f>IF(Results!H189="Complete",Results!C189,"")</f>
        <v/>
      </c>
      <c r="D222" s="33" t="str">
        <f>IF(Results!H189="Complete",Results!D189,"")</f>
        <v/>
      </c>
      <c r="E222" s="33" t="str">
        <f>IF(Results!H189="Complete",Results!E189,"")</f>
        <v/>
      </c>
      <c r="F222" s="33" t="str">
        <f>IF(Results!H189="Complete",Results!G189,"")</f>
        <v/>
      </c>
      <c r="G222" s="33" t="str">
        <f>IF(Results!H189="Complete",Results!F189,"")</f>
        <v/>
      </c>
      <c r="H222" s="33" t="str">
        <f>IF(Results!H189="Complete",Results!I189,"")</f>
        <v/>
      </c>
      <c r="I222" s="33"/>
      <c r="J222" s="33"/>
      <c r="K222" s="33"/>
      <c r="L222" s="33"/>
      <c r="M222" s="33"/>
      <c r="N222" s="33"/>
      <c r="O222" s="33"/>
      <c r="P222" s="33"/>
    </row>
    <row r="223" spans="1:16">
      <c r="A223" s="33" t="str">
        <f>IF(Results!H190="Complete",Results!A190,"")</f>
        <v/>
      </c>
      <c r="B223" s="33" t="str">
        <f>IF(Results!H190="Complete",Results!B190,"")</f>
        <v/>
      </c>
      <c r="C223" s="33" t="str">
        <f>IF(Results!H190="Complete",Results!C190,"")</f>
        <v/>
      </c>
      <c r="D223" s="33" t="str">
        <f>IF(Results!H190="Complete",Results!D190,"")</f>
        <v/>
      </c>
      <c r="E223" s="33" t="str">
        <f>IF(Results!H190="Complete",Results!E190,"")</f>
        <v/>
      </c>
      <c r="F223" s="33" t="str">
        <f>IF(Results!H190="Complete",Results!G190,"")</f>
        <v/>
      </c>
      <c r="G223" s="33" t="str">
        <f>IF(Results!H190="Complete",Results!F190,"")</f>
        <v/>
      </c>
      <c r="H223" s="33" t="str">
        <f>IF(Results!H190="Complete",Results!I190,"")</f>
        <v/>
      </c>
      <c r="I223" s="33"/>
      <c r="J223" s="33"/>
      <c r="K223" s="33"/>
      <c r="L223" s="33"/>
      <c r="M223" s="33"/>
      <c r="N223" s="33"/>
      <c r="O223" s="33"/>
      <c r="P223" s="33"/>
    </row>
    <row r="224" spans="1:16">
      <c r="A224" s="33" t="str">
        <f>IF(Results!H191="Complete",Results!A191,"")</f>
        <v/>
      </c>
      <c r="B224" s="33" t="str">
        <f>IF(Results!H191="Complete",Results!B191,"")</f>
        <v/>
      </c>
      <c r="C224" s="33" t="str">
        <f>IF(Results!H191="Complete",Results!C191,"")</f>
        <v/>
      </c>
      <c r="D224" s="33" t="str">
        <f>IF(Results!H191="Complete",Results!D191,"")</f>
        <v/>
      </c>
      <c r="E224" s="33" t="str">
        <f>IF(Results!H191="Complete",Results!E191,"")</f>
        <v/>
      </c>
      <c r="F224" s="33" t="str">
        <f>IF(Results!H191="Complete",Results!G191,"")</f>
        <v/>
      </c>
      <c r="G224" s="33" t="str">
        <f>IF(Results!H191="Complete",Results!F191,"")</f>
        <v/>
      </c>
      <c r="H224" s="33" t="str">
        <f>IF(Results!H191="Complete",Results!I191,"")</f>
        <v/>
      </c>
      <c r="I224" s="33"/>
      <c r="J224" s="33"/>
      <c r="K224" s="33"/>
      <c r="L224" s="33"/>
      <c r="M224" s="33"/>
      <c r="N224" s="33"/>
      <c r="O224" s="33"/>
      <c r="P224" s="33"/>
    </row>
    <row r="225" spans="1:16">
      <c r="A225" s="33" t="str">
        <f>IF(Results!H192="Complete",Results!A192,"")</f>
        <v/>
      </c>
      <c r="B225" s="33" t="str">
        <f>IF(Results!H192="Complete",Results!B192,"")</f>
        <v/>
      </c>
      <c r="C225" s="33" t="str">
        <f>IF(Results!H192="Complete",Results!C192,"")</f>
        <v/>
      </c>
      <c r="D225" s="33" t="str">
        <f>IF(Results!H192="Complete",Results!D192,"")</f>
        <v/>
      </c>
      <c r="E225" s="33" t="str">
        <f>IF(Results!H192="Complete",Results!E192,"")</f>
        <v/>
      </c>
      <c r="F225" s="33" t="str">
        <f>IF(Results!H192="Complete",Results!G192,"")</f>
        <v/>
      </c>
      <c r="G225" s="33" t="str">
        <f>IF(Results!H192="Complete",Results!F192,"")</f>
        <v/>
      </c>
      <c r="H225" s="33" t="str">
        <f>IF(Results!H192="Complete",Results!I192,"")</f>
        <v/>
      </c>
      <c r="I225" s="33"/>
      <c r="J225" s="33"/>
      <c r="K225" s="33"/>
      <c r="L225" s="33"/>
      <c r="M225" s="33"/>
      <c r="N225" s="33"/>
      <c r="O225" s="33"/>
      <c r="P225" s="33"/>
    </row>
    <row r="226" spans="1:16">
      <c r="A226" s="33" t="str">
        <f>IF(Results!H193="Complete",Results!A193,"")</f>
        <v/>
      </c>
      <c r="B226" s="33" t="str">
        <f>IF(Results!H193="Complete",Results!B193,"")</f>
        <v/>
      </c>
      <c r="C226" s="33" t="str">
        <f>IF(Results!H193="Complete",Results!C193,"")</f>
        <v/>
      </c>
      <c r="D226" s="33" t="str">
        <f>IF(Results!H193="Complete",Results!D193,"")</f>
        <v/>
      </c>
      <c r="E226" s="33" t="str">
        <f>IF(Results!H193="Complete",Results!E193,"")</f>
        <v/>
      </c>
      <c r="F226" s="33" t="str">
        <f>IF(Results!H193="Complete",Results!G193,"")</f>
        <v/>
      </c>
      <c r="G226" s="33" t="str">
        <f>IF(Results!H193="Complete",Results!F193,"")</f>
        <v/>
      </c>
      <c r="H226" s="33" t="str">
        <f>IF(Results!H193="Complete",Results!I193,"")</f>
        <v/>
      </c>
      <c r="I226" s="33"/>
      <c r="J226" s="33"/>
      <c r="K226" s="33"/>
      <c r="L226" s="33"/>
      <c r="M226" s="33"/>
      <c r="N226" s="33"/>
      <c r="O226" s="33"/>
      <c r="P226" s="33"/>
    </row>
    <row r="227" spans="1:16">
      <c r="A227" s="33" t="str">
        <f>IF(Results!H194="Complete",Results!A194,"")</f>
        <v/>
      </c>
      <c r="B227" s="33" t="str">
        <f>IF(Results!H194="Complete",Results!B194,"")</f>
        <v/>
      </c>
      <c r="C227" s="33" t="str">
        <f>IF(Results!H194="Complete",Results!C194,"")</f>
        <v/>
      </c>
      <c r="D227" s="33" t="str">
        <f>IF(Results!H194="Complete",Results!D194,"")</f>
        <v/>
      </c>
      <c r="E227" s="33" t="str">
        <f>IF(Results!H194="Complete",Results!E194,"")</f>
        <v/>
      </c>
      <c r="F227" s="33" t="str">
        <f>IF(Results!H194="Complete",Results!G194,"")</f>
        <v/>
      </c>
      <c r="G227" s="33" t="str">
        <f>IF(Results!H194="Complete",Results!F194,"")</f>
        <v/>
      </c>
      <c r="H227" s="33" t="str">
        <f>IF(Results!H194="Complete",Results!I194,"")</f>
        <v/>
      </c>
      <c r="I227" s="33"/>
      <c r="J227" s="33"/>
      <c r="K227" s="33"/>
      <c r="L227" s="33"/>
      <c r="M227" s="33"/>
      <c r="N227" s="33"/>
      <c r="O227" s="33"/>
      <c r="P227" s="33"/>
    </row>
    <row r="228" spans="1:16">
      <c r="A228" s="33" t="str">
        <f>IF(Results!H195="Complete",Results!A195,"")</f>
        <v/>
      </c>
      <c r="B228" s="33" t="str">
        <f>IF(Results!H195="Complete",Results!B195,"")</f>
        <v/>
      </c>
      <c r="C228" s="33" t="str">
        <f>IF(Results!H195="Complete",Results!C195,"")</f>
        <v/>
      </c>
      <c r="D228" s="33" t="str">
        <f>IF(Results!H195="Complete",Results!D195,"")</f>
        <v/>
      </c>
      <c r="E228" s="33" t="str">
        <f>IF(Results!H195="Complete",Results!E195,"")</f>
        <v/>
      </c>
      <c r="F228" s="33" t="str">
        <f>IF(Results!H195="Complete",Results!G195,"")</f>
        <v/>
      </c>
      <c r="G228" s="33" t="str">
        <f>IF(Results!H195="Complete",Results!F195,"")</f>
        <v/>
      </c>
      <c r="H228" s="33" t="str">
        <f>IF(Results!H195="Complete",Results!I195,"")</f>
        <v/>
      </c>
      <c r="I228" s="33"/>
      <c r="J228" s="33"/>
      <c r="K228" s="33"/>
      <c r="L228" s="33"/>
      <c r="M228" s="33"/>
      <c r="N228" s="33"/>
      <c r="O228" s="33"/>
      <c r="P228" s="33"/>
    </row>
    <row r="229" spans="1:16">
      <c r="A229" s="33" t="str">
        <f>IF(Results!H196="Complete",Results!A196,"")</f>
        <v/>
      </c>
      <c r="B229" s="33" t="str">
        <f>IF(Results!H196="Complete",Results!B196,"")</f>
        <v/>
      </c>
      <c r="C229" s="33" t="str">
        <f>IF(Results!H196="Complete",Results!C196,"")</f>
        <v/>
      </c>
      <c r="D229" s="33" t="str">
        <f>IF(Results!H196="Complete",Results!D196,"")</f>
        <v/>
      </c>
      <c r="E229" s="33" t="str">
        <f>IF(Results!H196="Complete",Results!E196,"")</f>
        <v/>
      </c>
      <c r="F229" s="33" t="str">
        <f>IF(Results!H196="Complete",Results!G196,"")</f>
        <v/>
      </c>
      <c r="G229" s="33" t="str">
        <f>IF(Results!H196="Complete",Results!F196,"")</f>
        <v/>
      </c>
      <c r="H229" s="33" t="str">
        <f>IF(Results!H196="Complete",Results!I196,"")</f>
        <v/>
      </c>
      <c r="I229" s="33"/>
      <c r="J229" s="33"/>
      <c r="K229" s="33"/>
      <c r="L229" s="33"/>
      <c r="M229" s="33"/>
      <c r="N229" s="33"/>
      <c r="O229" s="33"/>
      <c r="P229" s="33"/>
    </row>
    <row r="230" spans="1:16">
      <c r="A230" s="33" t="str">
        <f>IF(Results!H197="Complete",Results!A197,"")</f>
        <v/>
      </c>
      <c r="B230" s="33" t="str">
        <f>IF(Results!H197="Complete",Results!B197,"")</f>
        <v/>
      </c>
      <c r="C230" s="33" t="str">
        <f>IF(Results!H197="Complete",Results!C197,"")</f>
        <v/>
      </c>
      <c r="D230" s="33" t="str">
        <f>IF(Results!H197="Complete",Results!D197,"")</f>
        <v/>
      </c>
      <c r="E230" s="33" t="str">
        <f>IF(Results!H197="Complete",Results!E197,"")</f>
        <v/>
      </c>
      <c r="F230" s="33" t="str">
        <f>IF(Results!H197="Complete",Results!G197,"")</f>
        <v/>
      </c>
      <c r="G230" s="33" t="str">
        <f>IF(Results!H197="Complete",Results!F197,"")</f>
        <v/>
      </c>
      <c r="H230" s="33" t="str">
        <f>IF(Results!H197="Complete",Results!I197,"")</f>
        <v/>
      </c>
      <c r="I230" s="33"/>
      <c r="J230" s="33"/>
      <c r="K230" s="33"/>
      <c r="L230" s="33"/>
      <c r="M230" s="33"/>
      <c r="N230" s="33"/>
      <c r="O230" s="33"/>
      <c r="P230" s="33"/>
    </row>
    <row r="231" spans="1:16">
      <c r="A231" s="33" t="str">
        <f>IF(Results!H198="Complete",Results!A198,"")</f>
        <v/>
      </c>
      <c r="B231" s="33" t="str">
        <f>IF(Results!H198="Complete",Results!B198,"")</f>
        <v/>
      </c>
      <c r="C231" s="33" t="str">
        <f>IF(Results!H198="Complete",Results!C198,"")</f>
        <v/>
      </c>
      <c r="D231" s="33" t="str">
        <f>IF(Results!H198="Complete",Results!D198,"")</f>
        <v/>
      </c>
      <c r="E231" s="33" t="str">
        <f>IF(Results!H198="Complete",Results!E198,"")</f>
        <v/>
      </c>
      <c r="F231" s="33" t="str">
        <f>IF(Results!H198="Complete",Results!G198,"")</f>
        <v/>
      </c>
      <c r="G231" s="33" t="str">
        <f>IF(Results!H198="Complete",Results!F198,"")</f>
        <v/>
      </c>
      <c r="H231" s="33" t="str">
        <f>IF(Results!H198="Complete",Results!I198,"")</f>
        <v/>
      </c>
      <c r="I231" s="33"/>
      <c r="J231" s="33"/>
      <c r="K231" s="33"/>
      <c r="L231" s="33"/>
      <c r="M231" s="33"/>
      <c r="N231" s="33"/>
      <c r="O231" s="33"/>
      <c r="P231" s="33"/>
    </row>
    <row r="232" spans="1:16">
      <c r="A232" s="33" t="str">
        <f>IF(Results!H199="Complete",Results!A199,"")</f>
        <v/>
      </c>
      <c r="B232" s="33" t="str">
        <f>IF(Results!H199="Complete",Results!B199,"")</f>
        <v/>
      </c>
      <c r="C232" s="33" t="str">
        <f>IF(Results!H199="Complete",Results!C199,"")</f>
        <v/>
      </c>
      <c r="D232" s="33" t="str">
        <f>IF(Results!H199="Complete",Results!D199,"")</f>
        <v/>
      </c>
      <c r="E232" s="33" t="str">
        <f>IF(Results!H199="Complete",Results!E199,"")</f>
        <v/>
      </c>
      <c r="F232" s="33" t="str">
        <f>IF(Results!H199="Complete",Results!G199,"")</f>
        <v/>
      </c>
      <c r="G232" s="33" t="str">
        <f>IF(Results!H199="Complete",Results!F199,"")</f>
        <v/>
      </c>
      <c r="H232" s="33" t="str">
        <f>IF(Results!H199="Complete",Results!I199,"")</f>
        <v/>
      </c>
      <c r="I232" s="33"/>
      <c r="J232" s="33"/>
      <c r="K232" s="33"/>
      <c r="L232" s="33"/>
      <c r="M232" s="33"/>
      <c r="N232" s="33"/>
      <c r="O232" s="33"/>
      <c r="P232" s="33"/>
    </row>
    <row r="233" spans="1:16">
      <c r="A233" s="33" t="str">
        <f>IF(Results!H200="Complete",Results!A200,"")</f>
        <v/>
      </c>
      <c r="B233" s="33" t="str">
        <f>IF(Results!H200="Complete",Results!B200,"")</f>
        <v/>
      </c>
      <c r="C233" s="33" t="str">
        <f>IF(Results!H200="Complete",Results!C200,"")</f>
        <v/>
      </c>
      <c r="D233" s="33" t="str">
        <f>IF(Results!H200="Complete",Results!D200,"")</f>
        <v/>
      </c>
      <c r="E233" s="33" t="str">
        <f>IF(Results!H200="Complete",Results!E200,"")</f>
        <v/>
      </c>
      <c r="F233" s="33" t="str">
        <f>IF(Results!H200="Complete",Results!G200,"")</f>
        <v/>
      </c>
      <c r="G233" s="33" t="str">
        <f>IF(Results!H200="Complete",Results!F200,"")</f>
        <v/>
      </c>
      <c r="H233" s="33" t="str">
        <f>IF(Results!H200="Complete",Results!I200,"")</f>
        <v/>
      </c>
      <c r="I233" s="33"/>
      <c r="J233" s="33"/>
      <c r="K233" s="33"/>
      <c r="L233" s="33"/>
      <c r="M233" s="33"/>
      <c r="N233" s="33"/>
      <c r="O233" s="33"/>
      <c r="P233" s="33"/>
    </row>
    <row r="234" spans="1:16">
      <c r="A234" s="33" t="str">
        <f>IF(Results!H201="Complete",Results!A201,"")</f>
        <v/>
      </c>
      <c r="B234" s="33" t="str">
        <f>IF(Results!H201="Complete",Results!B201,"")</f>
        <v/>
      </c>
      <c r="C234" s="33" t="str">
        <f>IF(Results!H201="Complete",Results!C201,"")</f>
        <v/>
      </c>
      <c r="D234" s="33" t="str">
        <f>IF(Results!H201="Complete",Results!D201,"")</f>
        <v/>
      </c>
      <c r="E234" s="33" t="str">
        <f>IF(Results!H201="Complete",Results!E201,"")</f>
        <v/>
      </c>
      <c r="F234" s="33" t="str">
        <f>IF(Results!H201="Complete",Results!G201,"")</f>
        <v/>
      </c>
      <c r="G234" s="33" t="str">
        <f>IF(Results!H201="Complete",Results!F201,"")</f>
        <v/>
      </c>
      <c r="H234" s="33" t="str">
        <f>IF(Results!H201="Complete",Results!I201,"")</f>
        <v/>
      </c>
      <c r="I234" s="33"/>
      <c r="J234" s="33"/>
      <c r="K234" s="33"/>
      <c r="L234" s="33"/>
      <c r="M234" s="33"/>
      <c r="N234" s="33"/>
      <c r="O234" s="33"/>
      <c r="P234" s="33"/>
    </row>
    <row r="235" spans="1:16">
      <c r="A235" s="33" t="str">
        <f>IF(Results!H202="Complete",Results!A202,"")</f>
        <v/>
      </c>
      <c r="B235" s="33" t="str">
        <f>IF(Results!H202="Complete",Results!B202,"")</f>
        <v/>
      </c>
      <c r="C235" s="33" t="str">
        <f>IF(Results!H202="Complete",Results!C202,"")</f>
        <v/>
      </c>
      <c r="D235" s="33" t="str">
        <f>IF(Results!H202="Complete",Results!D202,"")</f>
        <v/>
      </c>
      <c r="E235" s="33" t="str">
        <f>IF(Results!H202="Complete",Results!E202,"")</f>
        <v/>
      </c>
      <c r="F235" s="33" t="str">
        <f>IF(Results!H202="Complete",Results!G202,"")</f>
        <v/>
      </c>
      <c r="G235" s="33" t="str">
        <f>IF(Results!H202="Complete",Results!F202,"")</f>
        <v/>
      </c>
      <c r="H235" s="33" t="str">
        <f>IF(Results!H202="Complete",Results!I202,"")</f>
        <v/>
      </c>
      <c r="I235" s="33"/>
      <c r="J235" s="33"/>
      <c r="K235" s="33"/>
      <c r="L235" s="33"/>
      <c r="M235" s="33"/>
      <c r="N235" s="33"/>
      <c r="O235" s="33"/>
      <c r="P235" s="33"/>
    </row>
    <row r="236" spans="1:16">
      <c r="A236" s="33" t="str">
        <f>IF(Results!H203="Complete",Results!A203,"")</f>
        <v/>
      </c>
      <c r="B236" s="33" t="str">
        <f>IF(Results!H203="Complete",Results!B203,"")</f>
        <v/>
      </c>
      <c r="C236" s="33" t="str">
        <f>IF(Results!H203="Complete",Results!C203,"")</f>
        <v/>
      </c>
      <c r="D236" s="33" t="str">
        <f>IF(Results!H203="Complete",Results!D203,"")</f>
        <v/>
      </c>
      <c r="E236" s="33" t="str">
        <f>IF(Results!H203="Complete",Results!E203,"")</f>
        <v/>
      </c>
      <c r="F236" s="33" t="str">
        <f>IF(Results!H203="Complete",Results!G203,"")</f>
        <v/>
      </c>
      <c r="G236" s="33" t="str">
        <f>IF(Results!H203="Complete",Results!F203,"")</f>
        <v/>
      </c>
      <c r="H236" s="33" t="str">
        <f>IF(Results!H203="Complete",Results!I203,"")</f>
        <v/>
      </c>
      <c r="I236" s="33"/>
      <c r="J236" s="33"/>
      <c r="K236" s="33"/>
      <c r="L236" s="33"/>
      <c r="M236" s="33"/>
      <c r="N236" s="33"/>
      <c r="O236" s="33"/>
      <c r="P236" s="33"/>
    </row>
    <row r="237" spans="1:16">
      <c r="A237" s="33" t="str">
        <f>IF(Results!H204="Complete",Results!A204,"")</f>
        <v/>
      </c>
      <c r="B237" s="33" t="str">
        <f>IF(Results!H204="Complete",Results!B204,"")</f>
        <v/>
      </c>
      <c r="C237" s="33" t="str">
        <f>IF(Results!H204="Complete",Results!C204,"")</f>
        <v/>
      </c>
      <c r="D237" s="33" t="str">
        <f>IF(Results!H204="Complete",Results!D204,"")</f>
        <v/>
      </c>
      <c r="E237" s="33" t="str">
        <f>IF(Results!H204="Complete",Results!E204,"")</f>
        <v/>
      </c>
      <c r="F237" s="33" t="str">
        <f>IF(Results!H204="Complete",Results!G204,"")</f>
        <v/>
      </c>
      <c r="G237" s="33" t="str">
        <f>IF(Results!H204="Complete",Results!F204,"")</f>
        <v/>
      </c>
      <c r="H237" s="33" t="str">
        <f>IF(Results!H204="Complete",Results!I204,"")</f>
        <v/>
      </c>
      <c r="I237" s="33"/>
      <c r="J237" s="33"/>
      <c r="K237" s="33"/>
      <c r="L237" s="33"/>
      <c r="M237" s="33"/>
      <c r="N237" s="33"/>
      <c r="O237" s="33"/>
      <c r="P237" s="33"/>
    </row>
    <row r="238" spans="1:16">
      <c r="A238" s="33" t="str">
        <f>IF(Results!H205="Complete",Results!A205,"")</f>
        <v/>
      </c>
      <c r="B238" s="33" t="str">
        <f>IF(Results!H205="Complete",Results!B205,"")</f>
        <v/>
      </c>
      <c r="C238" s="33" t="str">
        <f>IF(Results!H205="Complete",Results!C205,"")</f>
        <v/>
      </c>
      <c r="D238" s="33" t="str">
        <f>IF(Results!H205="Complete",Results!D205,"")</f>
        <v/>
      </c>
      <c r="E238" s="33" t="str">
        <f>IF(Results!H205="Complete",Results!E205,"")</f>
        <v/>
      </c>
      <c r="F238" s="33" t="str">
        <f>IF(Results!H205="Complete",Results!G205,"")</f>
        <v/>
      </c>
      <c r="G238" s="33" t="str">
        <f>IF(Results!H205="Complete",Results!F205,"")</f>
        <v/>
      </c>
      <c r="H238" s="33" t="str">
        <f>IF(Results!H205="Complete",Results!I205,"")</f>
        <v/>
      </c>
      <c r="I238" s="33"/>
      <c r="J238" s="33"/>
      <c r="K238" s="33"/>
      <c r="L238" s="33"/>
      <c r="M238" s="33"/>
      <c r="N238" s="33"/>
      <c r="O238" s="33"/>
      <c r="P238" s="33"/>
    </row>
    <row r="239" spans="1:16">
      <c r="A239" s="33" t="str">
        <f>IF(Results!H206="Complete",Results!A206,"")</f>
        <v/>
      </c>
      <c r="B239" s="33" t="str">
        <f>IF(Results!H206="Complete",Results!B206,"")</f>
        <v/>
      </c>
      <c r="C239" s="33" t="str">
        <f>IF(Results!H206="Complete",Results!C206,"")</f>
        <v/>
      </c>
      <c r="D239" s="33" t="str">
        <f>IF(Results!H206="Complete",Results!D206,"")</f>
        <v/>
      </c>
      <c r="E239" s="33" t="str">
        <f>IF(Results!H206="Complete",Results!E206,"")</f>
        <v/>
      </c>
      <c r="F239" s="33" t="str">
        <f>IF(Results!H206="Complete",Results!G206,"")</f>
        <v/>
      </c>
      <c r="G239" s="33" t="str">
        <f>IF(Results!H206="Complete",Results!F206,"")</f>
        <v/>
      </c>
      <c r="H239" s="33" t="str">
        <f>IF(Results!H206="Complete",Results!I206,"")</f>
        <v/>
      </c>
      <c r="I239" s="33"/>
      <c r="J239" s="33"/>
      <c r="K239" s="33"/>
      <c r="L239" s="33"/>
      <c r="M239" s="33"/>
      <c r="N239" s="33"/>
      <c r="O239" s="33"/>
      <c r="P239" s="33"/>
    </row>
    <row r="240" spans="1:16">
      <c r="A240" s="33" t="str">
        <f>IF(Results!H207="Complete",Results!A207,"")</f>
        <v/>
      </c>
      <c r="B240" s="33" t="str">
        <f>IF(Results!H207="Complete",Results!B207,"")</f>
        <v/>
      </c>
      <c r="C240" s="33" t="str">
        <f>IF(Results!H207="Complete",Results!C207,"")</f>
        <v/>
      </c>
      <c r="D240" s="33" t="str">
        <f>IF(Results!H207="Complete",Results!D207,"")</f>
        <v/>
      </c>
      <c r="E240" s="33" t="str">
        <f>IF(Results!H207="Complete",Results!E207,"")</f>
        <v/>
      </c>
      <c r="F240" s="33" t="str">
        <f>IF(Results!H207="Complete",Results!G207,"")</f>
        <v/>
      </c>
      <c r="G240" s="33" t="str">
        <f>IF(Results!H207="Complete",Results!F207,"")</f>
        <v/>
      </c>
      <c r="H240" s="33" t="str">
        <f>IF(Results!H207="Complete",Results!I207,"")</f>
        <v/>
      </c>
      <c r="I240" s="33"/>
      <c r="J240" s="33"/>
      <c r="K240" s="33"/>
      <c r="L240" s="33"/>
      <c r="M240" s="33"/>
      <c r="N240" s="33"/>
      <c r="O240" s="33"/>
      <c r="P240" s="33"/>
    </row>
    <row r="241" spans="1:16">
      <c r="A241" s="33" t="str">
        <f>IF(Results!H208="Complete",Results!A208,"")</f>
        <v/>
      </c>
      <c r="B241" s="33" t="str">
        <f>IF(Results!H208="Complete",Results!B208,"")</f>
        <v/>
      </c>
      <c r="C241" s="33" t="str">
        <f>IF(Results!H208="Complete",Results!C208,"")</f>
        <v/>
      </c>
      <c r="D241" s="33" t="str">
        <f>IF(Results!H208="Complete",Results!D208,"")</f>
        <v/>
      </c>
      <c r="E241" s="33" t="str">
        <f>IF(Results!H208="Complete",Results!E208,"")</f>
        <v/>
      </c>
      <c r="F241" s="33" t="str">
        <f>IF(Results!H208="Complete",Results!G208,"")</f>
        <v/>
      </c>
      <c r="G241" s="33" t="str">
        <f>IF(Results!H208="Complete",Results!F208,"")</f>
        <v/>
      </c>
      <c r="H241" s="33" t="str">
        <f>IF(Results!H208="Complete",Results!I208,"")</f>
        <v/>
      </c>
      <c r="I241" s="33"/>
      <c r="J241" s="33"/>
      <c r="K241" s="33"/>
      <c r="L241" s="33"/>
      <c r="M241" s="33"/>
      <c r="N241" s="33"/>
      <c r="O241" s="33"/>
      <c r="P241" s="33"/>
    </row>
    <row r="242" spans="1:16">
      <c r="A242" s="33" t="str">
        <f>IF(Results!H209="Complete",Results!A209,"")</f>
        <v/>
      </c>
      <c r="B242" s="33" t="str">
        <f>IF(Results!H209="Complete",Results!B209,"")</f>
        <v/>
      </c>
      <c r="C242" s="33" t="str">
        <f>IF(Results!H209="Complete",Results!C209,"")</f>
        <v/>
      </c>
      <c r="D242" s="33" t="str">
        <f>IF(Results!H209="Complete",Results!D209,"")</f>
        <v/>
      </c>
      <c r="E242" s="33" t="str">
        <f>IF(Results!H209="Complete",Results!E209,"")</f>
        <v/>
      </c>
      <c r="F242" s="33" t="str">
        <f>IF(Results!H209="Complete",Results!G209,"")</f>
        <v/>
      </c>
      <c r="G242" s="33" t="str">
        <f>IF(Results!H209="Complete",Results!F209,"")</f>
        <v/>
      </c>
      <c r="H242" s="33" t="str">
        <f>IF(Results!H209="Complete",Results!I209,"")</f>
        <v/>
      </c>
      <c r="I242" s="33"/>
      <c r="J242" s="33"/>
      <c r="K242" s="33"/>
      <c r="L242" s="33"/>
      <c r="M242" s="33"/>
      <c r="N242" s="33"/>
      <c r="O242" s="33"/>
      <c r="P242" s="33"/>
    </row>
    <row r="243" spans="1:16">
      <c r="A243" s="33" t="str">
        <f>IF(Results!H210="Complete",Results!A210,"")</f>
        <v/>
      </c>
      <c r="B243" s="33" t="str">
        <f>IF(Results!H210="Complete",Results!B210,"")</f>
        <v/>
      </c>
      <c r="C243" s="33" t="str">
        <f>IF(Results!H210="Complete",Results!C210,"")</f>
        <v/>
      </c>
      <c r="D243" s="33" t="str">
        <f>IF(Results!H210="Complete",Results!D210,"")</f>
        <v/>
      </c>
      <c r="E243" s="33" t="str">
        <f>IF(Results!H210="Complete",Results!E210,"")</f>
        <v/>
      </c>
      <c r="F243" s="33" t="str">
        <f>IF(Results!H210="Complete",Results!G210,"")</f>
        <v/>
      </c>
      <c r="G243" s="33" t="str">
        <f>IF(Results!H210="Complete",Results!F210,"")</f>
        <v/>
      </c>
      <c r="H243" s="33" t="str">
        <f>IF(Results!H210="Complete",Results!I210,"")</f>
        <v/>
      </c>
      <c r="I243" s="33"/>
      <c r="J243" s="33"/>
      <c r="K243" s="33"/>
      <c r="L243" s="33"/>
      <c r="M243" s="33"/>
      <c r="N243" s="33"/>
      <c r="O243" s="33"/>
      <c r="P243" s="33"/>
    </row>
    <row r="244" spans="1:16">
      <c r="A244" s="33" t="str">
        <f>IF(Results!H211="Complete",Results!A211,"")</f>
        <v/>
      </c>
      <c r="B244" s="33" t="str">
        <f>IF(Results!H211="Complete",Results!B211,"")</f>
        <v/>
      </c>
      <c r="C244" s="33" t="str">
        <f>IF(Results!H211="Complete",Results!C211,"")</f>
        <v/>
      </c>
      <c r="D244" s="33" t="str">
        <f>IF(Results!H211="Complete",Results!D211,"")</f>
        <v/>
      </c>
      <c r="E244" s="33" t="str">
        <f>IF(Results!H211="Complete",Results!E211,"")</f>
        <v/>
      </c>
      <c r="F244" s="33" t="str">
        <f>IF(Results!H211="Complete",Results!G211,"")</f>
        <v/>
      </c>
      <c r="G244" s="33" t="str">
        <f>IF(Results!H211="Complete",Results!F211,"")</f>
        <v/>
      </c>
      <c r="H244" s="33" t="str">
        <f>IF(Results!H211="Complete",Results!I211,"")</f>
        <v/>
      </c>
      <c r="I244" s="33"/>
      <c r="J244" s="33"/>
      <c r="K244" s="33"/>
      <c r="L244" s="33"/>
      <c r="M244" s="33"/>
      <c r="N244" s="33"/>
      <c r="O244" s="33"/>
      <c r="P244" s="33"/>
    </row>
    <row r="245" spans="1:16">
      <c r="A245" s="33" t="str">
        <f>IF(Results!H212="Complete",Results!A212,"")</f>
        <v/>
      </c>
      <c r="B245" s="33" t="str">
        <f>IF(Results!H212="Complete",Results!B212,"")</f>
        <v/>
      </c>
      <c r="C245" s="33" t="str">
        <f>IF(Results!H212="Complete",Results!C212,"")</f>
        <v/>
      </c>
      <c r="D245" s="33" t="str">
        <f>IF(Results!H212="Complete",Results!D212,"")</f>
        <v/>
      </c>
      <c r="E245" s="33" t="str">
        <f>IF(Results!H212="Complete",Results!E212,"")</f>
        <v/>
      </c>
      <c r="F245" s="33" t="str">
        <f>IF(Results!H212="Complete",Results!G212,"")</f>
        <v/>
      </c>
      <c r="G245" s="33" t="str">
        <f>IF(Results!H212="Complete",Results!F212,"")</f>
        <v/>
      </c>
      <c r="H245" s="33" t="str">
        <f>IF(Results!H212="Complete",Results!I212,"")</f>
        <v/>
      </c>
      <c r="I245" s="33"/>
      <c r="J245" s="33"/>
      <c r="K245" s="33"/>
      <c r="L245" s="33"/>
      <c r="M245" s="33"/>
      <c r="N245" s="33"/>
      <c r="O245" s="33"/>
      <c r="P245" s="33"/>
    </row>
    <row r="246" spans="1:16">
      <c r="A246" s="33" t="str">
        <f>IF(Results!H213="Complete",Results!A213,"")</f>
        <v/>
      </c>
      <c r="B246" s="33" t="str">
        <f>IF(Results!H213="Complete",Results!B213,"")</f>
        <v/>
      </c>
      <c r="C246" s="33" t="str">
        <f>IF(Results!H213="Complete",Results!C213,"")</f>
        <v/>
      </c>
      <c r="D246" s="33" t="str">
        <f>IF(Results!H213="Complete",Results!D213,"")</f>
        <v/>
      </c>
      <c r="E246" s="33" t="str">
        <f>IF(Results!H213="Complete",Results!E213,"")</f>
        <v/>
      </c>
      <c r="F246" s="33" t="str">
        <f>IF(Results!H213="Complete",Results!G213,"")</f>
        <v/>
      </c>
      <c r="G246" s="33" t="str">
        <f>IF(Results!H213="Complete",Results!F213,"")</f>
        <v/>
      </c>
      <c r="H246" s="33" t="str">
        <f>IF(Results!H213="Complete",Results!I213,"")</f>
        <v/>
      </c>
      <c r="I246" s="33"/>
      <c r="J246" s="33"/>
      <c r="K246" s="33"/>
      <c r="L246" s="33"/>
      <c r="M246" s="33"/>
      <c r="N246" s="33"/>
      <c r="O246" s="33"/>
      <c r="P246" s="33"/>
    </row>
    <row r="247" spans="1:16">
      <c r="A247" s="33" t="str">
        <f>IF(Results!H214="Complete",Results!A214,"")</f>
        <v/>
      </c>
      <c r="B247" s="33" t="str">
        <f>IF(Results!H214="Complete",Results!B214,"")</f>
        <v/>
      </c>
      <c r="C247" s="33" t="str">
        <f>IF(Results!H214="Complete",Results!C214,"")</f>
        <v/>
      </c>
      <c r="D247" s="33" t="str">
        <f>IF(Results!H214="Complete",Results!D214,"")</f>
        <v/>
      </c>
      <c r="E247" s="33" t="str">
        <f>IF(Results!H214="Complete",Results!E214,"")</f>
        <v/>
      </c>
      <c r="F247" s="33" t="str">
        <f>IF(Results!H214="Complete",Results!G214,"")</f>
        <v/>
      </c>
      <c r="G247" s="33" t="str">
        <f>IF(Results!H214="Complete",Results!F214,"")</f>
        <v/>
      </c>
      <c r="H247" s="33" t="str">
        <f>IF(Results!H214="Complete",Results!I214,"")</f>
        <v/>
      </c>
      <c r="I247" s="33"/>
      <c r="J247" s="33"/>
      <c r="K247" s="33"/>
      <c r="L247" s="33"/>
      <c r="M247" s="33"/>
      <c r="N247" s="33"/>
      <c r="O247" s="33"/>
      <c r="P247" s="33"/>
    </row>
    <row r="248" spans="1:16">
      <c r="A248" s="33" t="str">
        <f>IF(Results!H215="Complete",Results!A215,"")</f>
        <v/>
      </c>
      <c r="B248" s="33" t="str">
        <f>IF(Results!H215="Complete",Results!B215,"")</f>
        <v/>
      </c>
      <c r="C248" s="33" t="str">
        <f>IF(Results!H215="Complete",Results!C215,"")</f>
        <v/>
      </c>
      <c r="D248" s="33" t="str">
        <f>IF(Results!H215="Complete",Results!D215,"")</f>
        <v/>
      </c>
      <c r="E248" s="33" t="str">
        <f>IF(Results!H215="Complete",Results!E215,"")</f>
        <v/>
      </c>
      <c r="F248" s="33" t="str">
        <f>IF(Results!H215="Complete",Results!G215,"")</f>
        <v/>
      </c>
      <c r="G248" s="33" t="str">
        <f>IF(Results!H215="Complete",Results!F215,"")</f>
        <v/>
      </c>
      <c r="H248" s="33" t="str">
        <f>IF(Results!H215="Complete",Results!I215,"")</f>
        <v/>
      </c>
      <c r="I248" s="33"/>
      <c r="J248" s="33"/>
      <c r="K248" s="33"/>
      <c r="L248" s="33"/>
      <c r="M248" s="33"/>
      <c r="N248" s="33"/>
      <c r="O248" s="33"/>
      <c r="P248" s="33"/>
    </row>
    <row r="249" spans="1:16">
      <c r="A249" s="33" t="str">
        <f>IF(Results!H216="Complete",Results!A216,"")</f>
        <v/>
      </c>
      <c r="B249" s="33" t="str">
        <f>IF(Results!H216="Complete",Results!B216,"")</f>
        <v/>
      </c>
      <c r="C249" s="33" t="str">
        <f>IF(Results!H216="Complete",Results!C216,"")</f>
        <v/>
      </c>
      <c r="D249" s="33" t="str">
        <f>IF(Results!H216="Complete",Results!D216,"")</f>
        <v/>
      </c>
      <c r="E249" s="33" t="str">
        <f>IF(Results!H216="Complete",Results!E216,"")</f>
        <v/>
      </c>
      <c r="F249" s="33" t="str">
        <f>IF(Results!H216="Complete",Results!G216,"")</f>
        <v/>
      </c>
      <c r="G249" s="33" t="str">
        <f>IF(Results!H216="Complete",Results!F216,"")</f>
        <v/>
      </c>
      <c r="H249" s="33" t="str">
        <f>IF(Results!H216="Complete",Results!I216,"")</f>
        <v/>
      </c>
      <c r="I249" s="33"/>
      <c r="J249" s="33"/>
      <c r="K249" s="33"/>
      <c r="L249" s="33"/>
      <c r="M249" s="33"/>
      <c r="N249" s="33"/>
      <c r="O249" s="33"/>
      <c r="P249" s="33"/>
    </row>
    <row r="250" spans="1:16">
      <c r="A250" s="33" t="str">
        <f>IF(Results!H217="Complete",Results!A217,"")</f>
        <v/>
      </c>
      <c r="B250" s="33" t="str">
        <f>IF(Results!H217="Complete",Results!B217,"")</f>
        <v/>
      </c>
      <c r="C250" s="33" t="str">
        <f>IF(Results!H217="Complete",Results!C217,"")</f>
        <v/>
      </c>
      <c r="D250" s="33" t="str">
        <f>IF(Results!H217="Complete",Results!D217,"")</f>
        <v/>
      </c>
      <c r="E250" s="33" t="str">
        <f>IF(Results!H217="Complete",Results!E217,"")</f>
        <v/>
      </c>
      <c r="F250" s="33" t="str">
        <f>IF(Results!H217="Complete",Results!G217,"")</f>
        <v/>
      </c>
      <c r="G250" s="33" t="str">
        <f>IF(Results!H217="Complete",Results!F217,"")</f>
        <v/>
      </c>
      <c r="H250" s="33" t="str">
        <f>IF(Results!H217="Complete",Results!I217,"")</f>
        <v/>
      </c>
      <c r="I250" s="33"/>
      <c r="J250" s="33"/>
      <c r="K250" s="33"/>
      <c r="L250" s="33"/>
      <c r="M250" s="33"/>
      <c r="N250" s="33"/>
      <c r="O250" s="33"/>
      <c r="P250" s="33"/>
    </row>
    <row r="251" spans="1:16">
      <c r="A251" s="33" t="str">
        <f>IF(Results!H218="Complete",Results!A218,"")</f>
        <v/>
      </c>
      <c r="B251" s="33" t="str">
        <f>IF(Results!H218="Complete",Results!B218,"")</f>
        <v/>
      </c>
      <c r="C251" s="33" t="str">
        <f>IF(Results!H218="Complete",Results!C218,"")</f>
        <v/>
      </c>
      <c r="D251" s="33" t="str">
        <f>IF(Results!H218="Complete",Results!D218,"")</f>
        <v/>
      </c>
      <c r="E251" s="33" t="str">
        <f>IF(Results!H218="Complete",Results!E218,"")</f>
        <v/>
      </c>
      <c r="F251" s="33" t="str">
        <f>IF(Results!H218="Complete",Results!G218,"")</f>
        <v/>
      </c>
      <c r="G251" s="33" t="str">
        <f>IF(Results!H218="Complete",Results!F218,"")</f>
        <v/>
      </c>
      <c r="H251" s="33" t="str">
        <f>IF(Results!H218="Complete",Results!I218,"")</f>
        <v/>
      </c>
      <c r="I251" s="33"/>
      <c r="J251" s="33"/>
      <c r="K251" s="33"/>
      <c r="L251" s="33"/>
      <c r="M251" s="33"/>
      <c r="N251" s="33"/>
      <c r="O251" s="33"/>
      <c r="P251" s="33"/>
    </row>
    <row r="252" spans="1:16">
      <c r="A252" s="33" t="str">
        <f>IF(Results!H219="Complete",Results!A219,"")</f>
        <v/>
      </c>
      <c r="B252" s="33" t="str">
        <f>IF(Results!H219="Complete",Results!B219,"")</f>
        <v/>
      </c>
      <c r="C252" s="33" t="str">
        <f>IF(Results!H219="Complete",Results!C219,"")</f>
        <v/>
      </c>
      <c r="D252" s="33" t="str">
        <f>IF(Results!H219="Complete",Results!D219,"")</f>
        <v/>
      </c>
      <c r="E252" s="33" t="str">
        <f>IF(Results!H219="Complete",Results!E219,"")</f>
        <v/>
      </c>
      <c r="F252" s="33" t="str">
        <f>IF(Results!H219="Complete",Results!G219,"")</f>
        <v/>
      </c>
      <c r="G252" s="33" t="str">
        <f>IF(Results!H219="Complete",Results!F219,"")</f>
        <v/>
      </c>
      <c r="H252" s="33" t="str">
        <f>IF(Results!H219="Complete",Results!I219,"")</f>
        <v/>
      </c>
      <c r="I252" s="33"/>
      <c r="J252" s="33"/>
      <c r="K252" s="33"/>
      <c r="L252" s="33"/>
      <c r="M252" s="33"/>
      <c r="N252" s="33"/>
      <c r="O252" s="33"/>
      <c r="P252" s="33"/>
    </row>
    <row r="253" spans="1:16">
      <c r="A253" s="33" t="str">
        <f>IF(Results!H220="Complete",Results!A220,"")</f>
        <v/>
      </c>
      <c r="B253" s="33" t="str">
        <f>IF(Results!H220="Complete",Results!B220,"")</f>
        <v/>
      </c>
      <c r="C253" s="33" t="str">
        <f>IF(Results!H220="Complete",Results!C220,"")</f>
        <v/>
      </c>
      <c r="D253" s="33" t="str">
        <f>IF(Results!H220="Complete",Results!D220,"")</f>
        <v/>
      </c>
      <c r="E253" s="33" t="str">
        <f>IF(Results!H220="Complete",Results!E220,"")</f>
        <v/>
      </c>
      <c r="F253" s="33" t="str">
        <f>IF(Results!H220="Complete",Results!G220,"")</f>
        <v/>
      </c>
      <c r="G253" s="33" t="str">
        <f>IF(Results!H220="Complete",Results!F220,"")</f>
        <v/>
      </c>
      <c r="H253" s="33" t="str">
        <f>IF(Results!H220="Complete",Results!I220,"")</f>
        <v/>
      </c>
      <c r="I253" s="33"/>
      <c r="J253" s="33"/>
      <c r="K253" s="33"/>
      <c r="L253" s="33"/>
      <c r="M253" s="33"/>
      <c r="N253" s="33"/>
      <c r="O253" s="33"/>
      <c r="P253" s="33"/>
    </row>
    <row r="254" spans="1:16">
      <c r="A254" s="33" t="str">
        <f>IF(Results!H221="Complete",Results!A221,"")</f>
        <v/>
      </c>
      <c r="B254" s="33" t="str">
        <f>IF(Results!H221="Complete",Results!B221,"")</f>
        <v/>
      </c>
      <c r="C254" s="33" t="str">
        <f>IF(Results!H221="Complete",Results!C221,"")</f>
        <v/>
      </c>
      <c r="D254" s="33" t="str">
        <f>IF(Results!H221="Complete",Results!D221,"")</f>
        <v/>
      </c>
      <c r="E254" s="33" t="str">
        <f>IF(Results!H221="Complete",Results!E221,"")</f>
        <v/>
      </c>
      <c r="F254" s="33" t="str">
        <f>IF(Results!H221="Complete",Results!G221,"")</f>
        <v/>
      </c>
      <c r="G254" s="33" t="str">
        <f>IF(Results!H221="Complete",Results!F221,"")</f>
        <v/>
      </c>
      <c r="H254" s="33" t="str">
        <f>IF(Results!H221="Complete",Results!I221,"")</f>
        <v/>
      </c>
      <c r="I254" s="33"/>
      <c r="J254" s="33"/>
      <c r="K254" s="33"/>
      <c r="L254" s="33"/>
      <c r="M254" s="33"/>
      <c r="N254" s="33"/>
      <c r="O254" s="33"/>
      <c r="P254" s="33"/>
    </row>
    <row r="255" spans="1:16">
      <c r="A255" s="33" t="str">
        <f>IF(Results!H222="Complete",Results!A222,"")</f>
        <v/>
      </c>
      <c r="B255" s="33" t="str">
        <f>IF(Results!H222="Complete",Results!B222,"")</f>
        <v/>
      </c>
      <c r="C255" s="33" t="str">
        <f>IF(Results!H222="Complete",Results!C222,"")</f>
        <v/>
      </c>
      <c r="D255" s="33" t="str">
        <f>IF(Results!H222="Complete",Results!D222,"")</f>
        <v/>
      </c>
      <c r="E255" s="33" t="str">
        <f>IF(Results!H222="Complete",Results!E222,"")</f>
        <v/>
      </c>
      <c r="F255" s="33" t="str">
        <f>IF(Results!H222="Complete",Results!G222,"")</f>
        <v/>
      </c>
      <c r="G255" s="33" t="str">
        <f>IF(Results!H222="Complete",Results!F222,"")</f>
        <v/>
      </c>
      <c r="H255" s="33" t="str">
        <f>IF(Results!H222="Complete",Results!I222,"")</f>
        <v/>
      </c>
      <c r="I255" s="33"/>
      <c r="J255" s="33"/>
      <c r="K255" s="33"/>
      <c r="L255" s="33"/>
      <c r="M255" s="33"/>
      <c r="N255" s="33"/>
      <c r="O255" s="33"/>
      <c r="P255" s="33"/>
    </row>
    <row r="256" spans="1:16">
      <c r="A256" s="33" t="str">
        <f>IF(Results!H223="Complete",Results!A223,"")</f>
        <v/>
      </c>
      <c r="B256" s="33" t="str">
        <f>IF(Results!H223="Complete",Results!B223,"")</f>
        <v/>
      </c>
      <c r="C256" s="33" t="str">
        <f>IF(Results!H223="Complete",Results!C223,"")</f>
        <v/>
      </c>
      <c r="D256" s="33" t="str">
        <f>IF(Results!H223="Complete",Results!D223,"")</f>
        <v/>
      </c>
      <c r="E256" s="33" t="str">
        <f>IF(Results!H223="Complete",Results!E223,"")</f>
        <v/>
      </c>
      <c r="F256" s="33" t="str">
        <f>IF(Results!H223="Complete",Results!G223,"")</f>
        <v/>
      </c>
      <c r="G256" s="33" t="str">
        <f>IF(Results!H223="Complete",Results!F223,"")</f>
        <v/>
      </c>
      <c r="H256" s="33" t="str">
        <f>IF(Results!H223="Complete",Results!I223,"")</f>
        <v/>
      </c>
      <c r="I256" s="33"/>
      <c r="J256" s="33"/>
      <c r="K256" s="33"/>
      <c r="L256" s="33"/>
      <c r="M256" s="33"/>
      <c r="N256" s="33"/>
      <c r="O256" s="33"/>
      <c r="P256" s="33"/>
    </row>
    <row r="257" spans="1:16">
      <c r="A257" s="33" t="str">
        <f>IF(Results!H224="Complete",Results!A224,"")</f>
        <v/>
      </c>
      <c r="B257" s="33" t="str">
        <f>IF(Results!H224="Complete",Results!B224,"")</f>
        <v/>
      </c>
      <c r="C257" s="33" t="str">
        <f>IF(Results!H224="Complete",Results!C224,"")</f>
        <v/>
      </c>
      <c r="D257" s="33" t="str">
        <f>IF(Results!H224="Complete",Results!D224,"")</f>
        <v/>
      </c>
      <c r="E257" s="33" t="str">
        <f>IF(Results!H224="Complete",Results!E224,"")</f>
        <v/>
      </c>
      <c r="F257" s="33" t="str">
        <f>IF(Results!H224="Complete",Results!G224,"")</f>
        <v/>
      </c>
      <c r="G257" s="33" t="str">
        <f>IF(Results!H224="Complete",Results!F224,"")</f>
        <v/>
      </c>
      <c r="H257" s="33" t="str">
        <f>IF(Results!H224="Complete",Results!I224,"")</f>
        <v/>
      </c>
      <c r="I257" s="33"/>
      <c r="J257" s="33"/>
      <c r="K257" s="33"/>
      <c r="L257" s="33"/>
      <c r="M257" s="33"/>
      <c r="N257" s="33"/>
      <c r="O257" s="33"/>
      <c r="P257" s="33"/>
    </row>
    <row r="258" spans="1:16">
      <c r="A258" s="33" t="str">
        <f>IF(Results!H225="Complete",Results!A225,"")</f>
        <v/>
      </c>
      <c r="B258" s="33" t="str">
        <f>IF(Results!H225="Complete",Results!B225,"")</f>
        <v/>
      </c>
      <c r="C258" s="33" t="str">
        <f>IF(Results!H225="Complete",Results!C225,"")</f>
        <v/>
      </c>
      <c r="D258" s="33" t="str">
        <f>IF(Results!H225="Complete",Results!D225,"")</f>
        <v/>
      </c>
      <c r="E258" s="33" t="str">
        <f>IF(Results!H225="Complete",Results!E225,"")</f>
        <v/>
      </c>
      <c r="F258" s="33" t="str">
        <f>IF(Results!H225="Complete",Results!G225,"")</f>
        <v/>
      </c>
      <c r="G258" s="33" t="str">
        <f>IF(Results!H225="Complete",Results!F225,"")</f>
        <v/>
      </c>
      <c r="H258" s="33" t="str">
        <f>IF(Results!H225="Complete",Results!I225,"")</f>
        <v/>
      </c>
      <c r="I258" s="33"/>
      <c r="J258" s="33"/>
      <c r="K258" s="33"/>
      <c r="L258" s="33"/>
      <c r="M258" s="33"/>
      <c r="N258" s="33"/>
      <c r="O258" s="33"/>
      <c r="P258" s="33"/>
    </row>
    <row r="259" spans="1:16">
      <c r="A259" s="33" t="str">
        <f>IF(Results!H226="Complete",Results!A226,"")</f>
        <v/>
      </c>
      <c r="B259" s="33" t="str">
        <f>IF(Results!H226="Complete",Results!B226,"")</f>
        <v/>
      </c>
      <c r="C259" s="33" t="str">
        <f>IF(Results!H226="Complete",Results!C226,"")</f>
        <v/>
      </c>
      <c r="D259" s="33" t="str">
        <f>IF(Results!H226="Complete",Results!D226,"")</f>
        <v/>
      </c>
      <c r="E259" s="33" t="str">
        <f>IF(Results!H226="Complete",Results!E226,"")</f>
        <v/>
      </c>
      <c r="F259" s="33" t="str">
        <f>IF(Results!H226="Complete",Results!G226,"")</f>
        <v/>
      </c>
      <c r="G259" s="33" t="str">
        <f>IF(Results!H226="Complete",Results!F226,"")</f>
        <v/>
      </c>
      <c r="H259" s="33" t="str">
        <f>IF(Results!H226="Complete",Results!I226,"")</f>
        <v/>
      </c>
      <c r="I259" s="33"/>
      <c r="J259" s="33"/>
      <c r="K259" s="33"/>
      <c r="L259" s="33"/>
      <c r="M259" s="33"/>
      <c r="N259" s="33"/>
      <c r="O259" s="33"/>
      <c r="P259" s="33"/>
    </row>
    <row r="260" spans="1:16">
      <c r="A260" s="33" t="str">
        <f>IF(Results!H227="Complete",Results!A227,"")</f>
        <v/>
      </c>
      <c r="B260" s="33" t="str">
        <f>IF(Results!H227="Complete",Results!B227,"")</f>
        <v/>
      </c>
      <c r="C260" s="33" t="str">
        <f>IF(Results!H227="Complete",Results!C227,"")</f>
        <v/>
      </c>
      <c r="D260" s="33" t="str">
        <f>IF(Results!H227="Complete",Results!D227,"")</f>
        <v/>
      </c>
      <c r="E260" s="33" t="str">
        <f>IF(Results!H227="Complete",Results!E227,"")</f>
        <v/>
      </c>
      <c r="F260" s="33" t="str">
        <f>IF(Results!H227="Complete",Results!G227,"")</f>
        <v/>
      </c>
      <c r="G260" s="33" t="str">
        <f>IF(Results!H227="Complete",Results!F227,"")</f>
        <v/>
      </c>
      <c r="H260" s="33" t="str">
        <f>IF(Results!H227="Complete",Results!I227,"")</f>
        <v/>
      </c>
      <c r="I260" s="33"/>
      <c r="J260" s="33"/>
      <c r="K260" s="33"/>
      <c r="L260" s="33"/>
      <c r="M260" s="33"/>
      <c r="N260" s="33"/>
      <c r="O260" s="33"/>
      <c r="P260" s="33"/>
    </row>
    <row r="261" spans="1:16">
      <c r="A261" s="33" t="str">
        <f>IF(Results!H228="Complete",Results!A228,"")</f>
        <v/>
      </c>
      <c r="B261" s="33" t="str">
        <f>IF(Results!H228="Complete",Results!B228,"")</f>
        <v/>
      </c>
      <c r="C261" s="33" t="str">
        <f>IF(Results!H228="Complete",Results!C228,"")</f>
        <v/>
      </c>
      <c r="D261" s="33" t="str">
        <f>IF(Results!H228="Complete",Results!D228,"")</f>
        <v/>
      </c>
      <c r="E261" s="33" t="str">
        <f>IF(Results!H228="Complete",Results!E228,"")</f>
        <v/>
      </c>
      <c r="F261" s="33" t="str">
        <f>IF(Results!H228="Complete",Results!G228,"")</f>
        <v/>
      </c>
      <c r="G261" s="33" t="str">
        <f>IF(Results!H228="Complete",Results!F228,"")</f>
        <v/>
      </c>
      <c r="H261" s="33" t="str">
        <f>IF(Results!H228="Complete",Results!I228,"")</f>
        <v/>
      </c>
      <c r="I261" s="33"/>
      <c r="J261" s="33"/>
      <c r="K261" s="33"/>
      <c r="L261" s="33"/>
      <c r="M261" s="33"/>
      <c r="N261" s="33"/>
      <c r="O261" s="33"/>
      <c r="P261" s="33"/>
    </row>
    <row r="262" spans="1:16">
      <c r="A262" s="33"/>
      <c r="B262" s="33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</row>
    <row r="263" spans="1:16">
      <c r="A263" s="33"/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</row>
    <row r="264" spans="1:16">
      <c r="A264" s="33"/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</row>
    <row r="265" spans="1:16">
      <c r="A265" s="33"/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</row>
    <row r="266" spans="1:16">
      <c r="A266" s="33"/>
      <c r="B266" s="33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</row>
    <row r="267" spans="1:16">
      <c r="A267" s="33"/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</row>
    <row r="268" spans="1:16">
      <c r="A268" s="33"/>
      <c r="B268" s="33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</row>
    <row r="269" spans="1:16">
      <c r="A269" s="33"/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</row>
    <row r="270" spans="1:16">
      <c r="A270" s="33"/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HOME</vt:lpstr>
      <vt:lpstr>Setup</vt:lpstr>
      <vt:lpstr>Teams</vt:lpstr>
      <vt:lpstr>Results</vt:lpstr>
      <vt:lpstr>Scores</vt:lpstr>
      <vt:lpstr>Calculations</vt:lpstr>
      <vt:lpstr>Pool Tables</vt:lpstr>
      <vt:lpstr>Finals</vt:lpstr>
      <vt:lpstr>Fixture Library</vt:lpstr>
      <vt:lpstr>Finals Bracket</vt:lpstr>
      <vt:lpstr>Competition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Brian Minikin</cp:lastModifiedBy>
  <dcterms:created xsi:type="dcterms:W3CDTF">2026-08-28T09:29:54Z</dcterms:created>
  <dcterms:modified xsi:type="dcterms:W3CDTF">2026-08-28T09:40:44Z</dcterms:modified>
</cp:coreProperties>
</file>