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2e654ef7bbbcd4d0/ISMT Project/STR Files/"/>
    </mc:Choice>
  </mc:AlternateContent>
  <xr:revisionPtr revIDLastSave="0" documentId="8_{98481611-31F0-4EE1-8FBD-D5B6BEC1538A}" xr6:coauthVersionLast="47" xr6:coauthVersionMax="47" xr10:uidLastSave="{00000000-0000-0000-0000-000000000000}"/>
  <bookViews>
    <workbookView xWindow="-120" yWindow="-120" windowWidth="20730" windowHeight="11160" firstSheet="2" activeTab="2" xr2:uid="{00000000-000D-0000-FFFF-FFFF00000000}"/>
  </bookViews>
  <sheets>
    <sheet name="Start Here" sheetId="1" r:id="rId1"/>
    <sheet name="National Context" sheetId="2" r:id="rId2"/>
    <sheet name="Assessment" sheetId="3" r:id="rId3"/>
    <sheet name="Dashboard" sheetId="4" r:id="rId4"/>
    <sheet name="Improvement Priorities" sheetId="5" r:id="rId5"/>
    <sheet name="Methodology &amp; Sources" sheetId="6" r:id="rId6"/>
    <sheet name="List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5" i="5" l="1"/>
  <c r="M13" i="5"/>
  <c r="F20" i="4"/>
  <c r="E20" i="4"/>
  <c r="C20" i="4"/>
  <c r="B20" i="4"/>
  <c r="O19" i="4"/>
  <c r="N19" i="4"/>
  <c r="M19" i="4"/>
  <c r="F19" i="4"/>
  <c r="E19" i="4"/>
  <c r="C19" i="4"/>
  <c r="B19" i="4"/>
  <c r="O18" i="4"/>
  <c r="N18" i="4"/>
  <c r="M18" i="4"/>
  <c r="F18" i="4"/>
  <c r="E18" i="4"/>
  <c r="C18" i="4"/>
  <c r="B18" i="4"/>
  <c r="N17" i="4" s="1"/>
  <c r="O17" i="4"/>
  <c r="M17" i="4"/>
  <c r="F17" i="4"/>
  <c r="E17" i="4"/>
  <c r="C17" i="4"/>
  <c r="B17" i="4"/>
  <c r="N16" i="4" s="1"/>
  <c r="O16" i="4"/>
  <c r="M16" i="4"/>
  <c r="F16" i="4"/>
  <c r="E16" i="4"/>
  <c r="C16" i="4"/>
  <c r="B16" i="4"/>
  <c r="O15" i="4"/>
  <c r="N15" i="4"/>
  <c r="M15" i="4"/>
  <c r="J15" i="4"/>
  <c r="K15" i="4" s="1"/>
  <c r="F15" i="4"/>
  <c r="E15" i="4"/>
  <c r="C15" i="4"/>
  <c r="B15" i="4"/>
  <c r="N14" i="4" s="1"/>
  <c r="O14" i="4"/>
  <c r="M14" i="4"/>
  <c r="L14" i="4"/>
  <c r="J14" i="4"/>
  <c r="K14" i="4" s="1"/>
  <c r="F14" i="4"/>
  <c r="E14" i="4"/>
  <c r="C14" i="4"/>
  <c r="B14" i="4"/>
  <c r="O13" i="4"/>
  <c r="N13" i="4"/>
  <c r="M13" i="4"/>
  <c r="J13" i="4"/>
  <c r="L13" i="4" s="1"/>
  <c r="F13" i="4"/>
  <c r="E13" i="4"/>
  <c r="C13" i="4"/>
  <c r="B13" i="4"/>
  <c r="N12" i="4" s="1"/>
  <c r="O12" i="4"/>
  <c r="M12" i="4"/>
  <c r="G5" i="4"/>
  <c r="A25" i="4" s="1"/>
  <c r="D5" i="4"/>
  <c r="A5" i="4"/>
  <c r="H75" i="3"/>
  <c r="F75" i="3"/>
  <c r="C75" i="3"/>
  <c r="L74" i="3"/>
  <c r="M52" i="5" s="1"/>
  <c r="F74" i="3"/>
  <c r="E74" i="3"/>
  <c r="D74" i="3"/>
  <c r="L73" i="3"/>
  <c r="M51" i="5" s="1"/>
  <c r="F73" i="3"/>
  <c r="E73" i="3"/>
  <c r="D73" i="3"/>
  <c r="L72" i="3"/>
  <c r="M50" i="5" s="1"/>
  <c r="F72" i="3"/>
  <c r="E72" i="3"/>
  <c r="D72" i="3"/>
  <c r="L71" i="3"/>
  <c r="M49" i="5" s="1"/>
  <c r="F71" i="3"/>
  <c r="E71" i="3"/>
  <c r="D71" i="3"/>
  <c r="L70" i="3"/>
  <c r="M48" i="5" s="1"/>
  <c r="F70" i="3"/>
  <c r="E70" i="3"/>
  <c r="D70" i="3"/>
  <c r="L69" i="3"/>
  <c r="M47" i="5" s="1"/>
  <c r="F69" i="3"/>
  <c r="E69" i="3"/>
  <c r="D69" i="3"/>
  <c r="H66" i="3"/>
  <c r="F66" i="3"/>
  <c r="C66" i="3"/>
  <c r="L65" i="3"/>
  <c r="M46" i="5" s="1"/>
  <c r="F65" i="3"/>
  <c r="E65" i="3"/>
  <c r="D65" i="3"/>
  <c r="L64" i="3"/>
  <c r="F64" i="3"/>
  <c r="E64" i="3"/>
  <c r="D64" i="3"/>
  <c r="L63" i="3"/>
  <c r="M44" i="5" s="1"/>
  <c r="F63" i="3"/>
  <c r="E63" i="3"/>
  <c r="D63" i="3"/>
  <c r="L62" i="3"/>
  <c r="M43" i="5" s="1"/>
  <c r="F62" i="3"/>
  <c r="E62" i="3"/>
  <c r="D62" i="3"/>
  <c r="L61" i="3"/>
  <c r="M42" i="5" s="1"/>
  <c r="F61" i="3"/>
  <c r="E61" i="3"/>
  <c r="D61" i="3"/>
  <c r="L60" i="3"/>
  <c r="M41" i="5" s="1"/>
  <c r="F60" i="3"/>
  <c r="E60" i="3"/>
  <c r="D60" i="3"/>
  <c r="H57" i="3"/>
  <c r="F57" i="3"/>
  <c r="C57" i="3"/>
  <c r="L56" i="3"/>
  <c r="M40" i="5" s="1"/>
  <c r="F56" i="3"/>
  <c r="E56" i="3"/>
  <c r="D56" i="3"/>
  <c r="L55" i="3"/>
  <c r="M39" i="5" s="1"/>
  <c r="F55" i="3"/>
  <c r="E55" i="3"/>
  <c r="D55" i="3"/>
  <c r="L54" i="3"/>
  <c r="M38" i="5" s="1"/>
  <c r="F54" i="3"/>
  <c r="E54" i="3"/>
  <c r="D54" i="3"/>
  <c r="L53" i="3"/>
  <c r="M37" i="5" s="1"/>
  <c r="F53" i="3"/>
  <c r="E53" i="3"/>
  <c r="D53" i="3"/>
  <c r="L52" i="3"/>
  <c r="M36" i="5" s="1"/>
  <c r="F52" i="3"/>
  <c r="E52" i="3"/>
  <c r="D52" i="3"/>
  <c r="L51" i="3"/>
  <c r="M35" i="5" s="1"/>
  <c r="F51" i="3"/>
  <c r="E51" i="3"/>
  <c r="D51" i="3"/>
  <c r="H48" i="3"/>
  <c r="F48" i="3"/>
  <c r="C48" i="3"/>
  <c r="L47" i="3"/>
  <c r="M34" i="5" s="1"/>
  <c r="F47" i="3"/>
  <c r="E47" i="3"/>
  <c r="D47" i="3"/>
  <c r="L46" i="3"/>
  <c r="M33" i="5" s="1"/>
  <c r="F46" i="3"/>
  <c r="E46" i="3"/>
  <c r="D46" i="3"/>
  <c r="L45" i="3"/>
  <c r="M32" i="5" s="1"/>
  <c r="F45" i="3"/>
  <c r="E45" i="3"/>
  <c r="D45" i="3"/>
  <c r="L44" i="3"/>
  <c r="M31" i="5" s="1"/>
  <c r="F44" i="3"/>
  <c r="E44" i="3"/>
  <c r="D44" i="3"/>
  <c r="L43" i="3"/>
  <c r="M30" i="5" s="1"/>
  <c r="F43" i="3"/>
  <c r="E43" i="3"/>
  <c r="D43" i="3"/>
  <c r="L42" i="3"/>
  <c r="M29" i="5" s="1"/>
  <c r="F42" i="3"/>
  <c r="E42" i="3"/>
  <c r="D42" i="3"/>
  <c r="H39" i="3"/>
  <c r="F39" i="3"/>
  <c r="C39" i="3"/>
  <c r="L38" i="3"/>
  <c r="M28" i="5" s="1"/>
  <c r="F38" i="3"/>
  <c r="E38" i="3"/>
  <c r="D38" i="3"/>
  <c r="L37" i="3"/>
  <c r="M27" i="5" s="1"/>
  <c r="F37" i="3"/>
  <c r="E37" i="3"/>
  <c r="D37" i="3"/>
  <c r="L36" i="3"/>
  <c r="M26" i="5" s="1"/>
  <c r="F36" i="3"/>
  <c r="E36" i="3"/>
  <c r="D36" i="3"/>
  <c r="L35" i="3"/>
  <c r="M25" i="5" s="1"/>
  <c r="F35" i="3"/>
  <c r="E35" i="3"/>
  <c r="D35" i="3"/>
  <c r="L34" i="3"/>
  <c r="M24" i="5" s="1"/>
  <c r="F34" i="3"/>
  <c r="E34" i="3"/>
  <c r="D34" i="3"/>
  <c r="L33" i="3"/>
  <c r="M23" i="5" s="1"/>
  <c r="F33" i="3"/>
  <c r="E33" i="3"/>
  <c r="D33" i="3"/>
  <c r="H30" i="3"/>
  <c r="F30" i="3"/>
  <c r="C30" i="3"/>
  <c r="L29" i="3"/>
  <c r="M22" i="5" s="1"/>
  <c r="F29" i="3"/>
  <c r="E29" i="3"/>
  <c r="D29" i="3"/>
  <c r="L28" i="3"/>
  <c r="M21" i="5" s="1"/>
  <c r="F28" i="3"/>
  <c r="E28" i="3"/>
  <c r="D28" i="3"/>
  <c r="L27" i="3"/>
  <c r="M20" i="5" s="1"/>
  <c r="F27" i="3"/>
  <c r="E27" i="3"/>
  <c r="D27" i="3"/>
  <c r="L26" i="3"/>
  <c r="M19" i="5" s="1"/>
  <c r="F26" i="3"/>
  <c r="E26" i="3"/>
  <c r="D26" i="3"/>
  <c r="L25" i="3"/>
  <c r="M18" i="5" s="1"/>
  <c r="F25" i="3"/>
  <c r="E25" i="3"/>
  <c r="D25" i="3"/>
  <c r="L24" i="3"/>
  <c r="M17" i="5" s="1"/>
  <c r="F24" i="3"/>
  <c r="E24" i="3"/>
  <c r="D24" i="3"/>
  <c r="H21" i="3"/>
  <c r="F21" i="3"/>
  <c r="C21" i="3"/>
  <c r="L20" i="3"/>
  <c r="M16" i="5" s="1"/>
  <c r="F20" i="3"/>
  <c r="E20" i="3"/>
  <c r="D20" i="3"/>
  <c r="L19" i="3"/>
  <c r="M15" i="5" s="1"/>
  <c r="F19" i="3"/>
  <c r="E19" i="3"/>
  <c r="D19" i="3"/>
  <c r="L18" i="3"/>
  <c r="M14" i="5" s="1"/>
  <c r="F18" i="3"/>
  <c r="E18" i="3"/>
  <c r="D18" i="3"/>
  <c r="L17" i="3"/>
  <c r="F17" i="3"/>
  <c r="E17" i="3"/>
  <c r="D17" i="3"/>
  <c r="L16" i="3"/>
  <c r="M12" i="5" s="1"/>
  <c r="F16" i="3"/>
  <c r="E16" i="3"/>
  <c r="D16" i="3"/>
  <c r="L15" i="3"/>
  <c r="M11" i="5" s="1"/>
  <c r="F15" i="3"/>
  <c r="E15" i="3"/>
  <c r="D15" i="3"/>
  <c r="H12" i="3"/>
  <c r="F12" i="3"/>
  <c r="C12" i="3"/>
  <c r="L11" i="3"/>
  <c r="M10" i="5" s="1"/>
  <c r="F11" i="3"/>
  <c r="E11" i="3"/>
  <c r="D11" i="3"/>
  <c r="L10" i="3"/>
  <c r="M9" i="5" s="1"/>
  <c r="F10" i="3"/>
  <c r="E10" i="3"/>
  <c r="D10" i="3"/>
  <c r="L9" i="3"/>
  <c r="M8" i="5" s="1"/>
  <c r="F9" i="3"/>
  <c r="E9" i="3"/>
  <c r="D9" i="3"/>
  <c r="L8" i="3"/>
  <c r="M7" i="5" s="1"/>
  <c r="F8" i="3"/>
  <c r="E8" i="3"/>
  <c r="D8" i="3"/>
  <c r="L7" i="3"/>
  <c r="M6" i="5" s="1"/>
  <c r="F7" i="3"/>
  <c r="E7" i="3"/>
  <c r="D7" i="3"/>
  <c r="L6" i="3"/>
  <c r="M5" i="5" s="1"/>
  <c r="F6" i="3"/>
  <c r="E6" i="3"/>
  <c r="D6" i="3"/>
  <c r="D22" i="2"/>
  <c r="A22" i="2"/>
  <c r="B22" i="2" s="1"/>
  <c r="C22" i="2" s="1"/>
  <c r="J5" i="4" s="1"/>
  <c r="F16" i="2"/>
  <c r="F15" i="2"/>
  <c r="F14" i="2"/>
  <c r="F13" i="2"/>
  <c r="F12" i="2"/>
  <c r="F11" i="2"/>
  <c r="F10" i="2"/>
  <c r="F9" i="2"/>
  <c r="F8" i="2"/>
  <c r="F7" i="2"/>
  <c r="F6" i="2"/>
  <c r="F5" i="2"/>
  <c r="C8" i="1"/>
  <c r="A52" i="5" l="1"/>
  <c r="B52" i="5" s="1"/>
  <c r="A48" i="5"/>
  <c r="B48" i="5" s="1"/>
  <c r="A44" i="5"/>
  <c r="B44" i="5" s="1"/>
  <c r="A40" i="5"/>
  <c r="B40" i="5" s="1"/>
  <c r="A36" i="5"/>
  <c r="B36" i="5" s="1"/>
  <c r="A32" i="5"/>
  <c r="B32" i="5" s="1"/>
  <c r="A28" i="5"/>
  <c r="B28" i="5" s="1"/>
  <c r="A24" i="5"/>
  <c r="B24" i="5" s="1"/>
  <c r="A20" i="5"/>
  <c r="B20" i="5" s="1"/>
  <c r="A16" i="5"/>
  <c r="B16" i="5" s="1"/>
  <c r="A51" i="5"/>
  <c r="B51" i="5" s="1"/>
  <c r="A47" i="5"/>
  <c r="B47" i="5" s="1"/>
  <c r="A43" i="5"/>
  <c r="B43" i="5" s="1"/>
  <c r="A39" i="5"/>
  <c r="B39" i="5" s="1"/>
  <c r="A35" i="5"/>
  <c r="B35" i="5" s="1"/>
  <c r="A31" i="5"/>
  <c r="B31" i="5" s="1"/>
  <c r="A27" i="5"/>
  <c r="B27" i="5" s="1"/>
  <c r="A23" i="5"/>
  <c r="B23" i="5" s="1"/>
  <c r="A19" i="5"/>
  <c r="B19" i="5" s="1"/>
  <c r="A50" i="5"/>
  <c r="B50" i="5" s="1"/>
  <c r="A46" i="5"/>
  <c r="B46" i="5" s="1"/>
  <c r="A42" i="5"/>
  <c r="B42" i="5" s="1"/>
  <c r="A38" i="5"/>
  <c r="B38" i="5" s="1"/>
  <c r="A34" i="5"/>
  <c r="B34" i="5" s="1"/>
  <c r="A30" i="5"/>
  <c r="B30" i="5" s="1"/>
  <c r="A26" i="5"/>
  <c r="B26" i="5" s="1"/>
  <c r="A22" i="5"/>
  <c r="B22" i="5" s="1"/>
  <c r="A18" i="5"/>
  <c r="B18" i="5" s="1"/>
  <c r="A49" i="5"/>
  <c r="B49" i="5" s="1"/>
  <c r="A33" i="5"/>
  <c r="B33" i="5" s="1"/>
  <c r="A17" i="5"/>
  <c r="B17" i="5" s="1"/>
  <c r="A12" i="5"/>
  <c r="B12" i="5" s="1"/>
  <c r="A8" i="5"/>
  <c r="B8" i="5" s="1"/>
  <c r="J3" i="5"/>
  <c r="A45" i="5"/>
  <c r="B45" i="5" s="1"/>
  <c r="A29" i="5"/>
  <c r="B29" i="5" s="1"/>
  <c r="A15" i="5"/>
  <c r="B15" i="5" s="1"/>
  <c r="A11" i="5"/>
  <c r="B11" i="5" s="1"/>
  <c r="A7" i="5"/>
  <c r="B7" i="5" s="1"/>
  <c r="A21" i="5"/>
  <c r="B21" i="5" s="1"/>
  <c r="A5" i="5"/>
  <c r="B5" i="5" s="1"/>
  <c r="A41" i="5"/>
  <c r="B41" i="5" s="1"/>
  <c r="A25" i="5"/>
  <c r="B25" i="5" s="1"/>
  <c r="A14" i="5"/>
  <c r="B14" i="5" s="1"/>
  <c r="A10" i="5"/>
  <c r="B10" i="5" s="1"/>
  <c r="A6" i="5"/>
  <c r="B6" i="5" s="1"/>
  <c r="A37" i="5"/>
  <c r="B37" i="5" s="1"/>
  <c r="A13" i="5"/>
  <c r="B13" i="5" s="1"/>
  <c r="A9" i="5"/>
  <c r="B9" i="5" s="1"/>
  <c r="K13" i="4"/>
  <c r="L15" i="4"/>
  <c r="H20" i="4"/>
  <c r="H13" i="5" l="1"/>
  <c r="D13" i="5"/>
  <c r="G13" i="5"/>
  <c r="C13" i="5"/>
  <c r="E13" i="5"/>
  <c r="F13" i="5"/>
  <c r="H21" i="5"/>
  <c r="D21" i="5"/>
  <c r="G21" i="5"/>
  <c r="C21" i="5"/>
  <c r="F21" i="5"/>
  <c r="E21" i="5"/>
  <c r="E12" i="5"/>
  <c r="H12" i="5"/>
  <c r="D12" i="5"/>
  <c r="F12" i="5"/>
  <c r="G12" i="5"/>
  <c r="C12" i="5"/>
  <c r="G34" i="5"/>
  <c r="C34" i="5"/>
  <c r="F34" i="5"/>
  <c r="E34" i="5"/>
  <c r="H34" i="5"/>
  <c r="D34" i="5"/>
  <c r="F31" i="5"/>
  <c r="E31" i="5"/>
  <c r="H31" i="5"/>
  <c r="D31" i="5"/>
  <c r="C31" i="5"/>
  <c r="G31" i="5"/>
  <c r="E24" i="5"/>
  <c r="H24" i="5"/>
  <c r="D24" i="5"/>
  <c r="G24" i="5"/>
  <c r="C24" i="5"/>
  <c r="F24" i="5"/>
  <c r="H37" i="5"/>
  <c r="D37" i="5"/>
  <c r="G37" i="5"/>
  <c r="C37" i="5"/>
  <c r="F37" i="5"/>
  <c r="E37" i="5"/>
  <c r="F7" i="5"/>
  <c r="E7" i="5"/>
  <c r="C7" i="5"/>
  <c r="H7" i="5"/>
  <c r="D7" i="5"/>
  <c r="G7" i="5"/>
  <c r="H17" i="5"/>
  <c r="D17" i="5"/>
  <c r="G17" i="5"/>
  <c r="C17" i="5"/>
  <c r="F17" i="5"/>
  <c r="E17" i="5"/>
  <c r="G38" i="5"/>
  <c r="C38" i="5"/>
  <c r="F38" i="5"/>
  <c r="E38" i="5"/>
  <c r="D38" i="5"/>
  <c r="H38" i="5"/>
  <c r="F35" i="5"/>
  <c r="E35" i="5"/>
  <c r="H35" i="5"/>
  <c r="D35" i="5"/>
  <c r="C35" i="5"/>
  <c r="G35" i="5"/>
  <c r="E28" i="5"/>
  <c r="H28" i="5"/>
  <c r="D28" i="5"/>
  <c r="G28" i="5"/>
  <c r="C28" i="5"/>
  <c r="F28" i="5"/>
  <c r="H41" i="5"/>
  <c r="D41" i="5"/>
  <c r="G41" i="5"/>
  <c r="C41" i="5"/>
  <c r="F41" i="5"/>
  <c r="E41" i="5"/>
  <c r="F11" i="5"/>
  <c r="E11" i="5"/>
  <c r="G11" i="5"/>
  <c r="C11" i="5"/>
  <c r="H11" i="5"/>
  <c r="D11" i="5"/>
  <c r="H33" i="5"/>
  <c r="D33" i="5"/>
  <c r="G33" i="5"/>
  <c r="C33" i="5"/>
  <c r="F33" i="5"/>
  <c r="E33" i="5"/>
  <c r="G26" i="5"/>
  <c r="C26" i="5"/>
  <c r="F26" i="5"/>
  <c r="E26" i="5"/>
  <c r="D26" i="5"/>
  <c r="H26" i="5"/>
  <c r="G42" i="5"/>
  <c r="C42" i="5"/>
  <c r="F42" i="5"/>
  <c r="E42" i="5"/>
  <c r="D42" i="5"/>
  <c r="H42" i="5"/>
  <c r="F23" i="5"/>
  <c r="E23" i="5"/>
  <c r="H23" i="5"/>
  <c r="D23" i="5"/>
  <c r="G23" i="5"/>
  <c r="C23" i="5"/>
  <c r="F39" i="5"/>
  <c r="E39" i="5"/>
  <c r="H39" i="5"/>
  <c r="D39" i="5"/>
  <c r="G39" i="5"/>
  <c r="C39" i="5"/>
  <c r="E16" i="5"/>
  <c r="H16" i="5"/>
  <c r="G16" i="5"/>
  <c r="C16" i="5"/>
  <c r="F16" i="5"/>
  <c r="D16" i="5"/>
  <c r="E32" i="5"/>
  <c r="H32" i="5"/>
  <c r="D32" i="5"/>
  <c r="G32" i="5"/>
  <c r="C32" i="5"/>
  <c r="F32" i="5"/>
  <c r="E48" i="5"/>
  <c r="H48" i="5"/>
  <c r="D48" i="5"/>
  <c r="G48" i="5"/>
  <c r="C48" i="5"/>
  <c r="F48" i="5"/>
  <c r="G14" i="5"/>
  <c r="C14" i="5"/>
  <c r="F14" i="5"/>
  <c r="H14" i="5"/>
  <c r="E14" i="5"/>
  <c r="D14" i="5"/>
  <c r="H29" i="5"/>
  <c r="D29" i="5"/>
  <c r="G29" i="5"/>
  <c r="C29" i="5"/>
  <c r="F29" i="5"/>
  <c r="E29" i="5"/>
  <c r="G18" i="5"/>
  <c r="C18" i="5"/>
  <c r="F18" i="5"/>
  <c r="E18" i="5"/>
  <c r="H18" i="5"/>
  <c r="D18" i="5"/>
  <c r="G50" i="5"/>
  <c r="C50" i="5"/>
  <c r="F50" i="5"/>
  <c r="E50" i="5"/>
  <c r="H50" i="5"/>
  <c r="D50" i="5"/>
  <c r="F47" i="5"/>
  <c r="E47" i="5"/>
  <c r="H47" i="5"/>
  <c r="D47" i="5"/>
  <c r="C47" i="5"/>
  <c r="G47" i="5"/>
  <c r="E40" i="5"/>
  <c r="H40" i="5"/>
  <c r="D40" i="5"/>
  <c r="G40" i="5"/>
  <c r="C40" i="5"/>
  <c r="F40" i="5"/>
  <c r="H25" i="5"/>
  <c r="D25" i="5"/>
  <c r="G25" i="5"/>
  <c r="C25" i="5"/>
  <c r="F25" i="5"/>
  <c r="E25" i="5"/>
  <c r="H45" i="5"/>
  <c r="D45" i="5"/>
  <c r="G45" i="5"/>
  <c r="C45" i="5"/>
  <c r="F45" i="5"/>
  <c r="E45" i="5"/>
  <c r="G22" i="5"/>
  <c r="C22" i="5"/>
  <c r="F22" i="5"/>
  <c r="E22" i="5"/>
  <c r="D22" i="5"/>
  <c r="H22" i="5"/>
  <c r="F19" i="5"/>
  <c r="E19" i="5"/>
  <c r="H19" i="5"/>
  <c r="D19" i="5"/>
  <c r="G19" i="5"/>
  <c r="C19" i="5"/>
  <c r="F51" i="5"/>
  <c r="E51" i="5"/>
  <c r="H51" i="5"/>
  <c r="D51" i="5"/>
  <c r="C51" i="5"/>
  <c r="G51" i="5"/>
  <c r="E44" i="5"/>
  <c r="H44" i="5"/>
  <c r="D44" i="5"/>
  <c r="G44" i="5"/>
  <c r="C44" i="5"/>
  <c r="F44" i="5"/>
  <c r="G6" i="5"/>
  <c r="C6" i="5"/>
  <c r="F6" i="5"/>
  <c r="D6" i="5"/>
  <c r="E6" i="5"/>
  <c r="H6" i="5"/>
  <c r="H9" i="5"/>
  <c r="D9" i="5"/>
  <c r="G9" i="5"/>
  <c r="C9" i="5"/>
  <c r="F9" i="5"/>
  <c r="E9" i="5"/>
  <c r="G10" i="5"/>
  <c r="C10" i="5"/>
  <c r="F10" i="5"/>
  <c r="D10" i="5"/>
  <c r="E10" i="5"/>
  <c r="H10" i="5"/>
  <c r="H5" i="5"/>
  <c r="D5" i="5"/>
  <c r="G5" i="5"/>
  <c r="C5" i="5"/>
  <c r="F5" i="5"/>
  <c r="E5" i="5"/>
  <c r="F15" i="5"/>
  <c r="H15" i="5"/>
  <c r="D15" i="5"/>
  <c r="G15" i="5"/>
  <c r="E15" i="5"/>
  <c r="C15" i="5"/>
  <c r="E8" i="5"/>
  <c r="H8" i="5"/>
  <c r="D8" i="5"/>
  <c r="F8" i="5"/>
  <c r="G8" i="5"/>
  <c r="C8" i="5"/>
  <c r="H49" i="5"/>
  <c r="D49" i="5"/>
  <c r="G49" i="5"/>
  <c r="C49" i="5"/>
  <c r="F49" i="5"/>
  <c r="E49" i="5"/>
  <c r="G30" i="5"/>
  <c r="C30" i="5"/>
  <c r="F30" i="5"/>
  <c r="E30" i="5"/>
  <c r="H30" i="5"/>
  <c r="D30" i="5"/>
  <c r="G46" i="5"/>
  <c r="C46" i="5"/>
  <c r="F46" i="5"/>
  <c r="E46" i="5"/>
  <c r="H46" i="5"/>
  <c r="D46" i="5"/>
  <c r="F27" i="5"/>
  <c r="E27" i="5"/>
  <c r="H27" i="5"/>
  <c r="D27" i="5"/>
  <c r="G27" i="5"/>
  <c r="C27" i="5"/>
  <c r="F43" i="5"/>
  <c r="E43" i="5"/>
  <c r="H43" i="5"/>
  <c r="D43" i="5"/>
  <c r="G43" i="5"/>
  <c r="C43" i="5"/>
  <c r="E20" i="5"/>
  <c r="H20" i="5"/>
  <c r="D20" i="5"/>
  <c r="G20" i="5"/>
  <c r="C20" i="5"/>
  <c r="F20" i="5"/>
  <c r="E36" i="5"/>
  <c r="H36" i="5"/>
  <c r="D36" i="5"/>
  <c r="G36" i="5"/>
  <c r="C36" i="5"/>
  <c r="F36" i="5"/>
  <c r="E52" i="5"/>
  <c r="H52" i="5"/>
  <c r="D52" i="5"/>
  <c r="G52" i="5"/>
  <c r="C52" i="5"/>
  <c r="F52" i="5"/>
</calcChain>
</file>

<file path=xl/sharedStrings.xml><?xml version="1.0" encoding="utf-8"?>
<sst xmlns="http://schemas.openxmlformats.org/spreadsheetml/2006/main" count="612" uniqueCount="351">
  <si>
    <t>ISMT STR-06 — NATIONAL SPORT SYSTEM EFFECTIVENESS ASSESSMENT</t>
  </si>
  <si>
    <t>A capacity-adjusted diagnostic tool: answer simple questions, let STR-06 identify the maturity gap and suggest a starting action, then apply human judgement.</t>
  </si>
  <si>
    <t>1. Describe Context</t>
  </si>
  <si>
    <t>2. Assess 8 Pillars</t>
  </si>
  <si>
    <t>3. Review Dashboard</t>
  </si>
  <si>
    <t>4. Select Priorities</t>
  </si>
  <si>
    <t>Record current national conditions that shape what is realistically possible.</t>
  </si>
  <si>
    <t>Choose the best-fit answer for six questions under each RAT/UMAP pillar.</t>
  </si>
  <si>
    <t>See strengths, weaknesses and cross-cutting participation/performance outcomes.</t>
  </si>
  <si>
    <t>DEFAULT EFFECTIVENESS TARGET</t>
  </si>
  <si>
    <t>Level 3 is the practical target: the function works reliably, appropriately and sustainably within national capacity and context. Level 4 is optimisation, not the default expectation.</t>
  </si>
  <si>
    <t>Target Level</t>
  </si>
  <si>
    <t>HOW TO ANSWER</t>
  </si>
  <si>
    <t>0 — No / essentially absent</t>
  </si>
  <si>
    <t>No credible national mechanism or functioning practice.</t>
  </si>
  <si>
    <t>1 — Limited / inconsistent</t>
  </si>
  <si>
    <t>Some activity exists, but it is fragmented, isolated or unreliable.</t>
  </si>
  <si>
    <t>2 — Partly in place / basic</t>
  </si>
  <si>
    <t>Basic capability exists, but important coverage, quality or sustainability gaps remain.</t>
  </si>
  <si>
    <t>3 — Effective and sustainable</t>
  </si>
  <si>
    <t>The function works reliably and appropriately within national capacity and context.</t>
  </si>
  <si>
    <t>4 — Optimised and improving</t>
  </si>
  <si>
    <t>The function is integrated, measured, adaptive and continuously improved.</t>
  </si>
  <si>
    <t>SCORE THE FUNCTION, NOT THE MONEY</t>
  </si>
  <si>
    <t>A country does not need to copy the structures of a wealthy sport system. If the required function is achieved through schools, universities, shared specialists, regional cooperation, community organisations or another sustainable arrangement, it can score effectively. National Context explains constraints; it does not automatically lower the effectiveness score.</t>
  </si>
  <si>
    <t>Key sources</t>
  </si>
  <si>
    <t>SPLISS conceptual framework</t>
  </si>
  <si>
    <r>
      <t>De Bosscher, V., De Knop, P., Van Bottenburg, M., &amp; Shibli, S. (2006). A Conceptual Framework for Analysing Sports Policy Factors Leading to International Sporting Success. </t>
    </r>
    <r>
      <rPr>
        <i/>
        <sz val="10"/>
        <rFont val="Arial"/>
        <family val="2"/>
      </rPr>
      <t>European Sport Management Quarterly</t>
    </r>
    <r>
      <rPr>
        <sz val="10"/>
        <rFont val="Arial"/>
        <family val="2"/>
      </rPr>
      <t>, </t>
    </r>
    <r>
      <rPr>
        <i/>
        <sz val="10"/>
        <rFont val="Arial"/>
        <family val="2"/>
      </rPr>
      <t>6</t>
    </r>
    <r>
      <rPr>
        <sz val="10"/>
        <rFont val="Arial"/>
        <family val="2"/>
      </rPr>
      <t>(2), 185–215. https://doi.org/10.1080/16184740600955087</t>
    </r>
  </si>
  <si>
    <t>SPLISS international comparison</t>
  </si>
  <si>
    <r>
      <t xml:space="preserve">De Bosscher, V., De Knop, P., van Bottenburg, M., Shibli, S., &amp; Bingham, J. (2009). Explaining international sporting success: An international comparison of elite sport systems and policies in six countries. </t>
    </r>
    <r>
      <rPr>
        <i/>
        <sz val="10"/>
        <rFont val="Arial"/>
        <family val="2"/>
      </rPr>
      <t>Sport Management Review</t>
    </r>
    <r>
      <rPr>
        <sz val="10"/>
        <rFont val="Arial"/>
        <family val="2"/>
      </rPr>
      <t>, 12(3), 113–136. https://doi.org/10.1016/j.smr.2009.01.001</t>
    </r>
  </si>
  <si>
    <t>SPLISS current overview</t>
  </si>
  <si>
    <t>SPLISS Project Web Site:</t>
  </si>
  <si>
    <t>https://spliss.research.vub.be/about-spliss</t>
  </si>
  <si>
    <t>No one-size-fits-all evidence</t>
  </si>
  <si>
    <r>
      <t xml:space="preserve">De Bosscher, V., Shibli, S., Westerbeek, H., &amp; van Bottenburg, M. (2016). Convergence and Divergence of Elite Sport Policies: Is There a One-Size-Fits-All Model to Develop International Sporting Success? </t>
    </r>
    <r>
      <rPr>
        <i/>
        <sz val="10"/>
        <rFont val="Arial"/>
        <family val="2"/>
      </rPr>
      <t>Journal of Global Sport Managemen</t>
    </r>
    <r>
      <rPr>
        <sz val="10"/>
        <rFont val="Arial"/>
        <family val="2"/>
      </rPr>
      <t>t, 1(3–4), 70–89. https://doi.org/10.1080/24704067.2016.1237203</t>
    </r>
  </si>
  <si>
    <t>Sport for Life key factors</t>
  </si>
  <si>
    <t>Sport for Life, Canada.</t>
  </si>
  <si>
    <t>https://sportforlife.ca/key-factors/</t>
  </si>
  <si>
    <t>Developmental Model of Sport Participation</t>
  </si>
  <si>
    <r>
      <rPr>
        <sz val="10"/>
        <rFont val="Arial"/>
        <family val="2"/>
      </rPr>
      <t xml:space="preserve">Côté, J., and Vierimaa, M. (2014). The developmental model of sport participation: 15 years after its first conceptualization, </t>
    </r>
    <r>
      <rPr>
        <i/>
        <sz val="10"/>
        <rFont val="Arial"/>
        <family val="2"/>
      </rPr>
      <t>Science &amp; Sports</t>
    </r>
    <r>
      <rPr>
        <sz val="10"/>
        <rFont val="Arial"/>
        <family val="2"/>
      </rPr>
      <t>, Volume 29, Supplement, S63-S69, https://doi.org/10.1016/j.scispo.2014.08.133.</t>
    </r>
  </si>
  <si>
    <t>Small-state / capacity example</t>
  </si>
  <si>
    <r>
      <t>Storm, R. K., &amp; Nielsen, K. (2023). Greenland’s Elite Sport System: Capabilities, Challenges and Performance of a (Very) Small Nation in the World’s Largest Island. </t>
    </r>
    <r>
      <rPr>
        <i/>
        <sz val="10"/>
        <rFont val="Arial"/>
        <family val="2"/>
      </rPr>
      <t>Journal of Global Sport Management</t>
    </r>
    <r>
      <rPr>
        <sz val="10"/>
        <rFont val="Arial"/>
        <family val="2"/>
      </rPr>
      <t>, </t>
    </r>
    <r>
      <rPr>
        <i/>
        <sz val="10"/>
        <rFont val="Arial"/>
        <family val="2"/>
      </rPr>
      <t>8</t>
    </r>
    <r>
      <rPr>
        <sz val="10"/>
        <rFont val="Arial"/>
        <family val="2"/>
      </rPr>
      <t>(4), 838–863. https://doi.org/10.1080/24704067.2021.1928531</t>
    </r>
  </si>
  <si>
    <t>Tool Structure Concept</t>
  </si>
  <si>
    <r>
      <t>Minikin, B., &amp; Robinson, L. (2015). Resources and capabilities?: Developing Malaysian national sport associations. In </t>
    </r>
    <r>
      <rPr>
        <i/>
        <sz val="10"/>
        <rFont val="Arial"/>
        <family val="2"/>
      </rPr>
      <t>Managing Elite Sport Systems</t>
    </r>
    <r>
      <rPr>
        <sz val="10"/>
        <rFont val="Arial"/>
        <family val="2"/>
      </rPr>
      <t> Chapter 5. (pp. 67-86). Routledge.</t>
    </r>
  </si>
  <si>
    <r>
      <t>Robinson, L and Minikin, B (2012) ‘Understanding the competitive advantage of National Olympic Committees.’ </t>
    </r>
    <r>
      <rPr>
        <i/>
        <sz val="10"/>
        <rFont val="Arial"/>
        <family val="2"/>
      </rPr>
      <t>Managing Leisure: An International Journal.</t>
    </r>
    <r>
      <rPr>
        <sz val="10"/>
        <rFont val="Arial"/>
        <family val="2"/>
      </rPr>
      <t> Vol. 17 (2-3) Special Issue on the Management of Excellence in Sport’.  https://doi.org/10.1080/13606719.2012.674391</t>
    </r>
  </si>
  <si>
    <t>Minikin, B. A Question of Readiness. Original Master’s Thesis submitted to MEMOS, 2009.</t>
  </si>
  <si>
    <t>STR-06 — NATIONAL CONTEXT</t>
  </si>
  <si>
    <t>Rate the condition that exists NOW, not what could exist after intervention. Future potential belongs in Design Implication. Context informs interpretation but is not added to the effectiveness score. Evidence below refers to Tanah Papua / the Papuan provinces; local variation should be recorded where material. Constraint levels are evidence-informed analytical judgements, not standalone statistical measures.</t>
  </si>
  <si>
    <t>Context Factor</t>
  </si>
  <si>
    <t>Current Condition</t>
  </si>
  <si>
    <t>Constraint Level</t>
  </si>
  <si>
    <t>Design Implication</t>
  </si>
  <si>
    <t>Evidence / Source</t>
  </si>
  <si>
    <t>Constraint Score</t>
  </si>
  <si>
    <t>Severe</t>
  </si>
  <si>
    <t>Population &amp; participant base</t>
  </si>
  <si>
    <t>High</t>
  </si>
  <si>
    <t>Economic &amp; fiscal capacity</t>
  </si>
  <si>
    <t>Moderate</t>
  </si>
  <si>
    <t>Geography, distance &amp; travel burden</t>
  </si>
  <si>
    <t>Low</t>
  </si>
  <si>
    <t>Transport &amp; general infrastructure</t>
  </si>
  <si>
    <t>Enabling</t>
  </si>
  <si>
    <t>Education-system reach</t>
  </si>
  <si>
    <t>Health &amp; professional-service capacity</t>
  </si>
  <si>
    <t>Public administration &amp; institutional capacity</t>
  </si>
  <si>
    <t>Civil society &amp; volunteer capacity</t>
  </si>
  <si>
    <t>Commercial &amp; sponsorship market</t>
  </si>
  <si>
    <t>Sport culture, traditions &amp; social acceptance</t>
  </si>
  <si>
    <t>Digital &amp; data infrastructure</t>
  </si>
  <si>
    <t>Climate / environmental conditions</t>
  </si>
  <si>
    <t>CONTEXT SUMMARY</t>
  </si>
  <si>
    <t>Factors Rated</t>
  </si>
  <si>
    <t>Average Constraint</t>
  </si>
  <si>
    <t>Context Profile</t>
  </si>
  <si>
    <t>Reading</t>
  </si>
  <si>
    <t>NATIONAL SPORT SYSTEM ASSESSMENT</t>
  </si>
  <si>
    <t>ID</t>
  </si>
  <si>
    <t>Assessment Question</t>
  </si>
  <si>
    <t>Best-Fit Answer</t>
  </si>
  <si>
    <t>Score</t>
  </si>
  <si>
    <t>Gap to Target</t>
  </si>
  <si>
    <t>Recommended Actions to Target</t>
  </si>
  <si>
    <t>Your Refinement</t>
  </si>
  <si>
    <t>Evidence / Note (optional)</t>
  </si>
  <si>
    <t>Confidence</t>
  </si>
  <si>
    <t>Lens</t>
  </si>
  <si>
    <t>Action Focus</t>
  </si>
  <si>
    <t>Priority Key</t>
  </si>
  <si>
    <t>GOVERNANCE</t>
  </si>
  <si>
    <t>Medium</t>
  </si>
  <si>
    <t>GOV-01</t>
  </si>
  <si>
    <t>Are national sport responsibilities, mandates and decision rights clear across government, NOC/umbrella bodies, national federations and other major actors?</t>
  </si>
  <si>
    <t>System Sustainability &amp; Capacity Conversion</t>
  </si>
  <si>
    <t>clear national roles, mandates and decision rights across the major sport-system actors</t>
  </si>
  <si>
    <t>GOV-02</t>
  </si>
  <si>
    <t>Does national sport policy connect participation, long-term development, athlete pathways and realistic performance ambitions?</t>
  </si>
  <si>
    <t>Participation &amp; Long-Term Involvement|Athlete Development &amp; Performance|System Sustainability &amp; Capacity Conversion</t>
  </si>
  <si>
    <t>a coherent national sport policy linking participation, development pathways and performance ambitions</t>
  </si>
  <si>
    <t>Unverified</t>
  </si>
  <si>
    <t>GOV-03</t>
  </si>
  <si>
    <t>Are national sport organisations transparent, accountable and protected by practical integrity and conflict-of-interest controls?</t>
  </si>
  <si>
    <t>minimum national transparency, accountability, ethics and conflict-of-interest requirements with practical compliance monitoring</t>
  </si>
  <si>
    <t>GOV-04</t>
  </si>
  <si>
    <t>Does the sport system coordinate effectively across national, regional/provincial, local, education and community levels?</t>
  </si>
  <si>
    <t>Participation &amp; Long-Term Involvement|System Sustainability &amp; Capacity Conversion</t>
  </si>
  <si>
    <t>clear coordination mechanisms linking national, sub-national, education and community sport delivery</t>
  </si>
  <si>
    <t>GOV-05</t>
  </si>
  <si>
    <t>Can athletes, participants and key stakeholders meaningfully influence national sport decisions and improvement?</t>
  </si>
  <si>
    <t>Participation &amp; Long-Term Involvement|Athlete Development &amp; Performance</t>
  </si>
  <si>
    <t>formal and practical mechanisms for athlete, participant and stakeholder representation and consultation</t>
  </si>
  <si>
    <t>GOV-06</t>
  </si>
  <si>
    <t>Can national sport governance adapt priorities, structures and partnerships when evidence, resources or external conditions change?</t>
  </si>
  <si>
    <t>a regular strategic review mechanism that allows governance, priorities and partnerships to adapt to evidence and changing conditions</t>
  </si>
  <si>
    <t>PILLAR SUMMARY</t>
  </si>
  <si>
    <t>Average Score</t>
  </si>
  <si>
    <t>Dominant Development Need</t>
  </si>
  <si>
    <t>Pillar Finding / Comment</t>
  </si>
  <si>
    <t>MANAGEMENT</t>
  </si>
  <si>
    <t>MGT-01</t>
  </si>
  <si>
    <t>Does national strategy translate into realistic priorities, responsibilities, implementation arrangements and measurable outcomes?</t>
  </si>
  <si>
    <t>an implementation framework linking strategy to responsibilities, actions, resources and measurable outcomes</t>
  </si>
  <si>
    <t>MGT-02</t>
  </si>
  <si>
    <t>Does the country have reliable information about participation, workforce, facilities, pathways and performance for national decisions?</t>
  </si>
  <si>
    <t>a simple national sport information system covering participation, workforce, facilities, pathways and performance</t>
  </si>
  <si>
    <t>MGT-03</t>
  </si>
  <si>
    <t>Are programmes, policies and investments monitored and evaluated, with findings used to improve future decisions?</t>
  </si>
  <si>
    <t>proportionate monitoring and evaluation processes linked directly to future planning and investment decisions</t>
  </si>
  <si>
    <t>MGT-04</t>
  </si>
  <si>
    <t>Can participants and athletes move successfully from one stage of sport to the next without major pathway breaks?</t>
  </si>
  <si>
    <t>clearly defined transitions and referral links across participation, development and performance stages</t>
  </si>
  <si>
    <t>MGT-05</t>
  </si>
  <si>
    <t>Can research, sport science, medicine and specialist knowledge be translated into practice through arrangements appropriate to national capacity?</t>
  </si>
  <si>
    <t>Athlete Development &amp; Performance|System Sustainability &amp; Capacity Conversion</t>
  </si>
  <si>
    <t>practical access arrangements connecting coaches and athletes to research, sport science, medicine and specialist expertise when needed</t>
  </si>
  <si>
    <t>MGT-06</t>
  </si>
  <si>
    <t>Are scarce capabilities shared, coordinated or prioritised rather than duplicated across weak parallel structures?</t>
  </si>
  <si>
    <t>shared-service, partnership or prioritisation arrangements for scarce specialist capabilities</t>
  </si>
  <si>
    <t>PHYSICAL RESOURCES</t>
  </si>
  <si>
    <t>PHY-01</t>
  </si>
  <si>
    <t>Can people reasonably access safe and appropriate places for entry-level and community sport?</t>
  </si>
  <si>
    <t>Participation &amp; Long-Term Involvement</t>
  </si>
  <si>
    <t>safe and accessible community participation spaces matched to population distribution and realistic travel</t>
  </si>
  <si>
    <t>PHY-02</t>
  </si>
  <si>
    <t>Can developing and high-performance athletes access training environments appropriate to their stage and sport when required?</t>
  </si>
  <si>
    <t>Athlete Development &amp; Performance</t>
  </si>
  <si>
    <t>appropriate stage-specific training environments for developing and performance athletes</t>
  </si>
  <si>
    <t>PHY-03</t>
  </si>
  <si>
    <t>Do facility distribution and scheduling respond sensibly to geography, population and transport realities?</t>
  </si>
  <si>
    <t>facility planning and scheduling that reflects population distribution, geography and transport constraints</t>
  </si>
  <si>
    <t>PHY-04</t>
  </si>
  <si>
    <t>Are existing facilities and equipment maintained, used and shared effectively rather than inaccessible or underused?</t>
  </si>
  <si>
    <t>facility and equipment management arrangements that prioritise maintenance, access, utilisation and shared use</t>
  </si>
  <si>
    <t>PHY-05</t>
  </si>
  <si>
    <t>Are equipment and technology requirements matched to programme need and national capacity rather than prestige or imitation?</t>
  </si>
  <si>
    <t>equipment and technology investment criteria based on verified programme need, capability and sustainable use</t>
  </si>
  <si>
    <t>PHY-06</t>
  </si>
  <si>
    <t>Can schools, universities, clubs, commercial venues or shared regional resources substitute effectively where dedicated facilities are unrealistic?</t>
  </si>
  <si>
    <t>formal shared-use arrangements with schools, universities, clubs, commercial venues or regional partners where dedicated facilities are unrealistic</t>
  </si>
  <si>
    <t>HUMAN RESOURCES</t>
  </si>
  <si>
    <t>HR-01</t>
  </si>
  <si>
    <t>Is there a coherent coach-development pathway that produces, supports and retains coaches for participation and performance needs?</t>
  </si>
  <si>
    <t>a national coach-development pathway with entry, education, mentoring, progression and retention arrangements</t>
  </si>
  <si>
    <t>HR-02</t>
  </si>
  <si>
    <t>Are officials, referees and event personnel developed sufficiently to sustain appropriate domestic competition?</t>
  </si>
  <si>
    <t>education, accreditation and development pathways for officials, referees and event personnel</t>
  </si>
  <si>
    <t>HR-03</t>
  </si>
  <si>
    <t>Do sport managers and administrators have the competencies needed to govern, plan, finance and deliver sport effectively?</t>
  </si>
  <si>
    <t>a structured sport-management and administration development programme linked to role requirements</t>
  </si>
  <si>
    <t>HR-04</t>
  </si>
  <si>
    <t>Can athletes access appropriate medical, rehabilitation, psychology, nutrition, strength/conditioning and sport-science expertise when needed?</t>
  </si>
  <si>
    <t>stage-appropriate referral and service arrangements for medical, rehabilitation, psychology, nutrition, strength/conditioning and sport science</t>
  </si>
  <si>
    <t>HR-05</t>
  </si>
  <si>
    <t>Are volunteers and community leaders recruited, supported and retained as an organised part of the sport workforce?</t>
  </si>
  <si>
    <t>a practical volunteer recruitment, induction, recognition, support and retention system</t>
  </si>
  <si>
    <t>HR-06</t>
  </si>
  <si>
    <t>Does the system develop succession, continuing professional development and knowledge transfer rather than depend on a few individuals?</t>
  </si>
  <si>
    <t>succession, continuing professional development, mentoring and knowledge-transfer arrangements across key sport roles</t>
  </si>
  <si>
    <t>FINANCIAL MANAGEMENT &amp; CONTROLS</t>
  </si>
  <si>
    <t>FIN-01</t>
  </si>
  <si>
    <t>Is sport funding predictable enough to permit realistic planning, even where the absolute amount is limited?</t>
  </si>
  <si>
    <t>a predictable funding framework that allows realistic planning within available resources</t>
  </si>
  <si>
    <t>FIN-02</t>
  </si>
  <si>
    <t>Are available resources allocated transparently across participation, development pathways and performance according to explicit priorities?</t>
  </si>
  <si>
    <t>transparent funding-allocation criteria linked to explicit participation, pathway and performance priorities</t>
  </si>
  <si>
    <t>FIN-03</t>
  </si>
  <si>
    <t>Are sport funds properly budgeted, approved, procured, accounted for and audited?</t>
  </si>
  <si>
    <t>practical budgeting, approval, procurement, accounting and audit controls across publicly supported sport organisations</t>
  </si>
  <si>
    <t>FIN-04</t>
  </si>
  <si>
    <t>Can athletes facing genuine financial barriers receive proportionate support at critical development or performance stages?</t>
  </si>
  <si>
    <t>transparent needs- and performance-based athlete support at critical development and performance stages</t>
  </si>
  <si>
    <t>FIN-05</t>
  </si>
  <si>
    <t>Does the system mobilise non-cash, shared-service, partnership, sponsorship and community contributions where feasible?</t>
  </si>
  <si>
    <t>a coordinated approach to sponsorship, partnerships, shared services, in-kind support and community contribution</t>
  </si>
  <si>
    <t>FIN-06</t>
  </si>
  <si>
    <t>Do funding decisions prioritise value from available capacity rather than spread scarce resources too thinly or copy larger systems?</t>
  </si>
  <si>
    <t>explicit prioritisation and value-for-capacity criteria for major sport investments and funding decisions</t>
  </si>
  <si>
    <t>COMMUNICATIONS &amp; MARKETING</t>
  </si>
  <si>
    <t>COM-01</t>
  </si>
  <si>
    <t>Can people easily discover where and how to begin sport and physical activity for their age, ability and location?</t>
  </si>
  <si>
    <t>a simple national and local communication system showing where, when and how people can begin sport</t>
  </si>
  <si>
    <t>COM-02</t>
  </si>
  <si>
    <t>Are participant and athlete pathways communicated clearly enough that people understand realistic next steps and support options?</t>
  </si>
  <si>
    <t>clear, accessible pathway information showing progression, transitions, competition and support options</t>
  </si>
  <si>
    <t>COM-03</t>
  </si>
  <si>
    <t>Does national sport communication promote positive, safe and inclusive participation rather than valuing only elite success?</t>
  </si>
  <si>
    <t>a balanced national sport communication strategy promoting participation, safety, inclusion, development and excellence</t>
  </si>
  <si>
    <t>COM-04</t>
  </si>
  <si>
    <t>Do government, sport bodies, schools, clubs and service providers exchange enough information to coordinate programmes and avoid duplication?</t>
  </si>
  <si>
    <t>regular information-sharing and coordination arrangements among major sport-system delivery organisations</t>
  </si>
  <si>
    <t>COM-05</t>
  </si>
  <si>
    <t>Can the system attract and manage sponsorship, media, partnerships and public support appropriate to the country's commercial environment?</t>
  </si>
  <si>
    <t>realistic sponsorship, media and partnership packages matched to the national commercial market</t>
  </si>
  <si>
    <t>COM-06</t>
  </si>
  <si>
    <t>Do participants, athletes, coaches and organisations have practical channels for feedback, complaints, learning and system communication?</t>
  </si>
  <si>
    <t>accessible feedback, complaints, consultation and learning channels for participants, athletes, coaches and organisations</t>
  </si>
  <si>
    <t>SPORT ACTIVITY</t>
  </si>
  <si>
    <t>ACT-01</t>
  </si>
  <si>
    <t>Do children and new participants have access to positive, safe, welcoming and enjoyable first experiences in sport?</t>
  </si>
  <si>
    <t>quality first-involvement programmes that are safe, welcoming, enjoyable and accessible</t>
  </si>
  <si>
    <t>ACT-02</t>
  </si>
  <si>
    <t>Does early participation develop broad physical literacy and fundamental sport skills, with diversification encouraged where appropriate?</t>
  </si>
  <si>
    <t>physical-literacy and broad skill-development programmes that avoid unnecessary early specialisation</t>
  </si>
  <si>
    <t>ACT-03</t>
  </si>
  <si>
    <t>Are training and development expectations appropriate to developmental stage rather than driven mainly by early selection or short-term winning?</t>
  </si>
  <si>
    <t>developmentally appropriate training and competition guidance for children and developing athletes</t>
  </si>
  <si>
    <t>ACT-04</t>
  </si>
  <si>
    <t>Is talent identification and development progressive, evidence-informed and flexible enough to recognise late developers and multiple pathways?</t>
  </si>
  <si>
    <t>progressive talent-development processes allowing multiple entry points, late development and evidence-informed selection</t>
  </si>
  <si>
    <t>ACT-05</t>
  </si>
  <si>
    <t>Do domestic competitions provide appropriate quantity, quality and progression before athletes need international exposure?</t>
  </si>
  <si>
    <t>a progressive domestic competition structure appropriate to participant and athlete-development stages</t>
  </si>
  <si>
    <t>ACT-06</t>
  </si>
  <si>
    <t>Does the system support transitions into, through and out of performance sport, including re-entry, education/career and lifelong involvement?</t>
  </si>
  <si>
    <t>transition support connecting performance sport, education/career, recreational re-entry and opportunities to contribute back to sport</t>
  </si>
  <si>
    <t>VALUES</t>
  </si>
  <si>
    <t>VAL-01</t>
  </si>
  <si>
    <t>Do safeguarding and safe-sport standards protect children, athletes and participants from abuse, harassment, exploitation and avoidable harm?</t>
  </si>
  <si>
    <t>national safeguarding and safe-sport standards with reporting, education and response mechanisms</t>
  </si>
  <si>
    <t>VAL-02</t>
  </si>
  <si>
    <t>Can women and girls, people with disabilities, disadvantaged groups and culturally diverse communities participate and progress without avoidable systemic barriers?</t>
  </si>
  <si>
    <t>practical inclusion and equity measures addressing gender, disability, disadvantage and cultural barriers</t>
  </si>
  <si>
    <t>VAL-03</t>
  </si>
  <si>
    <t>Is athlete and participant wellbeing treated as a system outcome alongside performance, including mental health, education, family and life balance?</t>
  </si>
  <si>
    <t>wellbeing standards and support covering mental health, education, family, life balance and athlete development</t>
  </si>
  <si>
    <t>VAL-04</t>
  </si>
  <si>
    <t>Do integrity systems address doping, manipulation, corruption, conflicts of interest and unethical conduct in proportion to national risk?</t>
  </si>
  <si>
    <t>proportionate integrity arrangements covering doping, manipulation, corruption, conflicts of interest and unethical conduct</t>
  </si>
  <si>
    <t>VAL-05</t>
  </si>
  <si>
    <t>Are sport policy and delivery culturally appropriate and able to build legitimacy, trust and community ownership?</t>
  </si>
  <si>
    <t>culturally appropriate consultation and delivery practices that strengthen community legitimacy and ownership</t>
  </si>
  <si>
    <t>VAL-06</t>
  </si>
  <si>
    <t>Does the national system balance excellence with participation, long-term development and sustainable involvement?</t>
  </si>
  <si>
    <t>a national policy balance that explicitly protects participation, long-term development and sustainable involvement alongside performance goals</t>
  </si>
  <si>
    <t>A diagnostic summary, not a country league table. Read effectiveness together with national context and evidence confidence.</t>
  </si>
  <si>
    <t>Overall Effectiveness</t>
  </si>
  <si>
    <t>System Interpretation</t>
  </si>
  <si>
    <t>Assessment Coverage</t>
  </si>
  <si>
    <t>National Context</t>
  </si>
  <si>
    <t>Pillar</t>
  </si>
  <si>
    <t>Score / 4</t>
  </si>
  <si>
    <t>Maturity</t>
  </si>
  <si>
    <t>Questions</t>
  </si>
  <si>
    <t>High-Confidence</t>
  </si>
  <si>
    <t>Below Target</t>
  </si>
  <si>
    <t>Assessed</t>
  </si>
  <si>
    <t>Governance</t>
  </si>
  <si>
    <t>Management</t>
  </si>
  <si>
    <t>Physical Resources</t>
  </si>
  <si>
    <t>Human Resources</t>
  </si>
  <si>
    <t>Financial Management &amp; Controls</t>
  </si>
  <si>
    <t>Communications &amp; Marketing</t>
  </si>
  <si>
    <t>CAPACITY-ADJUSTED READING</t>
  </si>
  <si>
    <t>Sport Activity</t>
  </si>
  <si>
    <t>Values</t>
  </si>
  <si>
    <t>STR-06 — METHODOLOGY &amp; SOURCES</t>
  </si>
  <si>
    <t>The academic depth is kept here so the working assessment remains simple for the human user.</t>
  </si>
  <si>
    <t>Component</t>
  </si>
  <si>
    <t>Role</t>
  </si>
  <si>
    <t>Contribution</t>
  </si>
  <si>
    <t>How Used</t>
  </si>
  <si>
    <t>Source / URL</t>
  </si>
  <si>
    <t>Note</t>
  </si>
  <si>
    <t>RAT / UMAP logic</t>
  </si>
  <si>
    <t>Core architecture</t>
  </si>
  <si>
    <t>Eight practical pillars; maturity and gap-analysis logic</t>
  </si>
  <si>
    <t>Defines the domains and answer → gap → action pathway.</t>
  </si>
  <si>
    <t>Integrated Sport Management Toolkit / RAT methodology</t>
  </si>
  <si>
    <t>Internal methodology</t>
  </si>
  <si>
    <t>SPLISS / De Bosscher et al.</t>
  </si>
  <si>
    <t>Elite-performance evidence</t>
  </si>
  <si>
    <t>Finance, policy integration, participation foundations, talent, athlete support, facilities, coaches, competition and research</t>
  </si>
  <si>
    <t>Informs performance-related assessment standards.</t>
  </si>
  <si>
    <t>https://doi.org/10.1080/16184740600955087</t>
  </si>
  <si>
    <t>Sports policy factors leading to international sporting success</t>
  </si>
  <si>
    <t>International SPLISS comparison</t>
  </si>
  <si>
    <t>Comparative evidence</t>
  </si>
  <si>
    <t>Successful systems use different combinations of policy factors</t>
  </si>
  <si>
    <t>Supports function-based rather than structure-copying assessment.</t>
  </si>
  <si>
    <t>https://doi.org/10.1016/j.smr.2009.01.001</t>
  </si>
  <si>
    <t>Comparative research</t>
  </si>
  <si>
    <t>Sport for Life / Long-Term Development</t>
  </si>
  <si>
    <t>Participation and development</t>
  </si>
  <si>
    <t>Physical literacy, first involvement, development, transitions, safe environments and Active for Life</t>
  </si>
  <si>
    <t>Informs pathway, participation, competition and values standards.</t>
  </si>
  <si>
    <t>Long-Term Development</t>
  </si>
  <si>
    <t>Development pathways</t>
  </si>
  <si>
    <t>Sampling, deliberate play, progression and multiple pathways</t>
  </si>
  <si>
    <t>Informs early participation, talent and transitions.</t>
  </si>
  <si>
    <t>https://doi.org/10.1016/j.scispo.2014.08.133</t>
  </si>
  <si>
    <t>DMSP</t>
  </si>
  <si>
    <t>Capacity-adjusted perspective</t>
  </si>
  <si>
    <t>Contextual fairness</t>
  </si>
  <si>
    <t>Smaller/resource-constrained systems can use functional equivalents, partnerships and prioritisation</t>
  </si>
  <si>
    <t>Separates context from effectiveness and rewards appropriate function delivery.</t>
  </si>
  <si>
    <t>https://doi.org/10.1080/24704067.2021.1928531</t>
  </si>
  <si>
    <t>Capacity-sensitive comparison</t>
  </si>
  <si>
    <t>STR-06 CONTROLLED LISTS</t>
  </si>
  <si>
    <t>Constraint</t>
  </si>
  <si>
    <t>Priority</t>
  </si>
  <si>
    <t>Not Yet Rated</t>
  </si>
  <si>
    <t>Set the number of priorities, minimum evidence confidence and pillar filter. Use Auto / Include / Exclude only where informed judgement should adjust the automatic list.</t>
  </si>
  <si>
    <t>THIS v0.8 CLEAN MASTER — PRIORITY CONTROLS</t>
  </si>
  <si>
    <t>This clean master contains no assessment or context data. Priority Controls let the user choose how many gaps are shown, set a minimum evidence-confidence threshold, filter by pillar, and apply a per-question Auto / Include / Exclude override without changing the underlying assessment score.</t>
  </si>
  <si>
    <t>Choose one best-fit answer for each question. STR-06 scores the answer, identifies the gap to target and proposes a generic action. Use the refinement/evidence cells where your judgement adds value. Priority Override is optional: Auto uses the evidence-based ranking, Include forces an eligible gap upward, and Exclude removes it.</t>
  </si>
  <si>
    <t>ASSESS CURRENT FUNCTIONING, NOT FUTURE INTENT. Use the strongest available evidence, then select the best-fit answer. Confidence describes how strong the evidence is. Priority Override defaults to Auto; use Include or Exclude only when informed management judgement justifies changing the automatic priority list.</t>
  </si>
  <si>
    <t>Priority Override</t>
  </si>
  <si>
    <t>Auto</t>
  </si>
  <si>
    <t>Include</t>
  </si>
  <si>
    <t>Exclude</t>
  </si>
  <si>
    <t>STR-06 — NATIONAL SPORT SYSTEM DASHBOARD</t>
  </si>
  <si>
    <t>EFFECTIVENESS BY RAT PILLAR</t>
  </si>
  <si>
    <t>CROSS-CUTTING OUTCOMES</t>
  </si>
  <si>
    <t>Average Level</t>
  </si>
  <si>
    <t>Target</t>
  </si>
  <si>
    <t>WHAT THE TEST IS SAYING</t>
  </si>
  <si>
    <t>AVERAGE DEVELOPMENT LEVEL BY PILLAR</t>
  </si>
  <si>
    <t>STR-06 — IMPROVEMENT PRIORITIES</t>
  </si>
  <si>
    <t>Use the controls below to decide how much of the evidence-based priority list is visible. Filters do not change assessment scores; they only change which eligible gaps are displayed.</t>
  </si>
  <si>
    <t>Number to Show</t>
  </si>
  <si>
    <t>Minimum Confidence</t>
  </si>
  <si>
    <t>All</t>
  </si>
  <si>
    <t>Pillar Filter</t>
  </si>
  <si>
    <t>Manual Override</t>
  </si>
  <si>
    <t>Assessment col M</t>
  </si>
  <si>
    <t>Eligible Gaps</t>
  </si>
  <si>
    <t>Rank</t>
  </si>
  <si>
    <t>Decision Priority</t>
  </si>
  <si>
    <t>Your Final Action / Owner / Timeframe</t>
  </si>
  <si>
    <t>Filtered Key</t>
  </si>
  <si>
    <t>Assessment 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</si>
</sst>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name val="Carlito"/>
    </font>
    <font>
      <b/>
      <sz val="16"/>
      <color rgb="FFFFFFFF"/>
      <name val="Carlito"/>
    </font>
    <font>
      <i/>
      <sz val="11"/>
      <color rgb="FF404040"/>
      <name val="Carlito"/>
    </font>
    <font>
      <b/>
      <sz val="11"/>
      <color rgb="FFFFFFFF"/>
      <name val="Carlito"/>
    </font>
    <font>
      <sz val="11"/>
      <color rgb="FF404040"/>
      <name val="Carlito"/>
    </font>
    <font>
      <b/>
      <sz val="12"/>
      <color rgb="FFFFFFFF"/>
      <name val="Carlito"/>
    </font>
    <font>
      <b/>
      <sz val="11"/>
      <color rgb="FF17365D"/>
      <name val="Carlito"/>
    </font>
    <font>
      <b/>
      <sz val="10"/>
      <color rgb="FFFFFFFF"/>
      <name val="Carlito"/>
    </font>
    <font>
      <b/>
      <sz val="14"/>
      <color rgb="FF17365D"/>
      <name val="Carlito"/>
    </font>
    <font>
      <b/>
      <sz val="11"/>
      <name val="Carlito"/>
    </font>
    <font>
      <b/>
      <i/>
      <sz val="11"/>
      <color rgb="FF404040"/>
      <name val="Carlito"/>
    </font>
    <font>
      <sz val="11"/>
      <name val="Arial"/>
    </font>
    <font>
      <b/>
      <sz val="12"/>
      <name val="Arial"/>
    </font>
    <font>
      <b/>
      <sz val="14"/>
      <color rgb="FF404040"/>
      <name val="Carlito"/>
    </font>
    <font>
      <b/>
      <sz val="10"/>
      <color rgb="FFFFFFFF"/>
      <name val="Arial"/>
    </font>
    <font>
      <b/>
      <sz val="14"/>
      <color rgb="FFFFFFFF"/>
      <name val="Arial"/>
    </font>
    <font>
      <sz val="14"/>
      <name val="Arial"/>
    </font>
    <font>
      <sz val="11"/>
      <color theme="10"/>
      <name val="Carlito"/>
    </font>
    <font>
      <sz val="10"/>
      <name val="Arial"/>
    </font>
    <font>
      <sz val="10"/>
      <name val="Arial"/>
    </font>
    <font>
      <sz val="10"/>
      <name val="arialCarlito"/>
    </font>
    <font>
      <b/>
      <sz val="12"/>
      <color rgb="FFFFFFFF"/>
      <name val="Arial"/>
    </font>
    <font>
      <b/>
      <sz val="12"/>
      <color rgb="FF17365D"/>
      <name val="Carlito"/>
    </font>
    <font>
      <i/>
      <sz val="9"/>
      <color rgb="FF404040"/>
      <name val="Carlito"/>
    </font>
    <font>
      <b/>
      <sz val="11"/>
      <color rgb="FF404040"/>
      <name val="Carlito"/>
    </font>
    <font>
      <b/>
      <i/>
      <sz val="12"/>
      <color rgb="FFFFFFFF"/>
      <name val="Carlito"/>
    </font>
    <font>
      <b/>
      <i/>
      <sz val="11"/>
      <color rgb="FFFFFFFF"/>
      <name val="Carlito"/>
    </font>
    <font>
      <b/>
      <i/>
      <sz val="11"/>
      <color rgb="FF17365D"/>
      <name val="Carlito"/>
    </font>
    <font>
      <i/>
      <sz val="11"/>
      <color rgb="FF404040"/>
      <name val="Carlito"/>
    </font>
    <font>
      <i/>
      <sz val="10"/>
      <name val="Arial"/>
      <family val="2"/>
    </font>
    <font>
      <sz val="10"/>
      <name val="Arial"/>
      <family val="2"/>
    </font>
  </fonts>
  <fills count="19">
    <fill>
      <patternFill patternType="none"/>
    </fill>
    <fill>
      <patternFill patternType="gray125"/>
    </fill>
    <fill>
      <patternFill patternType="solid">
        <fgColor rgb="FF17365D"/>
      </patternFill>
    </fill>
    <fill>
      <patternFill patternType="solid">
        <fgColor rgb="FFF3F4F6"/>
      </patternFill>
    </fill>
    <fill>
      <patternFill patternType="solid">
        <fgColor rgb="FF244A73"/>
      </patternFill>
    </fill>
    <fill>
      <patternFill patternType="solid">
        <fgColor rgb="FFEEF5F9"/>
      </patternFill>
    </fill>
    <fill>
      <patternFill patternType="solid">
        <fgColor rgb="FFD9EAF7"/>
      </patternFill>
    </fill>
    <fill>
      <patternFill patternType="solid">
        <fgColor rgb="FFFFF2CC"/>
      </patternFill>
    </fill>
    <fill>
      <patternFill patternType="solid">
        <fgColor rgb="FF244A73"/>
      </patternFill>
    </fill>
    <fill>
      <patternFill patternType="solid">
        <fgColor rgb="FFF3F4F6"/>
      </patternFill>
    </fill>
    <fill>
      <patternFill patternType="solid">
        <fgColor rgb="FFD9EAF7"/>
      </patternFill>
    </fill>
    <fill>
      <patternFill patternType="solid">
        <fgColor rgb="FFFFF2CC"/>
      </patternFill>
    </fill>
    <fill>
      <patternFill patternType="solid">
        <fgColor rgb="FFE2F0D9"/>
      </patternFill>
    </fill>
    <fill>
      <patternFill patternType="solid">
        <fgColor rgb="FF244A73"/>
      </patternFill>
    </fill>
    <fill>
      <patternFill patternType="solid">
        <fgColor rgb="FFEEF5F9"/>
      </patternFill>
    </fill>
    <fill>
      <patternFill patternType="solid">
        <fgColor rgb="FF244A73"/>
      </patternFill>
    </fill>
    <fill>
      <patternFill patternType="solid">
        <fgColor rgb="FFFFF2CC"/>
      </patternFill>
    </fill>
    <fill>
      <patternFill patternType="solid">
        <fgColor rgb="FFD9EAF7"/>
      </patternFill>
    </fill>
    <fill>
      <patternFill patternType="solid">
        <fgColor rgb="FFF3F4F6"/>
      </patternFill>
    </fill>
  </fills>
  <borders count="3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right style="thin">
        <color auto="1"/>
      </right>
      <top/>
      <bottom/>
      <diagonal/>
    </border>
    <border>
      <left style="thin">
        <color auto="1"/>
      </left>
      <right/>
      <top/>
      <bottom/>
      <diagonal/>
    </border>
    <border>
      <left style="thin">
        <color auto="1"/>
      </left>
      <right/>
      <top/>
      <bottom/>
      <diagonal/>
    </border>
    <border>
      <left/>
      <right/>
      <top/>
      <bottom/>
      <diagonal/>
    </border>
    <border>
      <left/>
      <right/>
      <top/>
      <bottom/>
      <diagonal/>
    </border>
    <border>
      <left/>
      <right/>
      <top style="thin">
        <color auto="1"/>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17" fillId="0" borderId="0" applyNumberFormat="0" applyFill="0" applyBorder="0" applyAlignment="0" applyProtection="0"/>
  </cellStyleXfs>
  <cellXfs count="187">
    <xf numFmtId="0" fontId="0" fillId="0" borderId="0" xfId="0"/>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0" fillId="0" borderId="4" xfId="0" applyBorder="1" applyAlignment="1">
      <alignment vertical="top" wrapText="1"/>
    </xf>
    <xf numFmtId="0" fontId="0" fillId="0" borderId="11"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12" xfId="0" applyBorder="1" applyAlignment="1">
      <alignment vertical="top" wrapText="1"/>
    </xf>
    <xf numFmtId="0" fontId="0" fillId="0" borderId="9" xfId="0" applyBorder="1" applyAlignment="1">
      <alignment vertical="top" wrapText="1"/>
    </xf>
    <xf numFmtId="0" fontId="4" fillId="3" borderId="1" xfId="0" applyFont="1" applyFill="1" applyBorder="1" applyAlignment="1">
      <alignment vertical="top" wrapText="1"/>
    </xf>
    <xf numFmtId="0" fontId="4" fillId="3" borderId="2" xfId="0" applyFont="1" applyFill="1" applyBorder="1" applyAlignment="1">
      <alignment vertical="top" wrapText="1"/>
    </xf>
    <xf numFmtId="0" fontId="4" fillId="3" borderId="3" xfId="0" applyFont="1" applyFill="1" applyBorder="1" applyAlignment="1">
      <alignment vertical="top" wrapText="1"/>
    </xf>
    <xf numFmtId="0" fontId="6" fillId="6" borderId="1" xfId="0" applyFont="1" applyFill="1" applyBorder="1" applyAlignment="1">
      <alignment vertical="top" wrapText="1"/>
    </xf>
    <xf numFmtId="0" fontId="6" fillId="6" borderId="2" xfId="0" applyFont="1" applyFill="1" applyBorder="1" applyAlignment="1">
      <alignment vertical="top" wrapText="1"/>
    </xf>
    <xf numFmtId="2" fontId="6" fillId="6" borderId="2" xfId="0" applyNumberFormat="1" applyFont="1" applyFill="1" applyBorder="1" applyAlignment="1">
      <alignment vertical="top" wrapText="1"/>
    </xf>
    <xf numFmtId="0" fontId="6" fillId="7" borderId="2" xfId="0" applyFont="1" applyFill="1" applyBorder="1" applyAlignment="1">
      <alignment vertical="top" wrapText="1"/>
    </xf>
    <xf numFmtId="0" fontId="6" fillId="7" borderId="3" xfId="0" applyFont="1" applyFill="1" applyBorder="1" applyAlignment="1">
      <alignment vertical="top" wrapText="1"/>
    </xf>
    <xf numFmtId="0" fontId="6" fillId="7" borderId="1" xfId="0" applyFont="1" applyFill="1" applyBorder="1" applyAlignment="1">
      <alignment vertical="top" wrapText="1"/>
    </xf>
    <xf numFmtId="0" fontId="4" fillId="3" borderId="4" xfId="0" applyFont="1" applyFill="1" applyBorder="1" applyAlignment="1">
      <alignment vertical="top" wrapText="1"/>
    </xf>
    <xf numFmtId="0" fontId="4" fillId="3" borderId="11" xfId="0" applyFont="1" applyFill="1" applyBorder="1" applyAlignment="1">
      <alignment vertical="top" wrapText="1"/>
    </xf>
    <xf numFmtId="0" fontId="4" fillId="3" borderId="5" xfId="0" applyFont="1" applyFill="1" applyBorder="1" applyAlignment="1">
      <alignment vertical="top" wrapText="1"/>
    </xf>
    <xf numFmtId="0" fontId="4" fillId="3" borderId="6" xfId="0" applyFont="1" applyFill="1" applyBorder="1" applyAlignment="1">
      <alignment vertical="top" wrapText="1"/>
    </xf>
    <xf numFmtId="0" fontId="4" fillId="3" borderId="0" xfId="0" applyFont="1" applyFill="1" applyAlignment="1">
      <alignment vertical="top" wrapText="1"/>
    </xf>
    <xf numFmtId="0" fontId="4" fillId="3" borderId="7" xfId="0" applyFont="1" applyFill="1" applyBorder="1" applyAlignment="1">
      <alignment vertical="top" wrapText="1"/>
    </xf>
    <xf numFmtId="0" fontId="4" fillId="3" borderId="8" xfId="0" applyFont="1" applyFill="1" applyBorder="1" applyAlignment="1">
      <alignment vertical="top" wrapText="1"/>
    </xf>
    <xf numFmtId="0" fontId="4" fillId="3" borderId="12" xfId="0" applyFont="1" applyFill="1" applyBorder="1" applyAlignment="1">
      <alignment vertical="top" wrapText="1"/>
    </xf>
    <xf numFmtId="0" fontId="4" fillId="3" borderId="9" xfId="0" applyFont="1" applyFill="1" applyBorder="1" applyAlignment="1">
      <alignment vertical="top" wrapText="1"/>
    </xf>
    <xf numFmtId="2" fontId="4" fillId="3" borderId="11" xfId="0" applyNumberFormat="1" applyFont="1" applyFill="1" applyBorder="1" applyAlignment="1">
      <alignment vertical="top" wrapText="1"/>
    </xf>
    <xf numFmtId="2" fontId="4" fillId="3" borderId="0" xfId="0" applyNumberFormat="1" applyFont="1" applyFill="1" applyAlignment="1">
      <alignment vertical="top" wrapText="1"/>
    </xf>
    <xf numFmtId="2" fontId="4" fillId="3" borderId="12" xfId="0" applyNumberFormat="1" applyFont="1" applyFill="1" applyBorder="1" applyAlignment="1">
      <alignment vertical="top" wrapText="1"/>
    </xf>
    <xf numFmtId="0" fontId="6" fillId="6" borderId="10" xfId="0" applyFont="1" applyFill="1" applyBorder="1" applyAlignment="1">
      <alignment vertical="center" wrapText="1"/>
    </xf>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12" fillId="3" borderId="14" xfId="0" applyFont="1" applyFill="1" applyBorder="1" applyAlignment="1">
      <alignment vertical="center" wrapText="1"/>
    </xf>
    <xf numFmtId="0" fontId="0" fillId="0" borderId="0" xfId="0" applyAlignment="1">
      <alignment horizontal="center" vertical="center"/>
    </xf>
    <xf numFmtId="0" fontId="0" fillId="7" borderId="15" xfId="0" applyFill="1" applyBorder="1" applyAlignment="1">
      <alignment vertical="top" wrapText="1"/>
    </xf>
    <xf numFmtId="0" fontId="0" fillId="7" borderId="17" xfId="0" applyFill="1" applyBorder="1" applyAlignment="1">
      <alignment vertical="top" wrapText="1"/>
    </xf>
    <xf numFmtId="0" fontId="0" fillId="7" borderId="14" xfId="0" applyFill="1" applyBorder="1" applyAlignment="1">
      <alignment horizontal="center" vertical="center" wrapText="1"/>
    </xf>
    <xf numFmtId="0" fontId="14" fillId="2" borderId="3"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6" fillId="0" borderId="0" xfId="0" applyFont="1"/>
    <xf numFmtId="0" fontId="0" fillId="3" borderId="14" xfId="0" applyFill="1" applyBorder="1" applyAlignment="1">
      <alignment horizontal="center" vertical="center" wrapText="1"/>
    </xf>
    <xf numFmtId="0" fontId="6" fillId="6" borderId="2" xfId="0" applyFont="1" applyFill="1" applyBorder="1" applyAlignment="1">
      <alignment horizontal="center" vertical="center" wrapText="1"/>
    </xf>
    <xf numFmtId="0" fontId="0" fillId="7" borderId="14" xfId="0" applyFill="1" applyBorder="1" applyAlignment="1">
      <alignment vertical="top" wrapText="1"/>
    </xf>
    <xf numFmtId="2" fontId="9" fillId="3" borderId="14" xfId="0" applyNumberFormat="1" applyFont="1" applyFill="1" applyBorder="1" applyAlignment="1">
      <alignment vertical="top" wrapText="1"/>
    </xf>
    <xf numFmtId="0" fontId="0" fillId="3" borderId="4" xfId="0" applyFill="1" applyBorder="1" applyAlignment="1">
      <alignment vertical="top" wrapText="1"/>
    </xf>
    <xf numFmtId="0" fontId="0" fillId="3" borderId="6" xfId="0" applyFill="1" applyBorder="1" applyAlignment="1">
      <alignment vertical="top" wrapText="1"/>
    </xf>
    <xf numFmtId="0" fontId="0" fillId="3" borderId="8" xfId="0" applyFill="1" applyBorder="1" applyAlignment="1">
      <alignment vertical="top" wrapText="1"/>
    </xf>
    <xf numFmtId="0" fontId="0" fillId="3" borderId="11" xfId="0" applyFill="1" applyBorder="1" applyAlignment="1">
      <alignment vertical="top" wrapText="1"/>
    </xf>
    <xf numFmtId="0" fontId="0" fillId="3" borderId="11"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vertical="top" wrapText="1"/>
    </xf>
    <xf numFmtId="0" fontId="0" fillId="3" borderId="0" xfId="0" applyFill="1" applyAlignment="1">
      <alignment horizontal="center" vertical="center" wrapText="1"/>
    </xf>
    <xf numFmtId="0" fontId="0" fillId="3" borderId="7" xfId="0" applyFill="1" applyBorder="1" applyAlignment="1">
      <alignment horizontal="center" vertical="center" wrapText="1"/>
    </xf>
    <xf numFmtId="0" fontId="0" fillId="3" borderId="12" xfId="0" applyFill="1" applyBorder="1" applyAlignment="1">
      <alignment vertical="top" wrapText="1"/>
    </xf>
    <xf numFmtId="0" fontId="0" fillId="3" borderId="12" xfId="0" applyFill="1" applyBorder="1" applyAlignment="1">
      <alignment horizontal="center" vertical="center" wrapText="1"/>
    </xf>
    <xf numFmtId="0" fontId="0" fillId="3" borderId="9" xfId="0" applyFill="1" applyBorder="1" applyAlignment="1">
      <alignment horizontal="center" vertical="center" wrapText="1"/>
    </xf>
    <xf numFmtId="0" fontId="11" fillId="0" borderId="13" xfId="0" applyFont="1" applyBorder="1" applyAlignment="1">
      <alignment horizontal="left" vertical="center" wrapText="1"/>
    </xf>
    <xf numFmtId="0" fontId="0" fillId="0" borderId="0" xfId="0" applyAlignment="1">
      <alignment horizontal="left" vertical="center"/>
    </xf>
    <xf numFmtId="0" fontId="18" fillId="0" borderId="13" xfId="0" applyFont="1" applyBorder="1" applyAlignment="1">
      <alignment horizontal="left" vertical="center" wrapText="1"/>
    </xf>
    <xf numFmtId="0" fontId="18" fillId="0" borderId="0" xfId="0" applyFont="1" applyAlignment="1">
      <alignment horizontal="left" vertical="center"/>
    </xf>
    <xf numFmtId="0" fontId="19" fillId="0" borderId="13" xfId="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19" fillId="0" borderId="0" xfId="1" applyFont="1" applyAlignment="1">
      <alignment vertical="center"/>
    </xf>
    <xf numFmtId="2" fontId="6" fillId="6" borderId="2"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2" xfId="0" applyFont="1" applyFill="1" applyBorder="1" applyAlignment="1">
      <alignment horizontal="left" vertical="center" wrapText="1"/>
    </xf>
    <xf numFmtId="0" fontId="21" fillId="2" borderId="3" xfId="0" applyFont="1" applyFill="1" applyBorder="1" applyAlignment="1">
      <alignment horizontal="center" vertical="center" wrapText="1"/>
    </xf>
    <xf numFmtId="0" fontId="4" fillId="3" borderId="0" xfId="0" applyFont="1" applyFill="1" applyAlignment="1">
      <alignment horizontal="center" vertical="center" wrapText="1"/>
    </xf>
    <xf numFmtId="0" fontId="0" fillId="7" borderId="18" xfId="0" applyFill="1" applyBorder="1" applyAlignment="1">
      <alignment horizontal="center" vertical="center" wrapText="1"/>
    </xf>
    <xf numFmtId="0" fontId="0" fillId="3" borderId="18" xfId="0" applyFill="1" applyBorder="1" applyAlignment="1">
      <alignment horizontal="center" vertical="center" wrapText="1"/>
    </xf>
    <xf numFmtId="0" fontId="0" fillId="7" borderId="18" xfId="0" applyFill="1" applyBorder="1" applyAlignment="1">
      <alignment vertical="top" wrapText="1"/>
    </xf>
    <xf numFmtId="0" fontId="6" fillId="10" borderId="24" xfId="0" applyFont="1" applyFill="1" applyBorder="1"/>
    <xf numFmtId="0" fontId="22" fillId="11" borderId="24" xfId="0" applyFont="1" applyFill="1" applyBorder="1" applyAlignment="1">
      <alignment horizontal="center"/>
    </xf>
    <xf numFmtId="0" fontId="4" fillId="3" borderId="18" xfId="0" applyFont="1" applyFill="1" applyBorder="1" applyAlignment="1">
      <alignment horizontal="center" vertical="center" wrapText="1"/>
    </xf>
    <xf numFmtId="0" fontId="7" fillId="2" borderId="0" xfId="0" applyFont="1" applyFill="1" applyAlignment="1">
      <alignment horizontal="center" vertical="center" wrapText="1"/>
    </xf>
    <xf numFmtId="0" fontId="12" fillId="3" borderId="0" xfId="0" applyFont="1" applyFill="1" applyAlignment="1">
      <alignment horizontal="center" vertical="center" wrapText="1"/>
    </xf>
    <xf numFmtId="2" fontId="13" fillId="3" borderId="0" xfId="0" applyNumberFormat="1" applyFont="1" applyFill="1" applyAlignment="1">
      <alignment horizontal="center" vertical="center" wrapText="1"/>
    </xf>
    <xf numFmtId="0" fontId="2" fillId="3" borderId="1" xfId="0" applyFont="1" applyFill="1" applyBorder="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2" fillId="3" borderId="0" xfId="0" applyFont="1" applyFill="1" applyAlignment="1">
      <alignment vertical="top" wrapText="1"/>
    </xf>
    <xf numFmtId="0" fontId="2" fillId="3" borderId="4" xfId="0" applyFont="1" applyFill="1" applyBorder="1" applyAlignment="1">
      <alignment vertical="top" wrapText="1"/>
    </xf>
    <xf numFmtId="0" fontId="2" fillId="3" borderId="11" xfId="0" applyFont="1" applyFill="1" applyBorder="1" applyAlignment="1">
      <alignment vertical="top" wrapText="1"/>
    </xf>
    <xf numFmtId="0" fontId="2" fillId="3" borderId="5" xfId="0" applyFont="1" applyFill="1" applyBorder="1" applyAlignment="1">
      <alignment vertical="top" wrapText="1"/>
    </xf>
    <xf numFmtId="0" fontId="2" fillId="3" borderId="6" xfId="0" applyFont="1" applyFill="1" applyBorder="1" applyAlignment="1">
      <alignment vertical="top" wrapText="1"/>
    </xf>
    <xf numFmtId="0" fontId="2" fillId="3" borderId="7" xfId="0" applyFont="1" applyFill="1" applyBorder="1" applyAlignment="1">
      <alignment vertical="top" wrapText="1"/>
    </xf>
    <xf numFmtId="0" fontId="2" fillId="3" borderId="8" xfId="0" applyFont="1" applyFill="1" applyBorder="1" applyAlignment="1">
      <alignment vertical="top" wrapText="1"/>
    </xf>
    <xf numFmtId="0" fontId="2" fillId="3" borderId="12" xfId="0" applyFont="1" applyFill="1" applyBorder="1" applyAlignment="1">
      <alignment vertical="top" wrapText="1"/>
    </xf>
    <xf numFmtId="0" fontId="2" fillId="3" borderId="9" xfId="0" applyFont="1" applyFill="1" applyBorder="1" applyAlignment="1">
      <alignment vertical="top"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0" fillId="7" borderId="14" xfId="0" applyFill="1" applyBorder="1" applyAlignment="1">
      <alignment vertical="center" wrapText="1"/>
    </xf>
    <xf numFmtId="0" fontId="6" fillId="7" borderId="0" xfId="0" applyFont="1" applyFill="1" applyAlignment="1">
      <alignment horizontal="left" vertical="center" wrapText="1"/>
    </xf>
    <xf numFmtId="0" fontId="0" fillId="0" borderId="0" xfId="0" applyAlignment="1">
      <alignment wrapText="1"/>
    </xf>
    <xf numFmtId="0" fontId="6" fillId="7" borderId="0" xfId="0" applyFont="1" applyFill="1" applyAlignment="1">
      <alignment horizontal="center" vertical="center" wrapText="1"/>
    </xf>
    <xf numFmtId="0" fontId="0" fillId="7" borderId="0" xfId="0" applyFill="1" applyAlignment="1">
      <alignment vertical="top" wrapText="1"/>
    </xf>
    <xf numFmtId="0" fontId="6" fillId="7" borderId="0" xfId="0" applyFont="1" applyFill="1" applyAlignment="1">
      <alignment vertical="top" wrapText="1"/>
    </xf>
    <xf numFmtId="0" fontId="1" fillId="13" borderId="0" xfId="0" applyFont="1" applyFill="1" applyAlignment="1">
      <alignment vertical="center" wrapText="1"/>
    </xf>
    <xf numFmtId="0" fontId="5" fillId="13" borderId="0" xfId="0" applyFont="1" applyFill="1" applyAlignment="1">
      <alignment vertical="center" wrapText="1"/>
    </xf>
    <xf numFmtId="0" fontId="3" fillId="13" borderId="0" xfId="0" applyFont="1" applyFill="1" applyAlignment="1">
      <alignment vertical="center"/>
    </xf>
    <xf numFmtId="0" fontId="26" fillId="13" borderId="0" xfId="0" applyFont="1" applyFill="1" applyAlignment="1">
      <alignment vertical="center" wrapText="1"/>
    </xf>
    <xf numFmtId="0" fontId="25" fillId="13" borderId="0" xfId="0" applyFont="1" applyFill="1" applyAlignment="1">
      <alignment vertical="center" wrapText="1"/>
    </xf>
    <xf numFmtId="0" fontId="23" fillId="14" borderId="0" xfId="0" applyFont="1" applyFill="1" applyAlignment="1">
      <alignment vertical="center" wrapText="1"/>
    </xf>
    <xf numFmtId="0" fontId="3" fillId="15" borderId="27" xfId="0" applyFont="1" applyFill="1" applyBorder="1" applyAlignment="1">
      <alignment horizontal="center" vertical="center" wrapText="1"/>
    </xf>
    <xf numFmtId="0" fontId="4" fillId="16" borderId="27" xfId="0" applyFont="1" applyFill="1" applyBorder="1" applyAlignment="1">
      <alignment horizontal="center" vertical="center"/>
    </xf>
    <xf numFmtId="0" fontId="6" fillId="17" borderId="27" xfId="0" applyFont="1" applyFill="1" applyBorder="1"/>
    <xf numFmtId="0" fontId="6" fillId="17" borderId="27" xfId="0" applyFont="1" applyFill="1" applyBorder="1" applyAlignment="1">
      <alignment horizontal="center"/>
    </xf>
    <xf numFmtId="0" fontId="24" fillId="16" borderId="27" xfId="0" applyFont="1" applyFill="1" applyBorder="1" applyAlignment="1">
      <alignment horizontal="center" vertical="center" wrapText="1"/>
    </xf>
    <xf numFmtId="0" fontId="7" fillId="15" borderId="28" xfId="0" applyFont="1" applyFill="1" applyBorder="1" applyAlignment="1">
      <alignment horizontal="center" vertical="center" wrapText="1"/>
    </xf>
    <xf numFmtId="0" fontId="7" fillId="15" borderId="29" xfId="0" applyFont="1" applyFill="1" applyBorder="1" applyAlignment="1">
      <alignment horizontal="center" vertical="center" wrapText="1"/>
    </xf>
    <xf numFmtId="0" fontId="7" fillId="15" borderId="30" xfId="0" applyFont="1" applyFill="1" applyBorder="1" applyAlignment="1">
      <alignment horizontal="center" vertical="center" wrapText="1"/>
    </xf>
    <xf numFmtId="0" fontId="5" fillId="4" borderId="0" xfId="0" applyFont="1" applyFill="1" applyAlignment="1">
      <alignment vertical="center" wrapText="1"/>
    </xf>
    <xf numFmtId="0" fontId="1" fillId="2" borderId="0" xfId="0" applyFont="1" applyFill="1" applyAlignment="1">
      <alignment vertical="center" wrapText="1"/>
    </xf>
    <xf numFmtId="0" fontId="2" fillId="3" borderId="1" xfId="0" applyFont="1" applyFill="1" applyBorder="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2" fillId="9" borderId="19" xfId="0" applyFont="1" applyFill="1" applyBorder="1" applyAlignment="1">
      <alignment horizontal="center" vertical="center" wrapText="1"/>
    </xf>
    <xf numFmtId="0" fontId="2" fillId="9" borderId="21"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6" fillId="12" borderId="19" xfId="0" applyFont="1" applyFill="1" applyBorder="1" applyAlignment="1">
      <alignment vertical="center" wrapText="1"/>
    </xf>
    <xf numFmtId="0" fontId="6" fillId="12" borderId="25" xfId="0" applyFont="1" applyFill="1" applyBorder="1" applyAlignment="1">
      <alignment vertical="center" wrapText="1"/>
    </xf>
    <xf numFmtId="0" fontId="6" fillId="12" borderId="20" xfId="0" applyFont="1" applyFill="1" applyBorder="1" applyAlignment="1">
      <alignment vertical="center" wrapText="1"/>
    </xf>
    <xf numFmtId="0" fontId="18" fillId="0" borderId="0" xfId="0" applyFont="1" applyAlignment="1">
      <alignment horizontal="left" vertical="center" wrapText="1"/>
    </xf>
    <xf numFmtId="0" fontId="0" fillId="0" borderId="0" xfId="0" applyAlignment="1">
      <alignment horizontal="left" vertical="center" wrapText="1"/>
    </xf>
    <xf numFmtId="0" fontId="3" fillId="2" borderId="0" xfId="0" applyFont="1" applyFill="1" applyAlignment="1">
      <alignment horizontal="left" vertical="center" wrapText="1"/>
    </xf>
    <xf numFmtId="0" fontId="10" fillId="3" borderId="4" xfId="0" applyFont="1" applyFill="1" applyBorder="1" applyAlignment="1">
      <alignment vertical="top" wrapText="1"/>
    </xf>
    <xf numFmtId="0" fontId="10" fillId="3" borderId="11" xfId="0" applyFont="1" applyFill="1" applyBorder="1" applyAlignment="1">
      <alignment vertical="top" wrapText="1"/>
    </xf>
    <xf numFmtId="0" fontId="10" fillId="3" borderId="5" xfId="0" applyFont="1" applyFill="1" applyBorder="1" applyAlignment="1">
      <alignment vertical="top" wrapText="1"/>
    </xf>
    <xf numFmtId="0" fontId="10" fillId="3" borderId="6" xfId="0" applyFont="1" applyFill="1" applyBorder="1" applyAlignment="1">
      <alignment vertical="top" wrapText="1"/>
    </xf>
    <xf numFmtId="0" fontId="10" fillId="3" borderId="0" xfId="0" applyFont="1" applyFill="1" applyAlignment="1">
      <alignment vertical="top" wrapText="1"/>
    </xf>
    <xf numFmtId="0" fontId="10" fillId="3" borderId="7" xfId="0" applyFont="1" applyFill="1" applyBorder="1" applyAlignment="1">
      <alignment vertical="top" wrapText="1"/>
    </xf>
    <xf numFmtId="0" fontId="10" fillId="3" borderId="8" xfId="0" applyFont="1" applyFill="1" applyBorder="1" applyAlignment="1">
      <alignment vertical="top" wrapText="1"/>
    </xf>
    <xf numFmtId="0" fontId="10" fillId="3" borderId="12" xfId="0" applyFont="1" applyFill="1" applyBorder="1" applyAlignment="1">
      <alignment vertical="top" wrapText="1"/>
    </xf>
    <xf numFmtId="0" fontId="10" fillId="3" borderId="9" xfId="0" applyFont="1" applyFill="1" applyBorder="1" applyAlignment="1">
      <alignment vertical="top" wrapText="1"/>
    </xf>
    <xf numFmtId="0" fontId="18" fillId="0" borderId="13" xfId="0" applyFont="1" applyBorder="1" applyAlignment="1">
      <alignment horizontal="left" vertical="center" wrapText="1"/>
    </xf>
    <xf numFmtId="0" fontId="20" fillId="0" borderId="0" xfId="0" applyFont="1" applyAlignment="1">
      <alignment horizontal="left" vertical="center" wrapText="1"/>
    </xf>
    <xf numFmtId="0" fontId="2" fillId="3" borderId="0" xfId="0" applyFont="1" applyFill="1" applyAlignment="1">
      <alignment vertical="top" wrapText="1"/>
    </xf>
    <xf numFmtId="0" fontId="6" fillId="7" borderId="26" xfId="0" applyFont="1" applyFill="1" applyBorder="1" applyAlignment="1">
      <alignment horizontal="left" vertical="center" wrapText="1"/>
    </xf>
    <xf numFmtId="0" fontId="0" fillId="0" borderId="26" xfId="0" applyBorder="1" applyAlignment="1">
      <alignment vertical="center" wrapText="1"/>
    </xf>
    <xf numFmtId="2" fontId="8" fillId="6" borderId="4" xfId="0" applyNumberFormat="1" applyFont="1" applyFill="1" applyBorder="1" applyAlignment="1">
      <alignment horizontal="center" vertical="center" wrapText="1"/>
    </xf>
    <xf numFmtId="2" fontId="8" fillId="6" borderId="11" xfId="0" applyNumberFormat="1" applyFont="1" applyFill="1" applyBorder="1" applyAlignment="1">
      <alignment horizontal="center" vertical="center" wrapText="1"/>
    </xf>
    <xf numFmtId="2" fontId="8" fillId="6" borderId="5" xfId="0" applyNumberFormat="1" applyFont="1" applyFill="1" applyBorder="1" applyAlignment="1">
      <alignment horizontal="center" vertical="center" wrapText="1"/>
    </xf>
    <xf numFmtId="2" fontId="8" fillId="6" borderId="6" xfId="0" applyNumberFormat="1" applyFont="1" applyFill="1" applyBorder="1" applyAlignment="1">
      <alignment horizontal="center" vertical="center" wrapText="1"/>
    </xf>
    <xf numFmtId="2" fontId="8" fillId="6" borderId="0" xfId="0" applyNumberFormat="1" applyFont="1" applyFill="1" applyAlignment="1">
      <alignment horizontal="center" vertical="center" wrapText="1"/>
    </xf>
    <xf numFmtId="2" fontId="8" fillId="6" borderId="7" xfId="0" applyNumberFormat="1" applyFont="1" applyFill="1" applyBorder="1" applyAlignment="1">
      <alignment horizontal="center" vertical="center" wrapText="1"/>
    </xf>
    <xf numFmtId="2" fontId="8" fillId="6" borderId="8" xfId="0" applyNumberFormat="1" applyFont="1" applyFill="1" applyBorder="1" applyAlignment="1">
      <alignment horizontal="center" vertical="center" wrapText="1"/>
    </xf>
    <xf numFmtId="2" fontId="8" fillId="6" borderId="12" xfId="0" applyNumberFormat="1" applyFont="1" applyFill="1" applyBorder="1" applyAlignment="1">
      <alignment horizontal="center" vertical="center" wrapText="1"/>
    </xf>
    <xf numFmtId="2" fontId="8" fillId="6" borderId="9" xfId="0" applyNumberFormat="1"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0" xfId="0" applyFont="1" applyFill="1" applyAlignment="1">
      <alignment horizontal="center" vertical="center" wrapText="1"/>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9" xfId="0" applyFont="1" applyFill="1" applyBorder="1" applyAlignment="1">
      <alignment horizontal="center" vertical="center" wrapText="1"/>
    </xf>
    <xf numFmtId="9" fontId="8" fillId="6" borderId="4" xfId="0" applyNumberFormat="1" applyFont="1" applyFill="1" applyBorder="1" applyAlignment="1">
      <alignment horizontal="center" vertical="center" wrapText="1"/>
    </xf>
    <xf numFmtId="9" fontId="8" fillId="6" borderId="11" xfId="0" applyNumberFormat="1" applyFont="1" applyFill="1" applyBorder="1" applyAlignment="1">
      <alignment horizontal="center" vertical="center" wrapText="1"/>
    </xf>
    <xf numFmtId="9" fontId="8" fillId="6" borderId="5" xfId="0" applyNumberFormat="1" applyFont="1" applyFill="1" applyBorder="1" applyAlignment="1">
      <alignment horizontal="center" vertical="center" wrapText="1"/>
    </xf>
    <xf numFmtId="9" fontId="8" fillId="6" borderId="6" xfId="0" applyNumberFormat="1" applyFont="1" applyFill="1" applyBorder="1" applyAlignment="1">
      <alignment horizontal="center" vertical="center" wrapText="1"/>
    </xf>
    <xf numFmtId="9" fontId="8" fillId="6" borderId="0" xfId="0" applyNumberFormat="1" applyFont="1" applyFill="1" applyAlignment="1">
      <alignment horizontal="center" vertical="center" wrapText="1"/>
    </xf>
    <xf numFmtId="9" fontId="8" fillId="6" borderId="7" xfId="0" applyNumberFormat="1" applyFont="1" applyFill="1" applyBorder="1" applyAlignment="1">
      <alignment horizontal="center" vertical="center" wrapText="1"/>
    </xf>
    <xf numFmtId="9" fontId="8" fillId="6" borderId="8" xfId="0" applyNumberFormat="1" applyFont="1" applyFill="1" applyBorder="1" applyAlignment="1">
      <alignment horizontal="center" vertical="center" wrapText="1"/>
    </xf>
    <xf numFmtId="9" fontId="8" fillId="6" borderId="12" xfId="0" applyNumberFormat="1" applyFont="1" applyFill="1" applyBorder="1" applyAlignment="1">
      <alignment horizontal="center" vertical="center" wrapText="1"/>
    </xf>
    <xf numFmtId="9" fontId="8" fillId="6" borderId="9" xfId="0" applyNumberFormat="1" applyFont="1" applyFill="1" applyBorder="1" applyAlignment="1">
      <alignment horizontal="center" vertical="center" wrapText="1"/>
    </xf>
    <xf numFmtId="0" fontId="27" fillId="17" borderId="27" xfId="0" applyFont="1" applyFill="1" applyBorder="1" applyAlignment="1">
      <alignment vertical="center" wrapText="1"/>
    </xf>
    <xf numFmtId="0" fontId="28" fillId="18" borderId="27" xfId="0" applyFont="1" applyFill="1" applyBorder="1" applyAlignment="1">
      <alignment horizontal="center" vertical="center" wrapText="1"/>
    </xf>
    <xf numFmtId="0" fontId="10" fillId="18" borderId="27" xfId="0" applyFont="1" applyFill="1" applyBorder="1" applyAlignment="1">
      <alignment horizontal="center" vertical="center" wrapText="1"/>
    </xf>
  </cellXfs>
  <cellStyles count="2">
    <cellStyle name="Hyperlink" xfId="1" xr:uid="{00000000-0005-0000-0000-000000000000}"/>
    <cellStyle name="Normal" xfId="0" builtinId="0"/>
  </cellStyles>
  <dxfs count="4">
    <dxf>
      <font>
        <b/>
      </font>
      <fill>
        <patternFill>
          <bgColor rgb="FFF4CCCC"/>
        </patternFill>
      </fill>
    </dxf>
    <dxf>
      <fill>
        <patternFill>
          <bgColor rgb="FFE2F0D9"/>
        </patternFill>
      </fill>
    </dxf>
    <dxf>
      <fill>
        <patternFill>
          <bgColor rgb="FFFCE4D6"/>
        </patternFill>
      </fill>
    </dxf>
    <dxf>
      <font>
        <b/>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AU"/>
              <a:t>Average Development Level by Pillar vs Target</a:t>
            </a:r>
          </a:p>
        </c:rich>
      </c:tx>
      <c:overlay val="1"/>
    </c:title>
    <c:autoTitleDeleted val="0"/>
    <c:plotArea>
      <c:layout/>
      <c:barChart>
        <c:barDir val="col"/>
        <c:grouping val="clustered"/>
        <c:varyColors val="0"/>
        <c:ser>
          <c:idx val="0"/>
          <c:order val="0"/>
          <c:tx>
            <c:v>Average Level</c:v>
          </c:tx>
          <c:invertIfNegative val="1"/>
          <c:cat>
            <c:strRef>
              <c:f>Dashboard!$M$12:$M$19</c:f>
              <c:strCache>
                <c:ptCount val="8"/>
                <c:pt idx="0">
                  <c:v>Governance</c:v>
                </c:pt>
                <c:pt idx="1">
                  <c:v>Management</c:v>
                </c:pt>
                <c:pt idx="2">
                  <c:v>Physical Resources</c:v>
                </c:pt>
                <c:pt idx="3">
                  <c:v>Human Resources</c:v>
                </c:pt>
                <c:pt idx="4">
                  <c:v>Financial Management &amp; Controls</c:v>
                </c:pt>
                <c:pt idx="5">
                  <c:v>Communications &amp; Marketing</c:v>
                </c:pt>
                <c:pt idx="6">
                  <c:v>Sport Activity</c:v>
                </c:pt>
                <c:pt idx="7">
                  <c:v>Values</c:v>
                </c:pt>
              </c:strCache>
            </c:strRef>
          </c:cat>
          <c:val>
            <c:numRef>
              <c:f>Dashboard!$N$12:$N$19</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F3D-4075-92C9-F77B9594AC6E}"/>
            </c:ext>
          </c:extLst>
        </c:ser>
        <c:ser>
          <c:idx val="1"/>
          <c:order val="1"/>
          <c:tx>
            <c:v>Target</c:v>
          </c:tx>
          <c:invertIfNegative val="1"/>
          <c:cat>
            <c:strRef>
              <c:f>Dashboard!$M$12:$M$19</c:f>
              <c:strCache>
                <c:ptCount val="8"/>
                <c:pt idx="0">
                  <c:v>Governance</c:v>
                </c:pt>
                <c:pt idx="1">
                  <c:v>Management</c:v>
                </c:pt>
                <c:pt idx="2">
                  <c:v>Physical Resources</c:v>
                </c:pt>
                <c:pt idx="3">
                  <c:v>Human Resources</c:v>
                </c:pt>
                <c:pt idx="4">
                  <c:v>Financial Management &amp; Controls</c:v>
                </c:pt>
                <c:pt idx="5">
                  <c:v>Communications &amp; Marketing</c:v>
                </c:pt>
                <c:pt idx="6">
                  <c:v>Sport Activity</c:v>
                </c:pt>
                <c:pt idx="7">
                  <c:v>Values</c:v>
                </c:pt>
              </c:strCache>
            </c:strRef>
          </c:cat>
          <c:val>
            <c:numRef>
              <c:f>Dashboard!$O$12:$O$19</c:f>
              <c:numCache>
                <c:formatCode>General</c:formatCode>
                <c:ptCount val="8"/>
                <c:pt idx="0">
                  <c:v>3</c:v>
                </c:pt>
                <c:pt idx="1">
                  <c:v>3</c:v>
                </c:pt>
                <c:pt idx="2">
                  <c:v>3</c:v>
                </c:pt>
                <c:pt idx="3">
                  <c:v>3</c:v>
                </c:pt>
                <c:pt idx="4">
                  <c:v>3</c:v>
                </c:pt>
                <c:pt idx="5">
                  <c:v>3</c:v>
                </c:pt>
                <c:pt idx="6">
                  <c:v>3</c:v>
                </c:pt>
                <c:pt idx="7">
                  <c:v>3</c:v>
                </c:pt>
              </c:numCache>
            </c:numRef>
          </c:val>
          <c:extLst>
            <c:ext xmlns:c16="http://schemas.microsoft.com/office/drawing/2014/chart" uri="{C3380CC4-5D6E-409C-BE32-E72D297353CC}">
              <c16:uniqueId val="{00000001-7F3D-4075-92C9-F77B9594AC6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0</xdr:rowOff>
    </xdr:from>
    <xdr:to>
      <xdr:col>12</xdr:col>
      <xdr:colOff>0</xdr:colOff>
      <xdr:row>46</xdr:row>
      <xdr:rowOff>0</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1drv.ms/b/c/2e654ef7bbbcd4d0/IQCFNePpqOkqSK8_4Up1Yxu1AV2fnVGP_irROVbrTevMA48?e=p57q1X" TargetMode="External"/><Relationship Id="rId1" Type="http://schemas.openxmlformats.org/officeDocument/2006/relationships/hyperlink" Target="https://sportforlife.ca/key-factors/"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opLeftCell="A38" workbookViewId="0">
      <selection sqref="A1:H1"/>
    </sheetView>
  </sheetViews>
  <sheetFormatPr defaultRowHeight="14.25"/>
  <cols>
    <col min="1" max="1" width="29.25" customWidth="1"/>
    <col min="2" max="2" width="18" customWidth="1"/>
    <col min="3" max="3" width="24" customWidth="1"/>
    <col min="4" max="4" width="18" customWidth="1"/>
    <col min="5" max="5" width="24" customWidth="1"/>
    <col min="6" max="6" width="18" customWidth="1"/>
    <col min="7" max="7" width="24" customWidth="1"/>
    <col min="8" max="8" width="18" customWidth="1"/>
  </cols>
  <sheetData>
    <row r="1" spans="1:8" ht="20.25">
      <c r="A1" s="123" t="s">
        <v>0</v>
      </c>
      <c r="B1" s="123"/>
      <c r="C1" s="123"/>
      <c r="D1" s="123"/>
      <c r="E1" s="123"/>
      <c r="F1" s="123"/>
      <c r="G1" s="123"/>
      <c r="H1" s="123"/>
    </row>
    <row r="2" spans="1:8">
      <c r="A2" s="124" t="s">
        <v>1</v>
      </c>
      <c r="B2" s="125"/>
      <c r="C2" s="125"/>
      <c r="D2" s="125"/>
      <c r="E2" s="125"/>
      <c r="F2" s="125"/>
      <c r="G2" s="125"/>
      <c r="H2" s="126"/>
    </row>
    <row r="4" spans="1:8" ht="15">
      <c r="A4" s="127" t="s">
        <v>2</v>
      </c>
      <c r="B4" s="128"/>
      <c r="C4" s="127" t="s">
        <v>3</v>
      </c>
      <c r="D4" s="128"/>
      <c r="E4" s="127" t="s">
        <v>4</v>
      </c>
      <c r="F4" s="128"/>
      <c r="G4" s="127" t="s">
        <v>5</v>
      </c>
      <c r="H4" s="128"/>
    </row>
    <row r="5" spans="1:8">
      <c r="A5" s="129" t="s">
        <v>6</v>
      </c>
      <c r="B5" s="130"/>
      <c r="C5" s="129" t="s">
        <v>7</v>
      </c>
      <c r="D5" s="130"/>
      <c r="E5" s="129" t="s">
        <v>8</v>
      </c>
      <c r="F5" s="130"/>
      <c r="G5" s="129" t="s">
        <v>321</v>
      </c>
      <c r="H5" s="130"/>
    </row>
    <row r="6" spans="1:8">
      <c r="A6" s="129"/>
      <c r="B6" s="130"/>
      <c r="C6" s="129"/>
      <c r="D6" s="130"/>
      <c r="E6" s="129"/>
      <c r="F6" s="130"/>
      <c r="G6" s="129"/>
      <c r="H6" s="130"/>
    </row>
    <row r="7" spans="1:8">
      <c r="A7" s="131" t="s">
        <v>9</v>
      </c>
      <c r="B7" s="132"/>
      <c r="C7" s="133" t="s">
        <v>10</v>
      </c>
      <c r="D7" s="134"/>
      <c r="E7" s="135"/>
      <c r="F7" s="134"/>
      <c r="G7" s="136"/>
      <c r="H7" s="130"/>
    </row>
    <row r="8" spans="1:8" ht="15.75">
      <c r="A8" s="81" t="s">
        <v>11</v>
      </c>
      <c r="B8" s="82">
        <v>3</v>
      </c>
      <c r="C8" s="137" t="str">
        <f>IF(B8=1,"Limited / inconsistent",IF(B8=2,"Partly in place / basic",IF(B8=3,"Effective and sustainable","Optimised and improving")))</f>
        <v>Effective and sustainable</v>
      </c>
      <c r="D8" s="138"/>
      <c r="E8" s="138"/>
      <c r="F8" s="138"/>
      <c r="G8" s="139"/>
    </row>
    <row r="10" spans="1:8" ht="15.75">
      <c r="A10" s="122" t="s">
        <v>12</v>
      </c>
      <c r="B10" s="122"/>
      <c r="C10" s="122"/>
      <c r="D10" s="122"/>
      <c r="E10" s="122"/>
      <c r="F10" s="122"/>
      <c r="G10" s="122"/>
      <c r="H10" s="122"/>
    </row>
    <row r="12" spans="1:8" s="35" customFormat="1" ht="20.25" customHeight="1">
      <c r="A12" s="34" t="s">
        <v>13</v>
      </c>
      <c r="B12" s="36" t="s">
        <v>14</v>
      </c>
      <c r="C12" s="37"/>
      <c r="D12" s="37"/>
      <c r="E12" s="37"/>
      <c r="F12" s="37"/>
      <c r="G12" s="37"/>
      <c r="H12" s="38"/>
    </row>
    <row r="13" spans="1:8" s="35" customFormat="1" ht="20.25" customHeight="1">
      <c r="A13" s="34" t="s">
        <v>15</v>
      </c>
      <c r="B13" s="36" t="s">
        <v>16</v>
      </c>
      <c r="C13" s="37"/>
      <c r="D13" s="37"/>
      <c r="E13" s="37"/>
      <c r="F13" s="37"/>
      <c r="G13" s="37"/>
      <c r="H13" s="38"/>
    </row>
    <row r="14" spans="1:8" s="35" customFormat="1" ht="29.25" customHeight="1">
      <c r="A14" s="34" t="s">
        <v>17</v>
      </c>
      <c r="B14" s="36" t="s">
        <v>18</v>
      </c>
      <c r="C14" s="37"/>
      <c r="D14" s="37"/>
      <c r="E14" s="37"/>
      <c r="F14" s="37"/>
      <c r="G14" s="37"/>
      <c r="H14" s="38"/>
    </row>
    <row r="15" spans="1:8" s="35" customFormat="1" ht="20.25" customHeight="1">
      <c r="A15" s="34" t="s">
        <v>19</v>
      </c>
      <c r="B15" s="36" t="s">
        <v>20</v>
      </c>
      <c r="C15" s="37"/>
      <c r="D15" s="37"/>
      <c r="E15" s="37"/>
      <c r="F15" s="37"/>
      <c r="G15" s="37"/>
      <c r="H15" s="38"/>
    </row>
    <row r="16" spans="1:8" s="35" customFormat="1" ht="20.25" customHeight="1">
      <c r="A16" s="34" t="s">
        <v>21</v>
      </c>
      <c r="B16" s="36" t="s">
        <v>22</v>
      </c>
      <c r="C16" s="37"/>
      <c r="D16" s="37"/>
      <c r="E16" s="37"/>
      <c r="F16" s="37"/>
      <c r="G16" s="37"/>
      <c r="H16" s="38"/>
    </row>
    <row r="19" spans="1:8" ht="15.75">
      <c r="A19" s="122" t="s">
        <v>23</v>
      </c>
      <c r="B19" s="122"/>
      <c r="C19" s="122"/>
      <c r="D19" s="122"/>
      <c r="E19" s="122"/>
      <c r="F19" s="122"/>
      <c r="G19" s="122"/>
      <c r="H19" s="122"/>
    </row>
    <row r="21" spans="1:8">
      <c r="A21" s="143" t="s">
        <v>24</v>
      </c>
      <c r="B21" s="144"/>
      <c r="C21" s="144"/>
      <c r="D21" s="144"/>
      <c r="E21" s="144"/>
      <c r="F21" s="144"/>
      <c r="G21" s="144"/>
      <c r="H21" s="145"/>
    </row>
    <row r="22" spans="1:8">
      <c r="A22" s="146"/>
      <c r="B22" s="147"/>
      <c r="C22" s="147"/>
      <c r="D22" s="147"/>
      <c r="E22" s="147"/>
      <c r="F22" s="147"/>
      <c r="G22" s="147"/>
      <c r="H22" s="148"/>
    </row>
    <row r="23" spans="1:8">
      <c r="A23" s="146"/>
      <c r="B23" s="147"/>
      <c r="C23" s="147"/>
      <c r="D23" s="147"/>
      <c r="E23" s="147"/>
      <c r="F23" s="147"/>
      <c r="G23" s="147"/>
      <c r="H23" s="148"/>
    </row>
    <row r="24" spans="1:8">
      <c r="A24" s="149"/>
      <c r="B24" s="150"/>
      <c r="C24" s="150"/>
      <c r="D24" s="150"/>
      <c r="E24" s="150"/>
      <c r="F24" s="150"/>
      <c r="G24" s="150"/>
      <c r="H24" s="151"/>
    </row>
    <row r="27" spans="1:8" ht="15.75">
      <c r="A27" s="122" t="s">
        <v>322</v>
      </c>
      <c r="B27" s="122"/>
      <c r="C27" s="122"/>
      <c r="D27" s="122"/>
      <c r="E27" s="122"/>
      <c r="F27" s="122"/>
      <c r="G27" s="122"/>
      <c r="H27" s="122"/>
    </row>
    <row r="29" spans="1:8">
      <c r="A29" s="143" t="s">
        <v>323</v>
      </c>
      <c r="B29" s="144"/>
      <c r="C29" s="144"/>
      <c r="D29" s="144"/>
      <c r="E29" s="144"/>
      <c r="F29" s="144"/>
      <c r="G29" s="144"/>
      <c r="H29" s="145"/>
    </row>
    <row r="30" spans="1:8">
      <c r="A30" s="146"/>
      <c r="B30" s="147"/>
      <c r="C30" s="147"/>
      <c r="D30" s="147"/>
      <c r="E30" s="147"/>
      <c r="F30" s="147"/>
      <c r="G30" s="147"/>
      <c r="H30" s="148"/>
    </row>
    <row r="31" spans="1:8">
      <c r="A31" s="149"/>
      <c r="B31" s="150"/>
      <c r="C31" s="150"/>
      <c r="D31" s="150"/>
      <c r="E31" s="150"/>
      <c r="F31" s="150"/>
      <c r="G31" s="150"/>
      <c r="H31" s="151"/>
    </row>
    <row r="33" spans="1:6" ht="15">
      <c r="A33" s="142" t="s">
        <v>25</v>
      </c>
      <c r="B33" s="142"/>
      <c r="C33" s="142"/>
      <c r="D33" s="142"/>
      <c r="E33" s="142"/>
      <c r="F33" s="142"/>
    </row>
    <row r="34" spans="1:6" ht="44.25" customHeight="1">
      <c r="A34" s="65" t="s">
        <v>26</v>
      </c>
      <c r="B34" s="140" t="s">
        <v>27</v>
      </c>
      <c r="C34" s="141"/>
      <c r="D34" s="141"/>
      <c r="E34" s="141"/>
      <c r="F34" s="66"/>
    </row>
    <row r="35" spans="1:6" ht="44.25" customHeight="1">
      <c r="A35" s="65" t="s">
        <v>28</v>
      </c>
      <c r="B35" s="152" t="s">
        <v>29</v>
      </c>
      <c r="C35" s="140"/>
      <c r="D35" s="141"/>
      <c r="E35" s="141"/>
      <c r="F35" s="66"/>
    </row>
    <row r="36" spans="1:6" ht="44.25" customHeight="1">
      <c r="A36" s="65" t="s">
        <v>30</v>
      </c>
      <c r="B36" s="67" t="s">
        <v>31</v>
      </c>
      <c r="C36" s="68" t="s">
        <v>32</v>
      </c>
      <c r="D36" s="66"/>
      <c r="E36" s="66"/>
      <c r="F36" s="66"/>
    </row>
    <row r="37" spans="1:6" ht="44.25" customHeight="1">
      <c r="A37" s="65" t="s">
        <v>33</v>
      </c>
      <c r="B37" s="152" t="s">
        <v>34</v>
      </c>
      <c r="C37" s="140"/>
      <c r="D37" s="141"/>
      <c r="E37" s="141"/>
      <c r="F37" s="66"/>
    </row>
    <row r="38" spans="1:6" ht="44.25" customHeight="1">
      <c r="A38" s="65" t="s">
        <v>35</v>
      </c>
      <c r="B38" s="68" t="s">
        <v>36</v>
      </c>
      <c r="C38" s="69" t="s">
        <v>37</v>
      </c>
      <c r="D38" s="66"/>
      <c r="E38" s="66"/>
      <c r="F38" s="66"/>
    </row>
    <row r="39" spans="1:6" ht="44.25" customHeight="1">
      <c r="A39" s="65" t="s">
        <v>38</v>
      </c>
      <c r="B39" s="152" t="s">
        <v>39</v>
      </c>
      <c r="C39" s="153"/>
      <c r="D39" s="141"/>
      <c r="E39" s="141"/>
      <c r="F39" s="66"/>
    </row>
    <row r="40" spans="1:6" ht="44.25" customHeight="1">
      <c r="A40" s="70" t="s">
        <v>40</v>
      </c>
      <c r="B40" s="140" t="s">
        <v>41</v>
      </c>
      <c r="C40" s="140"/>
      <c r="D40" s="141"/>
      <c r="E40" s="141"/>
      <c r="F40" s="66"/>
    </row>
    <row r="41" spans="1:6" ht="44.25" customHeight="1">
      <c r="A41" s="71" t="s">
        <v>42</v>
      </c>
      <c r="B41" s="140" t="s">
        <v>43</v>
      </c>
      <c r="C41" s="141"/>
      <c r="D41" s="141"/>
      <c r="E41" s="141"/>
      <c r="F41" s="66"/>
    </row>
    <row r="42" spans="1:6" ht="44.25" customHeight="1">
      <c r="A42" s="71" t="s">
        <v>42</v>
      </c>
      <c r="B42" s="140" t="s">
        <v>44</v>
      </c>
      <c r="C42" s="141"/>
      <c r="D42" s="141"/>
      <c r="E42" s="141"/>
      <c r="F42" s="66"/>
    </row>
    <row r="43" spans="1:6" ht="44.25" customHeight="1">
      <c r="A43" s="71" t="s">
        <v>42</v>
      </c>
      <c r="B43" s="72" t="s">
        <v>45</v>
      </c>
      <c r="C43" s="68"/>
      <c r="D43" s="66"/>
      <c r="E43" s="66"/>
      <c r="F43" s="66"/>
    </row>
  </sheetData>
  <mergeCells count="24">
    <mergeCell ref="B41:E41"/>
    <mergeCell ref="B42:E42"/>
    <mergeCell ref="A33:F33"/>
    <mergeCell ref="A19:H19"/>
    <mergeCell ref="A21:H24"/>
    <mergeCell ref="A27:H27"/>
    <mergeCell ref="A29:H31"/>
    <mergeCell ref="B34:E34"/>
    <mergeCell ref="B35:E35"/>
    <mergeCell ref="B37:E37"/>
    <mergeCell ref="B39:E39"/>
    <mergeCell ref="B40:E40"/>
    <mergeCell ref="A10:H10"/>
    <mergeCell ref="A1:H1"/>
    <mergeCell ref="A2:H2"/>
    <mergeCell ref="A4:B4"/>
    <mergeCell ref="A5:B7"/>
    <mergeCell ref="C4:D4"/>
    <mergeCell ref="C5:D7"/>
    <mergeCell ref="E4:F4"/>
    <mergeCell ref="E5:F7"/>
    <mergeCell ref="G4:H4"/>
    <mergeCell ref="G5:H7"/>
    <mergeCell ref="C8:G8"/>
  </mergeCells>
  <dataValidations count="1">
    <dataValidation type="list" sqref="B8" xr:uid="{00000000-0002-0000-0000-000000000000}">
      <formula1>"1,2,3,4"</formula1>
    </dataValidation>
  </dataValidations>
  <hyperlinks>
    <hyperlink ref="C38" r:id="rId1" xr:uid="{00000000-0004-0000-0000-000000000000}"/>
    <hyperlink ref="B43"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2"/>
  <sheetViews>
    <sheetView workbookViewId="0">
      <selection activeCell="B5" sqref="B5"/>
    </sheetView>
  </sheetViews>
  <sheetFormatPr defaultRowHeight="14.25"/>
  <cols>
    <col min="1" max="1" width="38.875" customWidth="1"/>
    <col min="2" max="2" width="48" customWidth="1"/>
    <col min="3" max="3" width="15" style="40" customWidth="1"/>
    <col min="4" max="4" width="50" customWidth="1"/>
    <col min="5" max="5" width="62" customWidth="1"/>
    <col min="6" max="6" width="12" style="40" customWidth="1"/>
    <col min="24" max="24" width="2" customWidth="1"/>
  </cols>
  <sheetData>
    <row r="1" spans="1:24" ht="20.25">
      <c r="A1" s="123" t="s">
        <v>46</v>
      </c>
      <c r="B1" s="123"/>
      <c r="C1" s="123"/>
      <c r="D1" s="123"/>
      <c r="E1" s="123"/>
      <c r="F1" s="123"/>
    </row>
    <row r="2" spans="1:24" ht="36" customHeight="1">
      <c r="A2" s="154" t="s">
        <v>47</v>
      </c>
      <c r="B2" s="154"/>
      <c r="C2" s="154"/>
      <c r="D2" s="154"/>
      <c r="E2" s="154"/>
      <c r="F2" s="154"/>
    </row>
    <row r="4" spans="1:24" s="48" customFormat="1" ht="41.25" customHeight="1">
      <c r="A4" s="45" t="s">
        <v>48</v>
      </c>
      <c r="B4" s="46" t="s">
        <v>49</v>
      </c>
      <c r="C4" s="46" t="s">
        <v>50</v>
      </c>
      <c r="D4" s="46" t="s">
        <v>51</v>
      </c>
      <c r="E4" s="46" t="s">
        <v>52</v>
      </c>
      <c r="F4" s="44" t="s">
        <v>53</v>
      </c>
      <c r="X4" t="s">
        <v>54</v>
      </c>
    </row>
    <row r="5" spans="1:24" ht="111.95" customHeight="1">
      <c r="A5" s="39" t="s">
        <v>55</v>
      </c>
      <c r="B5" s="41"/>
      <c r="C5" s="43"/>
      <c r="D5" s="42"/>
      <c r="E5" s="42"/>
      <c r="F5" s="49" t="str">
        <f t="shared" ref="F5:F16" si="0">IF(C5="","",IF(C5="Severe",4,IF(C5="High",3,IF(C5="Moderate",2,IF(C5="Low",1,0)))))</f>
        <v/>
      </c>
      <c r="X5" t="s">
        <v>56</v>
      </c>
    </row>
    <row r="6" spans="1:24" ht="111.95" customHeight="1">
      <c r="A6" s="39" t="s">
        <v>57</v>
      </c>
      <c r="B6" s="41"/>
      <c r="C6" s="43"/>
      <c r="D6" s="42"/>
      <c r="E6" s="42"/>
      <c r="F6" s="49" t="str">
        <f t="shared" si="0"/>
        <v/>
      </c>
      <c r="X6" t="s">
        <v>58</v>
      </c>
    </row>
    <row r="7" spans="1:24" ht="111.95" customHeight="1">
      <c r="A7" s="39" t="s">
        <v>59</v>
      </c>
      <c r="B7" s="41"/>
      <c r="C7" s="43"/>
      <c r="D7" s="42"/>
      <c r="E7" s="42"/>
      <c r="F7" s="49" t="str">
        <f t="shared" si="0"/>
        <v/>
      </c>
      <c r="X7" t="s">
        <v>60</v>
      </c>
    </row>
    <row r="8" spans="1:24" ht="111.95" customHeight="1">
      <c r="A8" s="39" t="s">
        <v>61</v>
      </c>
      <c r="B8" s="41"/>
      <c r="C8" s="43"/>
      <c r="D8" s="42"/>
      <c r="E8" s="42"/>
      <c r="F8" s="49" t="str">
        <f t="shared" si="0"/>
        <v/>
      </c>
      <c r="X8" t="s">
        <v>62</v>
      </c>
    </row>
    <row r="9" spans="1:24" ht="111.95" customHeight="1">
      <c r="A9" s="39" t="s">
        <v>63</v>
      </c>
      <c r="B9" s="41"/>
      <c r="C9" s="43"/>
      <c r="D9" s="42"/>
      <c r="E9" s="42"/>
      <c r="F9" s="49" t="str">
        <f t="shared" si="0"/>
        <v/>
      </c>
    </row>
    <row r="10" spans="1:24" ht="111.95" customHeight="1">
      <c r="A10" s="39" t="s">
        <v>64</v>
      </c>
      <c r="B10" s="41"/>
      <c r="C10" s="43"/>
      <c r="D10" s="42"/>
      <c r="E10" s="42"/>
      <c r="F10" s="49" t="str">
        <f t="shared" si="0"/>
        <v/>
      </c>
    </row>
    <row r="11" spans="1:24" ht="111.95" customHeight="1">
      <c r="A11" s="39" t="s">
        <v>65</v>
      </c>
      <c r="B11" s="41"/>
      <c r="C11" s="43"/>
      <c r="D11" s="42"/>
      <c r="E11" s="42"/>
      <c r="F11" s="49" t="str">
        <f t="shared" si="0"/>
        <v/>
      </c>
    </row>
    <row r="12" spans="1:24" ht="111.95" customHeight="1">
      <c r="A12" s="39" t="s">
        <v>66</v>
      </c>
      <c r="B12" s="41"/>
      <c r="C12" s="43"/>
      <c r="D12" s="42"/>
      <c r="E12" s="42"/>
      <c r="F12" s="49" t="str">
        <f t="shared" si="0"/>
        <v/>
      </c>
    </row>
    <row r="13" spans="1:24" ht="111.95" customHeight="1">
      <c r="A13" s="39" t="s">
        <v>67</v>
      </c>
      <c r="B13" s="41"/>
      <c r="C13" s="43"/>
      <c r="D13" s="42"/>
      <c r="E13" s="42"/>
      <c r="F13" s="49" t="str">
        <f t="shared" si="0"/>
        <v/>
      </c>
    </row>
    <row r="14" spans="1:24" ht="111.95" customHeight="1">
      <c r="A14" s="39" t="s">
        <v>68</v>
      </c>
      <c r="B14" s="41"/>
      <c r="C14" s="43"/>
      <c r="D14" s="42"/>
      <c r="E14" s="42"/>
      <c r="F14" s="49" t="str">
        <f t="shared" si="0"/>
        <v/>
      </c>
    </row>
    <row r="15" spans="1:24" ht="111.95" customHeight="1">
      <c r="A15" s="39" t="s">
        <v>69</v>
      </c>
      <c r="B15" s="41"/>
      <c r="C15" s="43"/>
      <c r="D15" s="42"/>
      <c r="E15" s="42"/>
      <c r="F15" s="49" t="str">
        <f t="shared" si="0"/>
        <v/>
      </c>
    </row>
    <row r="16" spans="1:24" ht="111.95" customHeight="1">
      <c r="A16" s="39" t="s">
        <v>70</v>
      </c>
      <c r="B16" s="41"/>
      <c r="C16" s="43"/>
      <c r="D16" s="42"/>
      <c r="E16" s="42"/>
      <c r="F16" s="49" t="str">
        <f t="shared" si="0"/>
        <v/>
      </c>
    </row>
    <row r="19" spans="1:6" ht="15.75">
      <c r="A19" s="122" t="s">
        <v>71</v>
      </c>
      <c r="B19" s="122"/>
      <c r="C19" s="122"/>
      <c r="D19" s="122"/>
      <c r="E19" s="122"/>
      <c r="F19" s="122"/>
    </row>
    <row r="21" spans="1:6">
      <c r="A21" s="84" t="s">
        <v>72</v>
      </c>
      <c r="B21" s="84" t="s">
        <v>73</v>
      </c>
      <c r="C21" s="84" t="s">
        <v>74</v>
      </c>
      <c r="D21" s="84" t="s">
        <v>75</v>
      </c>
    </row>
    <row r="22" spans="1:6" ht="54" customHeight="1">
      <c r="A22" s="85">
        <f>COUNTIF($C$5:$C$16,"&lt;&gt;")</f>
        <v>0</v>
      </c>
      <c r="B22" s="86" t="str">
        <f>IF(A22=0,"",AVERAGE($F$5:$F$16))</f>
        <v/>
      </c>
      <c r="C22" s="77" t="str">
        <f>IF(B22="","",IF(B22&gt;=3.2,"Highly constrained",IF(B22&gt;=2.4,"Constrained",IF(B22&gt;=1.6,"Mixed",IF(B22&gt;=0.8,"Relatively enabling","Enabling")))))</f>
        <v/>
      </c>
      <c r="D22" s="59" t="str">
        <f>IF(A22=0,"Complete the National Context ratings to generate a contextual reading.","Context explains the environment in which the sport system must operate; it does not excuse avoidable governance, coordination or management failure.")</f>
        <v>Complete the National Context ratings to generate a contextual reading.</v>
      </c>
    </row>
  </sheetData>
  <mergeCells count="3">
    <mergeCell ref="A1:F1"/>
    <mergeCell ref="A2:F2"/>
    <mergeCell ref="A19:F19"/>
  </mergeCells>
  <conditionalFormatting sqref="C5:C16">
    <cfRule type="expression" dxfId="3" priority="1">
      <formula>C5="Severe"</formula>
    </cfRule>
    <cfRule type="expression" dxfId="2" priority="2">
      <formula>C5="High"</formula>
    </cfRule>
    <cfRule type="expression" dxfId="1" priority="3">
      <formula>C5="Enabling"</formula>
    </cfRule>
  </conditionalFormatting>
  <dataValidations count="2">
    <dataValidation type="list" sqref="C5:C16" xr:uid="{00000000-0002-0000-0100-000000000000}">
      <formula1>"Severe,High,Moderate,Low,Enabling"</formula1>
    </dataValidation>
    <dataValidation type="list" sqref="C5:C16" xr:uid="{00000000-0002-0000-0100-000001000000}">
      <formula1>$X$4:$X$8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75"/>
  <sheetViews>
    <sheetView tabSelected="1" workbookViewId="0">
      <selection activeCell="C6" sqref="C6"/>
    </sheetView>
  </sheetViews>
  <sheetFormatPr defaultRowHeight="14.25"/>
  <cols>
    <col min="1" max="1" width="12" customWidth="1"/>
    <col min="2" max="2" width="43.375" customWidth="1"/>
    <col min="3" max="3" width="30" customWidth="1"/>
    <col min="4" max="4" width="9" style="40" customWidth="1"/>
    <col min="5" max="5" width="16.25" customWidth="1"/>
    <col min="6" max="6" width="62" customWidth="1"/>
    <col min="7" max="7" width="48" customWidth="1"/>
    <col min="8" max="8" width="60" customWidth="1"/>
    <col min="9" max="9" width="12.375" customWidth="1"/>
    <col min="10" max="10" width="32.25" customWidth="1"/>
    <col min="11" max="11" width="30" customWidth="1"/>
    <col min="12" max="12" width="9.5" customWidth="1"/>
    <col min="13" max="13" width="16" customWidth="1"/>
    <col min="24" max="26" width="2" customWidth="1"/>
  </cols>
  <sheetData>
    <row r="1" spans="1:26" ht="20.25">
      <c r="A1" s="123" t="s">
        <v>76</v>
      </c>
      <c r="B1" s="123"/>
      <c r="C1" s="123"/>
      <c r="D1" s="123"/>
      <c r="E1" s="123"/>
      <c r="F1" s="123"/>
      <c r="G1" s="123"/>
      <c r="H1" s="123"/>
      <c r="I1" s="123"/>
    </row>
    <row r="2" spans="1:26">
      <c r="A2" s="124" t="s">
        <v>324</v>
      </c>
      <c r="B2" s="125"/>
      <c r="C2" s="125"/>
      <c r="D2" s="125"/>
      <c r="E2" s="125"/>
      <c r="F2" s="125"/>
      <c r="G2" s="125"/>
      <c r="H2" s="125"/>
      <c r="I2" s="126"/>
    </row>
    <row r="3" spans="1:26" ht="42" customHeight="1">
      <c r="A3" s="113" t="s">
        <v>325</v>
      </c>
      <c r="B3" s="113"/>
      <c r="C3" s="113"/>
      <c r="D3" s="113"/>
      <c r="E3" s="113"/>
      <c r="F3" s="113"/>
      <c r="G3" s="113"/>
      <c r="H3" s="113"/>
      <c r="I3" s="113"/>
    </row>
    <row r="4" spans="1:26" s="48" customFormat="1" ht="40.5" customHeight="1">
      <c r="A4" s="45" t="s">
        <v>77</v>
      </c>
      <c r="B4" s="46" t="s">
        <v>78</v>
      </c>
      <c r="C4" s="46" t="s">
        <v>79</v>
      </c>
      <c r="D4" s="46" t="s">
        <v>80</v>
      </c>
      <c r="E4" s="46" t="s">
        <v>81</v>
      </c>
      <c r="F4" s="46" t="s">
        <v>82</v>
      </c>
      <c r="G4" s="46" t="s">
        <v>83</v>
      </c>
      <c r="H4" s="46" t="s">
        <v>84</v>
      </c>
      <c r="I4" s="76" t="s">
        <v>85</v>
      </c>
      <c r="J4" s="45" t="s">
        <v>86</v>
      </c>
      <c r="K4" s="46" t="s">
        <v>87</v>
      </c>
      <c r="L4" s="47" t="s">
        <v>88</v>
      </c>
      <c r="M4" s="114" t="s">
        <v>326</v>
      </c>
      <c r="X4" t="s">
        <v>13</v>
      </c>
      <c r="Y4" t="s">
        <v>56</v>
      </c>
      <c r="Z4" t="s">
        <v>327</v>
      </c>
    </row>
    <row r="5" spans="1:26" ht="15.75">
      <c r="A5" s="122" t="s">
        <v>89</v>
      </c>
      <c r="B5" s="122"/>
      <c r="C5" s="122"/>
      <c r="D5" s="122"/>
      <c r="E5" s="122"/>
      <c r="F5" s="122"/>
      <c r="G5" s="122"/>
      <c r="H5" s="122"/>
      <c r="I5" s="122"/>
      <c r="X5" t="s">
        <v>15</v>
      </c>
      <c r="Y5" t="s">
        <v>90</v>
      </c>
      <c r="Z5" t="s">
        <v>328</v>
      </c>
    </row>
    <row r="6" spans="1:26" ht="92.1" customHeight="1">
      <c r="A6" s="13" t="s">
        <v>91</v>
      </c>
      <c r="B6" s="15" t="s">
        <v>92</v>
      </c>
      <c r="C6" s="78"/>
      <c r="D6" s="79" t="str">
        <f t="shared" ref="D6:D11" si="0">IF(C6="","",VALUE(LEFT(C6,1)))</f>
        <v/>
      </c>
      <c r="E6" s="14" t="str">
        <f>IF(C6="","",IF(D6&gt;='Start Here'!$B$8,"Target achieved — Level "&amp;D6&amp;" meets or exceeds target Level "&amp;'Start Here'!$B$8&amp;".","Current Level "&amp;D6&amp;" → Target Level "&amp;'Start Here'!$B$8&amp;" ("&amp;('Start Here'!$B$8-D6)&amp;" level(s) to close)."))</f>
        <v/>
      </c>
      <c r="F6" s="15" t="str">
        <f>IF(C6="","",IF(D6&gt;='Start Here'!$B$8,"Target achieved. Sustain current practice and review periodically.",IF(AND(D6&lt;1,'Start Here'!$B$8&gt;=1),"LEVEL 1 — Put in place: "&amp;K6&amp;"."&amp;CHAR(10)&amp;CHAR(10),"")&amp;IF(AND(D6&lt;2,'Start Here'!$B$8&gt;=2),"LEVEL 2 — Formalise and coordinate the arrangement so it produces consistent benefit: "&amp;K6&amp;"."&amp;CHAR(10)&amp;CHAR(10),"")&amp;IF(AND(D6&lt;3,'Start Here'!$B$8&gt;=3),"LEVEL 3 — Ensure reliable coverage, quality and sustainability: "&amp;K6&amp;"."&amp;CHAR(10)&amp;CHAR(10),"")&amp;IF(AND(D6&lt;4,'Start Here'!$B$8&gt;=4),"LEVEL 4 — Measure, review and continuously improve: "&amp;K6&amp;".","")))</f>
        <v/>
      </c>
      <c r="G6" s="51"/>
      <c r="H6" s="51"/>
      <c r="I6" s="102"/>
      <c r="J6" s="13" t="s">
        <v>93</v>
      </c>
      <c r="K6" s="14" t="s">
        <v>94</v>
      </c>
      <c r="L6" s="15">
        <f>IF(C6="",0,IF(D6&gt;='Start Here'!$B$8,0,(('Start Here'!$B$8-D6)*100000)+IF(I6="High",3000,IF(I6="Medium",2000,IF(I6="Low",1000,0)))+(100-ROW())))</f>
        <v>0</v>
      </c>
      <c r="M6" s="115" t="s">
        <v>327</v>
      </c>
      <c r="X6" t="s">
        <v>17</v>
      </c>
      <c r="Y6" t="s">
        <v>60</v>
      </c>
      <c r="Z6" t="s">
        <v>329</v>
      </c>
    </row>
    <row r="7" spans="1:26" ht="92.1" customHeight="1">
      <c r="A7" s="13" t="s">
        <v>95</v>
      </c>
      <c r="B7" s="15" t="s">
        <v>96</v>
      </c>
      <c r="C7" s="78"/>
      <c r="D7" s="79" t="str">
        <f t="shared" si="0"/>
        <v/>
      </c>
      <c r="E7" s="14" t="str">
        <f>IF(C7="","",IF(D7&gt;='Start Here'!$B$8,"Target achieved — Level "&amp;D7&amp;" meets or exceeds target Level "&amp;'Start Here'!$B$8&amp;".","Current Level "&amp;D7&amp;" → Target Level "&amp;'Start Here'!$B$8&amp;" ("&amp;('Start Here'!$B$8-D7)&amp;" level(s) to close)."))</f>
        <v/>
      </c>
      <c r="F7" s="15" t="str">
        <f>IF(C7="","",IF(D7&gt;='Start Here'!$B$8,"Target achieved. Sustain current practice and review periodically.",IF(AND(D7&lt;1,'Start Here'!$B$8&gt;=1),"LEVEL 1 — Put in place: "&amp;K7&amp;"."&amp;CHAR(10)&amp;CHAR(10),"")&amp;IF(AND(D7&lt;2,'Start Here'!$B$8&gt;=2),"LEVEL 2 — Formalise and coordinate the arrangement so it produces consistent benefit: "&amp;K7&amp;"."&amp;CHAR(10)&amp;CHAR(10),"")&amp;IF(AND(D7&lt;3,'Start Here'!$B$8&gt;=3),"LEVEL 3 — Ensure reliable coverage, quality and sustainability: "&amp;K7&amp;"."&amp;CHAR(10)&amp;CHAR(10),"")&amp;IF(AND(D7&lt;4,'Start Here'!$B$8&gt;=4),"LEVEL 4 — Measure, review and continuously improve: "&amp;K7&amp;".","")))</f>
        <v/>
      </c>
      <c r="G7" s="51"/>
      <c r="H7" s="51"/>
      <c r="I7" s="102"/>
      <c r="J7" s="13" t="s">
        <v>97</v>
      </c>
      <c r="K7" s="14" t="s">
        <v>98</v>
      </c>
      <c r="L7" s="15">
        <f>IF(C7="",0,IF(D7&gt;='Start Here'!$B$8,0,(('Start Here'!$B$8-D7)*100000)+IF(I7="High",3000,IF(I7="Medium",2000,IF(I7="Low",1000,0)))+(100-ROW())))</f>
        <v>0</v>
      </c>
      <c r="M7" s="115" t="s">
        <v>327</v>
      </c>
      <c r="X7" t="s">
        <v>19</v>
      </c>
      <c r="Y7" t="s">
        <v>99</v>
      </c>
    </row>
    <row r="8" spans="1:26" ht="92.1" customHeight="1">
      <c r="A8" s="13" t="s">
        <v>100</v>
      </c>
      <c r="B8" s="15" t="s">
        <v>101</v>
      </c>
      <c r="C8" s="78"/>
      <c r="D8" s="79" t="str">
        <f t="shared" si="0"/>
        <v/>
      </c>
      <c r="E8" s="14" t="str">
        <f>IF(C8="","",IF(D8&gt;='Start Here'!$B$8,"Target achieved — Level "&amp;D8&amp;" meets or exceeds target Level "&amp;'Start Here'!$B$8&amp;".","Current Level "&amp;D8&amp;" → Target Level "&amp;'Start Here'!$B$8&amp;" ("&amp;('Start Here'!$B$8-D8)&amp;" level(s) to close)."))</f>
        <v/>
      </c>
      <c r="F8" s="15" t="str">
        <f>IF(C8="","",IF(D8&gt;='Start Here'!$B$8,"Target achieved. Sustain current practice and review periodically.",IF(AND(D8&lt;1,'Start Here'!$B$8&gt;=1),"LEVEL 1 — Put in place: "&amp;K8&amp;"."&amp;CHAR(10)&amp;CHAR(10),"")&amp;IF(AND(D8&lt;2,'Start Here'!$B$8&gt;=2),"LEVEL 2 — Formalise and coordinate the arrangement so it produces consistent benefit: "&amp;K8&amp;"."&amp;CHAR(10)&amp;CHAR(10),"")&amp;IF(AND(D8&lt;3,'Start Here'!$B$8&gt;=3),"LEVEL 3 — Ensure reliable coverage, quality and sustainability: "&amp;K8&amp;"."&amp;CHAR(10)&amp;CHAR(10),"")&amp;IF(AND(D8&lt;4,'Start Here'!$B$8&gt;=4),"LEVEL 4 — Measure, review and continuously improve: "&amp;K8&amp;".","")))</f>
        <v/>
      </c>
      <c r="G8" s="51"/>
      <c r="H8" s="51"/>
      <c r="I8" s="102"/>
      <c r="J8" s="13" t="s">
        <v>93</v>
      </c>
      <c r="K8" s="14" t="s">
        <v>102</v>
      </c>
      <c r="L8" s="15">
        <f>IF(C8="",0,IF(D8&gt;='Start Here'!$B$8,0,(('Start Here'!$B$8-D8)*100000)+IF(I8="High",3000,IF(I8="Medium",2000,IF(I8="Low",1000,0)))+(100-ROW())))</f>
        <v>0</v>
      </c>
      <c r="M8" s="115" t="s">
        <v>327</v>
      </c>
      <c r="X8" t="s">
        <v>21</v>
      </c>
    </row>
    <row r="9" spans="1:26" ht="92.1" customHeight="1">
      <c r="A9" s="13" t="s">
        <v>103</v>
      </c>
      <c r="B9" s="15" t="s">
        <v>104</v>
      </c>
      <c r="C9" s="78"/>
      <c r="D9" s="79" t="str">
        <f t="shared" si="0"/>
        <v/>
      </c>
      <c r="E9" s="14" t="str">
        <f>IF(C9="","",IF(D9&gt;='Start Here'!$B$8,"Target achieved — Level "&amp;D9&amp;" meets or exceeds target Level "&amp;'Start Here'!$B$8&amp;".","Current Level "&amp;D9&amp;" → Target Level "&amp;'Start Here'!$B$8&amp;" ("&amp;('Start Here'!$B$8-D9)&amp;" level(s) to close)."))</f>
        <v/>
      </c>
      <c r="F9" s="15" t="str">
        <f>IF(C9="","",IF(D9&gt;='Start Here'!$B$8,"Target achieved. Sustain current practice and review periodically.",IF(AND(D9&lt;1,'Start Here'!$B$8&gt;=1),"LEVEL 1 — Put in place: "&amp;K9&amp;"."&amp;CHAR(10)&amp;CHAR(10),"")&amp;IF(AND(D9&lt;2,'Start Here'!$B$8&gt;=2),"LEVEL 2 — Formalise and coordinate the arrangement so it produces consistent benefit: "&amp;K9&amp;"."&amp;CHAR(10)&amp;CHAR(10),"")&amp;IF(AND(D9&lt;3,'Start Here'!$B$8&gt;=3),"LEVEL 3 — Ensure reliable coverage, quality and sustainability: "&amp;K9&amp;"."&amp;CHAR(10)&amp;CHAR(10),"")&amp;IF(AND(D9&lt;4,'Start Here'!$B$8&gt;=4),"LEVEL 4 — Measure, review and continuously improve: "&amp;K9&amp;".","")))</f>
        <v/>
      </c>
      <c r="G9" s="51"/>
      <c r="H9" s="51"/>
      <c r="I9" s="102"/>
      <c r="J9" s="13" t="s">
        <v>105</v>
      </c>
      <c r="K9" s="14" t="s">
        <v>106</v>
      </c>
      <c r="L9" s="15">
        <f>IF(C9="",0,IF(D9&gt;='Start Here'!$B$8,0,(('Start Here'!$B$8-D9)*100000)+IF(I9="High",3000,IF(I9="Medium",2000,IF(I9="Low",1000,0)))+(100-ROW())))</f>
        <v>0</v>
      </c>
      <c r="M9" s="115" t="s">
        <v>327</v>
      </c>
    </row>
    <row r="10" spans="1:26" ht="92.1" customHeight="1">
      <c r="A10" s="13" t="s">
        <v>107</v>
      </c>
      <c r="B10" s="15" t="s">
        <v>108</v>
      </c>
      <c r="C10" s="78"/>
      <c r="D10" s="79" t="str">
        <f t="shared" si="0"/>
        <v/>
      </c>
      <c r="E10" s="14" t="str">
        <f>IF(C10="","",IF(D10&gt;='Start Here'!$B$8,"Target achieved — Level "&amp;D10&amp;" meets or exceeds target Level "&amp;'Start Here'!$B$8&amp;".","Current Level "&amp;D10&amp;" → Target Level "&amp;'Start Here'!$B$8&amp;" ("&amp;('Start Here'!$B$8-D10)&amp;" level(s) to close)."))</f>
        <v/>
      </c>
      <c r="F10" s="15" t="str">
        <f>IF(C10="","",IF(D10&gt;='Start Here'!$B$8,"Target achieved. Sustain current practice and review periodically.",IF(AND(D10&lt;1,'Start Here'!$B$8&gt;=1),"LEVEL 1 — Put in place: "&amp;K10&amp;"."&amp;CHAR(10)&amp;CHAR(10),"")&amp;IF(AND(D10&lt;2,'Start Here'!$B$8&gt;=2),"LEVEL 2 — Formalise and coordinate the arrangement so it produces consistent benefit: "&amp;K10&amp;"."&amp;CHAR(10)&amp;CHAR(10),"")&amp;IF(AND(D10&lt;3,'Start Here'!$B$8&gt;=3),"LEVEL 3 — Ensure reliable coverage, quality and sustainability: "&amp;K10&amp;"."&amp;CHAR(10)&amp;CHAR(10),"")&amp;IF(AND(D10&lt;4,'Start Here'!$B$8&gt;=4),"LEVEL 4 — Measure, review and continuously improve: "&amp;K10&amp;".","")))</f>
        <v/>
      </c>
      <c r="G10" s="51"/>
      <c r="H10" s="51"/>
      <c r="I10" s="102"/>
      <c r="J10" s="13" t="s">
        <v>109</v>
      </c>
      <c r="K10" s="14" t="s">
        <v>110</v>
      </c>
      <c r="L10" s="15">
        <f>IF(C10="",0,IF(D10&gt;='Start Here'!$B$8,0,(('Start Here'!$B$8-D10)*100000)+IF(I10="High",3000,IF(I10="Medium",2000,IF(I10="Low",1000,0)))+(100-ROW())))</f>
        <v>0</v>
      </c>
      <c r="M10" s="115" t="s">
        <v>327</v>
      </c>
    </row>
    <row r="11" spans="1:26" ht="92.1" customHeight="1">
      <c r="A11" s="13" t="s">
        <v>111</v>
      </c>
      <c r="B11" s="15" t="s">
        <v>112</v>
      </c>
      <c r="C11" s="78"/>
      <c r="D11" s="79" t="str">
        <f t="shared" si="0"/>
        <v/>
      </c>
      <c r="E11" s="14" t="str">
        <f>IF(C11="","",IF(D11&gt;='Start Here'!$B$8,"Target achieved — Level "&amp;D11&amp;" meets or exceeds target Level "&amp;'Start Here'!$B$8&amp;".","Current Level "&amp;D11&amp;" → Target Level "&amp;'Start Here'!$B$8&amp;" ("&amp;('Start Here'!$B$8-D11)&amp;" level(s) to close)."))</f>
        <v/>
      </c>
      <c r="F11" s="15" t="str">
        <f>IF(C11="","",IF(D11&gt;='Start Here'!$B$8,"Target achieved. Sustain current practice and review periodically.",IF(AND(D11&lt;1,'Start Here'!$B$8&gt;=1),"LEVEL 1 — Put in place: "&amp;K11&amp;"."&amp;CHAR(10)&amp;CHAR(10),"")&amp;IF(AND(D11&lt;2,'Start Here'!$B$8&gt;=2),"LEVEL 2 — Formalise and coordinate the arrangement so it produces consistent benefit: "&amp;K11&amp;"."&amp;CHAR(10)&amp;CHAR(10),"")&amp;IF(AND(D11&lt;3,'Start Here'!$B$8&gt;=3),"LEVEL 3 — Ensure reliable coverage, quality and sustainability: "&amp;K11&amp;"."&amp;CHAR(10)&amp;CHAR(10),"")&amp;IF(AND(D11&lt;4,'Start Here'!$B$8&gt;=4),"LEVEL 4 — Measure, review and continuously improve: "&amp;K11&amp;".","")))</f>
        <v/>
      </c>
      <c r="G11" s="51"/>
      <c r="H11" s="51"/>
      <c r="I11" s="102"/>
      <c r="J11" s="13" t="s">
        <v>93</v>
      </c>
      <c r="K11" s="14" t="s">
        <v>113</v>
      </c>
      <c r="L11" s="15">
        <f>IF(C11="",0,IF(D11&gt;='Start Here'!$B$8,0,(('Start Here'!$B$8-D11)*100000)+IF(I11="High",3000,IF(I11="Medium",2000,IF(I11="Low",1000,0)))+(100-ROW())))</f>
        <v>0</v>
      </c>
      <c r="M11" s="115" t="s">
        <v>327</v>
      </c>
    </row>
    <row r="12" spans="1:26" s="40" customFormat="1" ht="100.5" customHeight="1">
      <c r="A12" s="74" t="s">
        <v>114</v>
      </c>
      <c r="B12" s="50" t="s">
        <v>115</v>
      </c>
      <c r="C12" s="73" t="str">
        <f>IF(COUNTIF($C$6:$C$11,"&lt;&gt;")=0,"",AVERAGE($D$6:$D$11))</f>
        <v/>
      </c>
      <c r="D12" s="50"/>
      <c r="E12" s="75" t="s">
        <v>116</v>
      </c>
      <c r="F12" s="50" t="str">
        <f>IF(COUNTIF($C$6:$C$11,"&lt;&gt;")=0,"Not assessed",IF(MAX($L$6:$L$11)=0,"Target achieved",INDEX($K$6:$K$11,MATCH(MAX($L$6:$L$11),$L$6:$L$11,0))))</f>
        <v>Not assessed</v>
      </c>
      <c r="G12" s="103" t="s">
        <v>117</v>
      </c>
      <c r="H12" s="155" t="str">
        <f>IF(COUNTIF($C$6:$C$11,"&lt;&gt;")=0,"Not assessed",COUNTIFS($C$6:$C$11,"&lt;&gt;",$D$6:$D$11,"&lt;"&amp;'Start Here'!$B$8)&amp;" of 6 questions below target. "&amp;IF(MAX($L$6:$L$11)=0,"Maintain current effectiveness.","Priority development focus: "&amp;F12&amp;"."))</f>
        <v>Not assessed</v>
      </c>
      <c r="I12" s="156"/>
    </row>
    <row r="13" spans="1:26">
      <c r="G13" s="104"/>
      <c r="H13" s="104"/>
      <c r="I13" s="104"/>
    </row>
    <row r="14" spans="1:26" ht="15.75">
      <c r="A14" s="122" t="s">
        <v>118</v>
      </c>
      <c r="B14" s="122"/>
      <c r="C14" s="122"/>
      <c r="D14" s="122"/>
      <c r="E14" s="122"/>
      <c r="F14" s="122"/>
      <c r="G14" s="122"/>
      <c r="H14" s="122"/>
      <c r="I14" s="122"/>
    </row>
    <row r="15" spans="1:26" ht="92.1" customHeight="1">
      <c r="A15" s="13" t="s">
        <v>119</v>
      </c>
      <c r="B15" s="15" t="s">
        <v>120</v>
      </c>
      <c r="C15" s="80"/>
      <c r="D15" s="83" t="str">
        <f t="shared" ref="D15:D20" si="1">IF(C15="","",VALUE(LEFT(C15,1)))</f>
        <v/>
      </c>
      <c r="E15" s="14" t="str">
        <f>IF(C15="","",IF(D15&gt;='Start Here'!$B$8,"Target achieved — Level "&amp;D15&amp;" meets or exceeds target Level "&amp;'Start Here'!$B$8&amp;".","Current Level "&amp;D15&amp;" → Target Level "&amp;'Start Here'!$B$8&amp;" ("&amp;('Start Here'!$B$8-D15)&amp;" level(s) to close)."))</f>
        <v/>
      </c>
      <c r="F15" s="15" t="str">
        <f>IF(C15="","",IF(D15&gt;='Start Here'!$B$8,"Target achieved. Sustain current practice and review periodically.",IF(AND(D15&lt;1,'Start Here'!$B$8&gt;=1),"LEVEL 1 — Put in place: "&amp;K15&amp;"."&amp;CHAR(10)&amp;CHAR(10),"")&amp;IF(AND(D15&lt;2,'Start Here'!$B$8&gt;=2),"LEVEL 2 — Formalise and coordinate the arrangement so it produces consistent benefit: "&amp;K15&amp;"."&amp;CHAR(10)&amp;CHAR(10),"")&amp;IF(AND(D15&lt;3,'Start Here'!$B$8&gt;=3),"LEVEL 3 — Ensure reliable coverage, quality and sustainability: "&amp;K15&amp;"."&amp;CHAR(10)&amp;CHAR(10),"")&amp;IF(AND(D15&lt;4,'Start Here'!$B$8&gt;=4),"LEVEL 4 — Measure, review and continuously improve: "&amp;K15&amp;".","")))</f>
        <v/>
      </c>
      <c r="G15" s="51"/>
      <c r="H15" s="51"/>
      <c r="I15" s="51"/>
      <c r="J15" s="13" t="s">
        <v>93</v>
      </c>
      <c r="K15" s="14" t="s">
        <v>121</v>
      </c>
      <c r="L15" s="15">
        <f>IF(C15="",0,IF(D15&gt;='Start Here'!$B$8,0,(('Start Here'!$B$8-D15)*100000)+IF(I15="High",3000,IF(I15="Medium",2000,IF(I15="Low",1000,0)))+(100-ROW())))</f>
        <v>0</v>
      </c>
      <c r="M15" s="115" t="s">
        <v>327</v>
      </c>
    </row>
    <row r="16" spans="1:26" ht="92.1" customHeight="1">
      <c r="A16" s="13" t="s">
        <v>122</v>
      </c>
      <c r="B16" s="15" t="s">
        <v>123</v>
      </c>
      <c r="C16" s="80"/>
      <c r="D16" s="83" t="str">
        <f t="shared" si="1"/>
        <v/>
      </c>
      <c r="E16" s="14" t="str">
        <f>IF(C16="","",IF(D16&gt;='Start Here'!$B$8,"Target achieved — Level "&amp;D16&amp;" meets or exceeds target Level "&amp;'Start Here'!$B$8&amp;".","Current Level "&amp;D16&amp;" → Target Level "&amp;'Start Here'!$B$8&amp;" ("&amp;('Start Here'!$B$8-D16)&amp;" level(s) to close)."))</f>
        <v/>
      </c>
      <c r="F16" s="15" t="str">
        <f>IF(C16="","",IF(D16&gt;='Start Here'!$B$8,"Target achieved. Sustain current practice and review periodically.",IF(AND(D16&lt;1,'Start Here'!$B$8&gt;=1),"LEVEL 1 — Put in place: "&amp;K16&amp;"."&amp;CHAR(10)&amp;CHAR(10),"")&amp;IF(AND(D16&lt;2,'Start Here'!$B$8&gt;=2),"LEVEL 2 — Formalise and coordinate the arrangement so it produces consistent benefit: "&amp;K16&amp;"."&amp;CHAR(10)&amp;CHAR(10),"")&amp;IF(AND(D16&lt;3,'Start Here'!$B$8&gt;=3),"LEVEL 3 — Ensure reliable coverage, quality and sustainability: "&amp;K16&amp;"."&amp;CHAR(10)&amp;CHAR(10),"")&amp;IF(AND(D16&lt;4,'Start Here'!$B$8&gt;=4),"LEVEL 4 — Measure, review and continuously improve: "&amp;K16&amp;".","")))</f>
        <v/>
      </c>
      <c r="G16" s="51"/>
      <c r="H16" s="51"/>
      <c r="I16" s="51"/>
      <c r="J16" s="13" t="s">
        <v>97</v>
      </c>
      <c r="K16" s="14" t="s">
        <v>124</v>
      </c>
      <c r="L16" s="15">
        <f>IF(C16="",0,IF(D16&gt;='Start Here'!$B$8,0,(('Start Here'!$B$8-D16)*100000)+IF(I16="High",3000,IF(I16="Medium",2000,IF(I16="Low",1000,0)))+(100-ROW())))</f>
        <v>0</v>
      </c>
      <c r="M16" s="115" t="s">
        <v>327</v>
      </c>
    </row>
    <row r="17" spans="1:13" ht="92.1" customHeight="1">
      <c r="A17" s="13" t="s">
        <v>125</v>
      </c>
      <c r="B17" s="15" t="s">
        <v>126</v>
      </c>
      <c r="C17" s="80"/>
      <c r="D17" s="83" t="str">
        <f t="shared" si="1"/>
        <v/>
      </c>
      <c r="E17" s="14" t="str">
        <f>IF(C17="","",IF(D17&gt;='Start Here'!$B$8,"Target achieved — Level "&amp;D17&amp;" meets or exceeds target Level "&amp;'Start Here'!$B$8&amp;".","Current Level "&amp;D17&amp;" → Target Level "&amp;'Start Here'!$B$8&amp;" ("&amp;('Start Here'!$B$8-D17)&amp;" level(s) to close)."))</f>
        <v/>
      </c>
      <c r="F17" s="15" t="str">
        <f>IF(C17="","",IF(D17&gt;='Start Here'!$B$8,"Target achieved. Sustain current practice and review periodically.",IF(AND(D17&lt;1,'Start Here'!$B$8&gt;=1),"LEVEL 1 — Put in place: "&amp;K17&amp;"."&amp;CHAR(10)&amp;CHAR(10),"")&amp;IF(AND(D17&lt;2,'Start Here'!$B$8&gt;=2),"LEVEL 2 — Formalise and coordinate the arrangement so it produces consistent benefit: "&amp;K17&amp;"."&amp;CHAR(10)&amp;CHAR(10),"")&amp;IF(AND(D17&lt;3,'Start Here'!$B$8&gt;=3),"LEVEL 3 — Ensure reliable coverage, quality and sustainability: "&amp;K17&amp;"."&amp;CHAR(10)&amp;CHAR(10),"")&amp;IF(AND(D17&lt;4,'Start Here'!$B$8&gt;=4),"LEVEL 4 — Measure, review and continuously improve: "&amp;K17&amp;".","")))</f>
        <v/>
      </c>
      <c r="G17" s="51"/>
      <c r="H17" s="51"/>
      <c r="I17" s="51"/>
      <c r="J17" s="13" t="s">
        <v>93</v>
      </c>
      <c r="K17" s="14" t="s">
        <v>127</v>
      </c>
      <c r="L17" s="15">
        <f>IF(C17="",0,IF(D17&gt;='Start Here'!$B$8,0,(('Start Here'!$B$8-D17)*100000)+IF(I17="High",3000,IF(I17="Medium",2000,IF(I17="Low",1000,0)))+(100-ROW())))</f>
        <v>0</v>
      </c>
      <c r="M17" s="115" t="s">
        <v>327</v>
      </c>
    </row>
    <row r="18" spans="1:13" ht="92.1" customHeight="1">
      <c r="A18" s="13" t="s">
        <v>128</v>
      </c>
      <c r="B18" s="15" t="s">
        <v>129</v>
      </c>
      <c r="C18" s="80"/>
      <c r="D18" s="83" t="str">
        <f t="shared" si="1"/>
        <v/>
      </c>
      <c r="E18" s="14" t="str">
        <f>IF(C18="","",IF(D18&gt;='Start Here'!$B$8,"Target achieved — Level "&amp;D18&amp;" meets or exceeds target Level "&amp;'Start Here'!$B$8&amp;".","Current Level "&amp;D18&amp;" → Target Level "&amp;'Start Here'!$B$8&amp;" ("&amp;('Start Here'!$B$8-D18)&amp;" level(s) to close)."))</f>
        <v/>
      </c>
      <c r="F18" s="15" t="str">
        <f>IF(C18="","",IF(D18&gt;='Start Here'!$B$8,"Target achieved. Sustain current practice and review periodically.",IF(AND(D18&lt;1,'Start Here'!$B$8&gt;=1),"LEVEL 1 — Put in place: "&amp;K18&amp;"."&amp;CHAR(10)&amp;CHAR(10),"")&amp;IF(AND(D18&lt;2,'Start Here'!$B$8&gt;=2),"LEVEL 2 — Formalise and coordinate the arrangement so it produces consistent benefit: "&amp;K18&amp;"."&amp;CHAR(10)&amp;CHAR(10),"")&amp;IF(AND(D18&lt;3,'Start Here'!$B$8&gt;=3),"LEVEL 3 — Ensure reliable coverage, quality and sustainability: "&amp;K18&amp;"."&amp;CHAR(10)&amp;CHAR(10),"")&amp;IF(AND(D18&lt;4,'Start Here'!$B$8&gt;=4),"LEVEL 4 — Measure, review and continuously improve: "&amp;K18&amp;".","")))</f>
        <v/>
      </c>
      <c r="G18" s="51"/>
      <c r="H18" s="51"/>
      <c r="I18" s="51"/>
      <c r="J18" s="13" t="s">
        <v>109</v>
      </c>
      <c r="K18" s="14" t="s">
        <v>130</v>
      </c>
      <c r="L18" s="15">
        <f>IF(C18="",0,IF(D18&gt;='Start Here'!$B$8,0,(('Start Here'!$B$8-D18)*100000)+IF(I18="High",3000,IF(I18="Medium",2000,IF(I18="Low",1000,0)))+(100-ROW())))</f>
        <v>0</v>
      </c>
      <c r="M18" s="115" t="s">
        <v>327</v>
      </c>
    </row>
    <row r="19" spans="1:13" ht="92.1" customHeight="1">
      <c r="A19" s="13" t="s">
        <v>131</v>
      </c>
      <c r="B19" s="15" t="s">
        <v>132</v>
      </c>
      <c r="C19" s="80"/>
      <c r="D19" s="83" t="str">
        <f t="shared" si="1"/>
        <v/>
      </c>
      <c r="E19" s="14" t="str">
        <f>IF(C19="","",IF(D19&gt;='Start Here'!$B$8,"Target achieved — Level "&amp;D19&amp;" meets or exceeds target Level "&amp;'Start Here'!$B$8&amp;".","Current Level "&amp;D19&amp;" → Target Level "&amp;'Start Here'!$B$8&amp;" ("&amp;('Start Here'!$B$8-D19)&amp;" level(s) to close)."))</f>
        <v/>
      </c>
      <c r="F19" s="15" t="str">
        <f>IF(C19="","",IF(D19&gt;='Start Here'!$B$8,"Target achieved. Sustain current practice and review periodically.",IF(AND(D19&lt;1,'Start Here'!$B$8&gt;=1),"LEVEL 1 — Put in place: "&amp;K19&amp;"."&amp;CHAR(10)&amp;CHAR(10),"")&amp;IF(AND(D19&lt;2,'Start Here'!$B$8&gt;=2),"LEVEL 2 — Formalise and coordinate the arrangement so it produces consistent benefit: "&amp;K19&amp;"."&amp;CHAR(10)&amp;CHAR(10),"")&amp;IF(AND(D19&lt;3,'Start Here'!$B$8&gt;=3),"LEVEL 3 — Ensure reliable coverage, quality and sustainability: "&amp;K19&amp;"."&amp;CHAR(10)&amp;CHAR(10),"")&amp;IF(AND(D19&lt;4,'Start Here'!$B$8&gt;=4),"LEVEL 4 — Measure, review and continuously improve: "&amp;K19&amp;".","")))</f>
        <v/>
      </c>
      <c r="G19" s="51"/>
      <c r="H19" s="51"/>
      <c r="I19" s="51"/>
      <c r="J19" s="13" t="s">
        <v>133</v>
      </c>
      <c r="K19" s="14" t="s">
        <v>134</v>
      </c>
      <c r="L19" s="15">
        <f>IF(C19="",0,IF(D19&gt;='Start Here'!$B$8,0,(('Start Here'!$B$8-D19)*100000)+IF(I19="High",3000,IF(I19="Medium",2000,IF(I19="Low",1000,0)))+(100-ROW())))</f>
        <v>0</v>
      </c>
      <c r="M19" s="115" t="s">
        <v>327</v>
      </c>
    </row>
    <row r="20" spans="1:13" ht="92.1" customHeight="1">
      <c r="A20" s="13" t="s">
        <v>135</v>
      </c>
      <c r="B20" s="15" t="s">
        <v>136</v>
      </c>
      <c r="C20" s="80"/>
      <c r="D20" s="83" t="str">
        <f t="shared" si="1"/>
        <v/>
      </c>
      <c r="E20" s="14" t="str">
        <f>IF(C20="","",IF(D20&gt;='Start Here'!$B$8,"Target achieved — Level "&amp;D20&amp;" meets or exceeds target Level "&amp;'Start Here'!$B$8&amp;".","Current Level "&amp;D20&amp;" → Target Level "&amp;'Start Here'!$B$8&amp;" ("&amp;('Start Here'!$B$8-D20)&amp;" level(s) to close)."))</f>
        <v/>
      </c>
      <c r="F20" s="15" t="str">
        <f>IF(C20="","",IF(D20&gt;='Start Here'!$B$8,"Target achieved. Sustain current practice and review periodically.",IF(AND(D20&lt;1,'Start Here'!$B$8&gt;=1),"LEVEL 1 — Put in place: "&amp;K20&amp;"."&amp;CHAR(10)&amp;CHAR(10),"")&amp;IF(AND(D20&lt;2,'Start Here'!$B$8&gt;=2),"LEVEL 2 — Formalise and coordinate the arrangement so it produces consistent benefit: "&amp;K20&amp;"."&amp;CHAR(10)&amp;CHAR(10),"")&amp;IF(AND(D20&lt;3,'Start Here'!$B$8&gt;=3),"LEVEL 3 — Ensure reliable coverage, quality and sustainability: "&amp;K20&amp;"."&amp;CHAR(10)&amp;CHAR(10),"")&amp;IF(AND(D20&lt;4,'Start Here'!$B$8&gt;=4),"LEVEL 4 — Measure, review and continuously improve: "&amp;K20&amp;".","")))</f>
        <v/>
      </c>
      <c r="G20" s="51"/>
      <c r="H20" s="51"/>
      <c r="I20" s="51"/>
      <c r="J20" s="13" t="s">
        <v>93</v>
      </c>
      <c r="K20" s="14" t="s">
        <v>137</v>
      </c>
      <c r="L20" s="15">
        <f>IF(C20="",0,IF(D20&gt;='Start Here'!$B$8,0,(('Start Here'!$B$8-D20)*100000)+IF(I20="High",3000,IF(I20="Medium",2000,IF(I20="Low",1000,0)))+(100-ROW())))</f>
        <v>0</v>
      </c>
      <c r="M20" s="115" t="s">
        <v>327</v>
      </c>
    </row>
    <row r="21" spans="1:13" s="40" customFormat="1" ht="60.75" customHeight="1">
      <c r="A21" s="74" t="s">
        <v>114</v>
      </c>
      <c r="B21" s="50" t="s">
        <v>115</v>
      </c>
      <c r="C21" s="73" t="str">
        <f>IF(COUNTIF($C$15:$C$20,"&lt;&gt;")=0,"",AVERAGE($D$15:$D$20))</f>
        <v/>
      </c>
      <c r="D21" s="50"/>
      <c r="E21" s="75" t="s">
        <v>116</v>
      </c>
      <c r="F21" s="50" t="str">
        <f>IF(COUNTIF($C$15:$C$20,"&lt;&gt;")=0,"Not assessed",IF(MAX($L$15:$L$20)=0,"Target achieved",INDEX($K$15:$K$20,MATCH(MAX($L$15:$L$20),$L$15:$L$20,0))))</f>
        <v>Not assessed</v>
      </c>
      <c r="G21" s="105" t="s">
        <v>117</v>
      </c>
      <c r="H21" s="155" t="str">
        <f>IF(COUNTIF($C$15:$C$20,"&lt;&gt;")=0,"Not assessed",COUNTIFS($C$15:$C$20,"&lt;&gt;",$D$15:$D$20,"&lt;"&amp;'Start Here'!$B$8)&amp;" of 6 questions below target. "&amp;IF(MAX($L$15:$L$20)=0,"Maintain current effectiveness.","Priority development focus: "&amp;F21&amp;"."))</f>
        <v>Not assessed</v>
      </c>
      <c r="I21" s="156"/>
    </row>
    <row r="22" spans="1:13">
      <c r="G22" s="104"/>
      <c r="H22" s="104"/>
      <c r="I22" s="104"/>
    </row>
    <row r="23" spans="1:13" ht="15.75">
      <c r="A23" s="122" t="s">
        <v>138</v>
      </c>
      <c r="B23" s="122"/>
      <c r="C23" s="122"/>
      <c r="D23" s="122"/>
      <c r="E23" s="122"/>
      <c r="F23" s="122"/>
      <c r="G23" s="122"/>
      <c r="H23" s="122"/>
      <c r="I23" s="122"/>
    </row>
    <row r="24" spans="1:13" ht="92.1" customHeight="1">
      <c r="A24" s="13" t="s">
        <v>139</v>
      </c>
      <c r="B24" s="15" t="s">
        <v>140</v>
      </c>
      <c r="C24" s="80"/>
      <c r="D24" s="83" t="str">
        <f t="shared" ref="D24:D29" si="2">IF(C24="","",VALUE(LEFT(C24,1)))</f>
        <v/>
      </c>
      <c r="E24" s="14" t="str">
        <f>IF(C24="","",IF(D24&gt;='Start Here'!$B$8,"Target achieved — Level "&amp;D24&amp;" meets or exceeds target Level "&amp;'Start Here'!$B$8&amp;".","Current Level "&amp;D24&amp;" → Target Level "&amp;'Start Here'!$B$8&amp;" ("&amp;('Start Here'!$B$8-D24)&amp;" level(s) to close)."))</f>
        <v/>
      </c>
      <c r="F24" s="15" t="str">
        <f>IF(C24="","",IF(D24&gt;='Start Here'!$B$8,"Target achieved. Sustain current practice and review periodically.",IF(AND(D24&lt;1,'Start Here'!$B$8&gt;=1),"LEVEL 1 — Put in place: "&amp;K24&amp;"."&amp;CHAR(10)&amp;CHAR(10),"")&amp;IF(AND(D24&lt;2,'Start Here'!$B$8&gt;=2),"LEVEL 2 — Formalise and coordinate the arrangement so it produces consistent benefit: "&amp;K24&amp;"."&amp;CHAR(10)&amp;CHAR(10),"")&amp;IF(AND(D24&lt;3,'Start Here'!$B$8&gt;=3),"LEVEL 3 — Ensure reliable coverage, quality and sustainability: "&amp;K24&amp;"."&amp;CHAR(10)&amp;CHAR(10),"")&amp;IF(AND(D24&lt;4,'Start Here'!$B$8&gt;=4),"LEVEL 4 — Measure, review and continuously improve: "&amp;K24&amp;".","")))</f>
        <v/>
      </c>
      <c r="G24" s="106"/>
      <c r="H24" s="106"/>
      <c r="I24" s="106"/>
      <c r="J24" s="13" t="s">
        <v>141</v>
      </c>
      <c r="K24" s="14" t="s">
        <v>142</v>
      </c>
      <c r="L24" s="15">
        <f>IF(C24="",0,IF(D24&gt;='Start Here'!$B$8,0,(('Start Here'!$B$8-D24)*100000)+IF(I24="High",3000,IF(I24="Medium",2000,IF(I24="Low",1000,0)))+(100-ROW())))</f>
        <v>0</v>
      </c>
      <c r="M24" s="115" t="s">
        <v>327</v>
      </c>
    </row>
    <row r="25" spans="1:13" ht="92.1" customHeight="1">
      <c r="A25" s="13" t="s">
        <v>143</v>
      </c>
      <c r="B25" s="15" t="s">
        <v>144</v>
      </c>
      <c r="C25" s="80"/>
      <c r="D25" s="83" t="str">
        <f t="shared" si="2"/>
        <v/>
      </c>
      <c r="E25" s="14" t="str">
        <f>IF(C25="","",IF(D25&gt;='Start Here'!$B$8,"Target achieved — Level "&amp;D25&amp;" meets or exceeds target Level "&amp;'Start Here'!$B$8&amp;".","Current Level "&amp;D25&amp;" → Target Level "&amp;'Start Here'!$B$8&amp;" ("&amp;('Start Here'!$B$8-D25)&amp;" level(s) to close)."))</f>
        <v/>
      </c>
      <c r="F25" s="15" t="str">
        <f>IF(C25="","",IF(D25&gt;='Start Here'!$B$8,"Target achieved. Sustain current practice and review periodically.",IF(AND(D25&lt;1,'Start Here'!$B$8&gt;=1),"LEVEL 1 — Put in place: "&amp;K25&amp;"."&amp;CHAR(10)&amp;CHAR(10),"")&amp;IF(AND(D25&lt;2,'Start Here'!$B$8&gt;=2),"LEVEL 2 — Formalise and coordinate the arrangement so it produces consistent benefit: "&amp;K25&amp;"."&amp;CHAR(10)&amp;CHAR(10),"")&amp;IF(AND(D25&lt;3,'Start Here'!$B$8&gt;=3),"LEVEL 3 — Ensure reliable coverage, quality and sustainability: "&amp;K25&amp;"."&amp;CHAR(10)&amp;CHAR(10),"")&amp;IF(AND(D25&lt;4,'Start Here'!$B$8&gt;=4),"LEVEL 4 — Measure, review and continuously improve: "&amp;K25&amp;".","")))</f>
        <v/>
      </c>
      <c r="G25" s="106"/>
      <c r="H25" s="106"/>
      <c r="I25" s="106"/>
      <c r="J25" s="13" t="s">
        <v>145</v>
      </c>
      <c r="K25" s="14" t="s">
        <v>146</v>
      </c>
      <c r="L25" s="15">
        <f>IF(C25="",0,IF(D25&gt;='Start Here'!$B$8,0,(('Start Here'!$B$8-D25)*100000)+IF(I25="High",3000,IF(I25="Medium",2000,IF(I25="Low",1000,0)))+(100-ROW())))</f>
        <v>0</v>
      </c>
      <c r="M25" s="115" t="s">
        <v>327</v>
      </c>
    </row>
    <row r="26" spans="1:13" ht="92.1" customHeight="1">
      <c r="A26" s="13" t="s">
        <v>147</v>
      </c>
      <c r="B26" s="15" t="s">
        <v>148</v>
      </c>
      <c r="C26" s="80"/>
      <c r="D26" s="83" t="str">
        <f t="shared" si="2"/>
        <v/>
      </c>
      <c r="E26" s="14" t="str">
        <f>IF(C26="","",IF(D26&gt;='Start Here'!$B$8,"Target achieved — Level "&amp;D26&amp;" meets or exceeds target Level "&amp;'Start Here'!$B$8&amp;".","Current Level "&amp;D26&amp;" → Target Level "&amp;'Start Here'!$B$8&amp;" ("&amp;('Start Here'!$B$8-D26)&amp;" level(s) to close)."))</f>
        <v/>
      </c>
      <c r="F26" s="15" t="str">
        <f>IF(C26="","",IF(D26&gt;='Start Here'!$B$8,"Target achieved. Sustain current practice and review periodically.",IF(AND(D26&lt;1,'Start Here'!$B$8&gt;=1),"LEVEL 1 — Put in place: "&amp;K26&amp;"."&amp;CHAR(10)&amp;CHAR(10),"")&amp;IF(AND(D26&lt;2,'Start Here'!$B$8&gt;=2),"LEVEL 2 — Formalise and coordinate the arrangement so it produces consistent benefit: "&amp;K26&amp;"."&amp;CHAR(10)&amp;CHAR(10),"")&amp;IF(AND(D26&lt;3,'Start Here'!$B$8&gt;=3),"LEVEL 3 — Ensure reliable coverage, quality and sustainability: "&amp;K26&amp;"."&amp;CHAR(10)&amp;CHAR(10),"")&amp;IF(AND(D26&lt;4,'Start Here'!$B$8&gt;=4),"LEVEL 4 — Measure, review and continuously improve: "&amp;K26&amp;".","")))</f>
        <v/>
      </c>
      <c r="G26" s="106"/>
      <c r="H26" s="106"/>
      <c r="I26" s="106"/>
      <c r="J26" s="13" t="s">
        <v>105</v>
      </c>
      <c r="K26" s="14" t="s">
        <v>149</v>
      </c>
      <c r="L26" s="15">
        <f>IF(C26="",0,IF(D26&gt;='Start Here'!$B$8,0,(('Start Here'!$B$8-D26)*100000)+IF(I26="High",3000,IF(I26="Medium",2000,IF(I26="Low",1000,0)))+(100-ROW())))</f>
        <v>0</v>
      </c>
      <c r="M26" s="115" t="s">
        <v>327</v>
      </c>
    </row>
    <row r="27" spans="1:13" ht="92.1" customHeight="1">
      <c r="A27" s="13" t="s">
        <v>150</v>
      </c>
      <c r="B27" s="15" t="s">
        <v>151</v>
      </c>
      <c r="C27" s="80"/>
      <c r="D27" s="83" t="str">
        <f t="shared" si="2"/>
        <v/>
      </c>
      <c r="E27" s="14" t="str">
        <f>IF(C27="","",IF(D27&gt;='Start Here'!$B$8,"Target achieved — Level "&amp;D27&amp;" meets or exceeds target Level "&amp;'Start Here'!$B$8&amp;".","Current Level "&amp;D27&amp;" → Target Level "&amp;'Start Here'!$B$8&amp;" ("&amp;('Start Here'!$B$8-D27)&amp;" level(s) to close)."))</f>
        <v/>
      </c>
      <c r="F27" s="15" t="str">
        <f>IF(C27="","",IF(D27&gt;='Start Here'!$B$8,"Target achieved. Sustain current practice and review periodically.",IF(AND(D27&lt;1,'Start Here'!$B$8&gt;=1),"LEVEL 1 — Put in place: "&amp;K27&amp;"."&amp;CHAR(10)&amp;CHAR(10),"")&amp;IF(AND(D27&lt;2,'Start Here'!$B$8&gt;=2),"LEVEL 2 — Formalise and coordinate the arrangement so it produces consistent benefit: "&amp;K27&amp;"."&amp;CHAR(10)&amp;CHAR(10),"")&amp;IF(AND(D27&lt;3,'Start Here'!$B$8&gt;=3),"LEVEL 3 — Ensure reliable coverage, quality and sustainability: "&amp;K27&amp;"."&amp;CHAR(10)&amp;CHAR(10),"")&amp;IF(AND(D27&lt;4,'Start Here'!$B$8&gt;=4),"LEVEL 4 — Measure, review and continuously improve: "&amp;K27&amp;".","")))</f>
        <v/>
      </c>
      <c r="G27" s="106"/>
      <c r="H27" s="106"/>
      <c r="I27" s="106"/>
      <c r="J27" s="13" t="s">
        <v>105</v>
      </c>
      <c r="K27" s="14" t="s">
        <v>152</v>
      </c>
      <c r="L27" s="15">
        <f>IF(C27="",0,IF(D27&gt;='Start Here'!$B$8,0,(('Start Here'!$B$8-D27)*100000)+IF(I27="High",3000,IF(I27="Medium",2000,IF(I27="Low",1000,0)))+(100-ROW())))</f>
        <v>0</v>
      </c>
      <c r="M27" s="115" t="s">
        <v>327</v>
      </c>
    </row>
    <row r="28" spans="1:13" ht="92.1" customHeight="1">
      <c r="A28" s="13" t="s">
        <v>153</v>
      </c>
      <c r="B28" s="15" t="s">
        <v>154</v>
      </c>
      <c r="C28" s="80"/>
      <c r="D28" s="83" t="str">
        <f t="shared" si="2"/>
        <v/>
      </c>
      <c r="E28" s="14" t="str">
        <f>IF(C28="","",IF(D28&gt;='Start Here'!$B$8,"Target achieved — Level "&amp;D28&amp;" meets or exceeds target Level "&amp;'Start Here'!$B$8&amp;".","Current Level "&amp;D28&amp;" → Target Level "&amp;'Start Here'!$B$8&amp;" ("&amp;('Start Here'!$B$8-D28)&amp;" level(s) to close)."))</f>
        <v/>
      </c>
      <c r="F28" s="15" t="str">
        <f>IF(C28="","",IF(D28&gt;='Start Here'!$B$8,"Target achieved. Sustain current practice and review periodically.",IF(AND(D28&lt;1,'Start Here'!$B$8&gt;=1),"LEVEL 1 — Put in place: "&amp;K28&amp;"."&amp;CHAR(10)&amp;CHAR(10),"")&amp;IF(AND(D28&lt;2,'Start Here'!$B$8&gt;=2),"LEVEL 2 — Formalise and coordinate the arrangement so it produces consistent benefit: "&amp;K28&amp;"."&amp;CHAR(10)&amp;CHAR(10),"")&amp;IF(AND(D28&lt;3,'Start Here'!$B$8&gt;=3),"LEVEL 3 — Ensure reliable coverage, quality and sustainability: "&amp;K28&amp;"."&amp;CHAR(10)&amp;CHAR(10),"")&amp;IF(AND(D28&lt;4,'Start Here'!$B$8&gt;=4),"LEVEL 4 — Measure, review and continuously improve: "&amp;K28&amp;".","")))</f>
        <v/>
      </c>
      <c r="G28" s="106"/>
      <c r="H28" s="106"/>
      <c r="I28" s="106"/>
      <c r="J28" s="13" t="s">
        <v>133</v>
      </c>
      <c r="K28" s="14" t="s">
        <v>155</v>
      </c>
      <c r="L28" s="15">
        <f>IF(C28="",0,IF(D28&gt;='Start Here'!$B$8,0,(('Start Here'!$B$8-D28)*100000)+IF(I28="High",3000,IF(I28="Medium",2000,IF(I28="Low",1000,0)))+(100-ROW())))</f>
        <v>0</v>
      </c>
      <c r="M28" s="115" t="s">
        <v>327</v>
      </c>
    </row>
    <row r="29" spans="1:13" ht="92.1" customHeight="1">
      <c r="A29" s="13" t="s">
        <v>156</v>
      </c>
      <c r="B29" s="15" t="s">
        <v>157</v>
      </c>
      <c r="C29" s="80"/>
      <c r="D29" s="83" t="str">
        <f t="shared" si="2"/>
        <v/>
      </c>
      <c r="E29" s="14" t="str">
        <f>IF(C29="","",IF(D29&gt;='Start Here'!$B$8,"Target achieved — Level "&amp;D29&amp;" meets or exceeds target Level "&amp;'Start Here'!$B$8&amp;".","Current Level "&amp;D29&amp;" → Target Level "&amp;'Start Here'!$B$8&amp;" ("&amp;('Start Here'!$B$8-D29)&amp;" level(s) to close)."))</f>
        <v/>
      </c>
      <c r="F29" s="15" t="str">
        <f>IF(C29="","",IF(D29&gt;='Start Here'!$B$8,"Target achieved. Sustain current practice and review periodically.",IF(AND(D29&lt;1,'Start Here'!$B$8&gt;=1),"LEVEL 1 — Put in place: "&amp;K29&amp;"."&amp;CHAR(10)&amp;CHAR(10),"")&amp;IF(AND(D29&lt;2,'Start Here'!$B$8&gt;=2),"LEVEL 2 — Formalise and coordinate the arrangement so it produces consistent benefit: "&amp;K29&amp;"."&amp;CHAR(10)&amp;CHAR(10),"")&amp;IF(AND(D29&lt;3,'Start Here'!$B$8&gt;=3),"LEVEL 3 — Ensure reliable coverage, quality and sustainability: "&amp;K29&amp;"."&amp;CHAR(10)&amp;CHAR(10),"")&amp;IF(AND(D29&lt;4,'Start Here'!$B$8&gt;=4),"LEVEL 4 — Measure, review and continuously improve: "&amp;K29&amp;".","")))</f>
        <v/>
      </c>
      <c r="G29" s="106"/>
      <c r="H29" s="106"/>
      <c r="I29" s="106"/>
      <c r="J29" s="13" t="s">
        <v>97</v>
      </c>
      <c r="K29" s="14" t="s">
        <v>158</v>
      </c>
      <c r="L29" s="15">
        <f>IF(C29="",0,IF(D29&gt;='Start Here'!$B$8,0,(('Start Here'!$B$8-D29)*100000)+IF(I29="High",3000,IF(I29="Medium",2000,IF(I29="Low",1000,0)))+(100-ROW())))</f>
        <v>0</v>
      </c>
      <c r="M29" s="115" t="s">
        <v>327</v>
      </c>
    </row>
    <row r="30" spans="1:13" ht="49.5" customHeight="1">
      <c r="A30" s="16" t="s">
        <v>114</v>
      </c>
      <c r="B30" s="17" t="s">
        <v>115</v>
      </c>
      <c r="C30" s="18" t="str">
        <f>IF(COUNTIF($C$24:$C$29,"&lt;&gt;")=0,"",AVERAGE($D$24:$D$29))</f>
        <v/>
      </c>
      <c r="D30" s="50"/>
      <c r="E30" s="17" t="s">
        <v>116</v>
      </c>
      <c r="F30" s="17" t="str">
        <f>IF(COUNTIF($C$24:$C$29,"&lt;&gt;")=0,"Not assessed",IF(MAX($L$24:$L$29)=0,"Target achieved",INDEX($K$24:$K$29,MATCH(MAX($L$24:$L$29),$L$24:$L$29,0))))</f>
        <v>Not assessed</v>
      </c>
      <c r="G30" s="107" t="s">
        <v>117</v>
      </c>
      <c r="H30" s="107" t="str">
        <f>IF(COUNTIF($C$24:$C$29,"&lt;&gt;")=0,"Not assessed",COUNTIFS($C$24:$C$29,"&lt;&gt;",$D$24:$D$29,"&lt;"&amp;'Start Here'!$B$8)&amp;" of 6 questions below target. "&amp;IF(MAX($L$24:$L$29)=0,"Maintain current effectiveness.","Priority development focus: "&amp;F30&amp;"."))</f>
        <v>Not assessed</v>
      </c>
      <c r="I30" s="107"/>
    </row>
    <row r="31" spans="1:13">
      <c r="G31" s="104"/>
      <c r="H31" s="104"/>
      <c r="I31" s="104"/>
    </row>
    <row r="32" spans="1:13" ht="15.75">
      <c r="A32" s="122" t="s">
        <v>159</v>
      </c>
      <c r="B32" s="122"/>
      <c r="C32" s="122"/>
      <c r="D32" s="122"/>
      <c r="E32" s="122"/>
      <c r="F32" s="122"/>
      <c r="G32" s="122"/>
      <c r="H32" s="122"/>
      <c r="I32" s="122"/>
    </row>
    <row r="33" spans="1:13" ht="92.1" customHeight="1">
      <c r="A33" s="13" t="s">
        <v>160</v>
      </c>
      <c r="B33" s="15" t="s">
        <v>161</v>
      </c>
      <c r="C33" s="80"/>
      <c r="D33" s="83" t="str">
        <f t="shared" ref="D33:D38" si="3">IF(C33="","",VALUE(LEFT(C33,1)))</f>
        <v/>
      </c>
      <c r="E33" s="14" t="str">
        <f>IF(C33="","",IF(D33&gt;='Start Here'!$B$8,"Target achieved — Level "&amp;D33&amp;" meets or exceeds target Level "&amp;'Start Here'!$B$8&amp;".","Current Level "&amp;D33&amp;" → Target Level "&amp;'Start Here'!$B$8&amp;" ("&amp;('Start Here'!$B$8-D33)&amp;" level(s) to close)."))</f>
        <v/>
      </c>
      <c r="F33" s="15" t="str">
        <f>IF(C33="","",IF(D33&gt;='Start Here'!$B$8,"Target achieved. Sustain current practice and review periodically.",IF(AND(D33&lt;1,'Start Here'!$B$8&gt;=1),"LEVEL 1 — Put in place: "&amp;K33&amp;"."&amp;CHAR(10)&amp;CHAR(10),"")&amp;IF(AND(D33&lt;2,'Start Here'!$B$8&gt;=2),"LEVEL 2 — Formalise and coordinate the arrangement so it produces consistent benefit: "&amp;K33&amp;"."&amp;CHAR(10)&amp;CHAR(10),"")&amp;IF(AND(D33&lt;3,'Start Here'!$B$8&gt;=3),"LEVEL 3 — Ensure reliable coverage, quality and sustainability: "&amp;K33&amp;"."&amp;CHAR(10)&amp;CHAR(10),"")&amp;IF(AND(D33&lt;4,'Start Here'!$B$8&gt;=4),"LEVEL 4 — Measure, review and continuously improve: "&amp;K33&amp;".","")))</f>
        <v/>
      </c>
      <c r="G33" s="51"/>
      <c r="H33" s="51"/>
      <c r="I33" s="51"/>
      <c r="J33" s="13" t="s">
        <v>109</v>
      </c>
      <c r="K33" s="14" t="s">
        <v>162</v>
      </c>
      <c r="L33" s="15">
        <f>IF(C33="",0,IF(D33&gt;='Start Here'!$B$8,0,(('Start Here'!$B$8-D33)*100000)+IF(I33="High",3000,IF(I33="Medium",2000,IF(I33="Low",1000,0)))+(100-ROW())))</f>
        <v>0</v>
      </c>
      <c r="M33" s="115" t="s">
        <v>327</v>
      </c>
    </row>
    <row r="34" spans="1:13" ht="92.1" customHeight="1">
      <c r="A34" s="13" t="s">
        <v>163</v>
      </c>
      <c r="B34" s="15" t="s">
        <v>164</v>
      </c>
      <c r="C34" s="80"/>
      <c r="D34" s="83" t="str">
        <f t="shared" si="3"/>
        <v/>
      </c>
      <c r="E34" s="14" t="str">
        <f>IF(C34="","",IF(D34&gt;='Start Here'!$B$8,"Target achieved — Level "&amp;D34&amp;" meets or exceeds target Level "&amp;'Start Here'!$B$8&amp;".","Current Level "&amp;D34&amp;" → Target Level "&amp;'Start Here'!$B$8&amp;" ("&amp;('Start Here'!$B$8-D34)&amp;" level(s) to close)."))</f>
        <v/>
      </c>
      <c r="F34" s="15" t="str">
        <f>IF(C34="","",IF(D34&gt;='Start Here'!$B$8,"Target achieved. Sustain current practice and review periodically.",IF(AND(D34&lt;1,'Start Here'!$B$8&gt;=1),"LEVEL 1 — Put in place: "&amp;K34&amp;"."&amp;CHAR(10)&amp;CHAR(10),"")&amp;IF(AND(D34&lt;2,'Start Here'!$B$8&gt;=2),"LEVEL 2 — Formalise and coordinate the arrangement so it produces consistent benefit: "&amp;K34&amp;"."&amp;CHAR(10)&amp;CHAR(10),"")&amp;IF(AND(D34&lt;3,'Start Here'!$B$8&gt;=3),"LEVEL 3 — Ensure reliable coverage, quality and sustainability: "&amp;K34&amp;"."&amp;CHAR(10)&amp;CHAR(10),"")&amp;IF(AND(D34&lt;4,'Start Here'!$B$8&gt;=4),"LEVEL 4 — Measure, review and continuously improve: "&amp;K34&amp;".","")))</f>
        <v/>
      </c>
      <c r="G34" s="51"/>
      <c r="H34" s="51"/>
      <c r="I34" s="51"/>
      <c r="J34" s="13" t="s">
        <v>109</v>
      </c>
      <c r="K34" s="14" t="s">
        <v>165</v>
      </c>
      <c r="L34" s="15">
        <f>IF(C34="",0,IF(D34&gt;='Start Here'!$B$8,0,(('Start Here'!$B$8-D34)*100000)+IF(I34="High",3000,IF(I34="Medium",2000,IF(I34="Low",1000,0)))+(100-ROW())))</f>
        <v>0</v>
      </c>
      <c r="M34" s="115" t="s">
        <v>327</v>
      </c>
    </row>
    <row r="35" spans="1:13" ht="92.1" customHeight="1">
      <c r="A35" s="13" t="s">
        <v>166</v>
      </c>
      <c r="B35" s="15" t="s">
        <v>167</v>
      </c>
      <c r="C35" s="80"/>
      <c r="D35" s="83" t="str">
        <f t="shared" si="3"/>
        <v/>
      </c>
      <c r="E35" s="14" t="str">
        <f>IF(C35="","",IF(D35&gt;='Start Here'!$B$8,"Target achieved — Level "&amp;D35&amp;" meets or exceeds target Level "&amp;'Start Here'!$B$8&amp;".","Current Level "&amp;D35&amp;" → Target Level "&amp;'Start Here'!$B$8&amp;" ("&amp;('Start Here'!$B$8-D35)&amp;" level(s) to close)."))</f>
        <v/>
      </c>
      <c r="F35" s="15" t="str">
        <f>IF(C35="","",IF(D35&gt;='Start Here'!$B$8,"Target achieved. Sustain current practice and review periodically.",IF(AND(D35&lt;1,'Start Here'!$B$8&gt;=1),"LEVEL 1 — Put in place: "&amp;K35&amp;"."&amp;CHAR(10)&amp;CHAR(10),"")&amp;IF(AND(D35&lt;2,'Start Here'!$B$8&gt;=2),"LEVEL 2 — Formalise and coordinate the arrangement so it produces consistent benefit: "&amp;K35&amp;"."&amp;CHAR(10)&amp;CHAR(10),"")&amp;IF(AND(D35&lt;3,'Start Here'!$B$8&gt;=3),"LEVEL 3 — Ensure reliable coverage, quality and sustainability: "&amp;K35&amp;"."&amp;CHAR(10)&amp;CHAR(10),"")&amp;IF(AND(D35&lt;4,'Start Here'!$B$8&gt;=4),"LEVEL 4 — Measure, review and continuously improve: "&amp;K35&amp;".","")))</f>
        <v/>
      </c>
      <c r="G35" s="51"/>
      <c r="H35" s="51"/>
      <c r="I35" s="51"/>
      <c r="J35" s="13" t="s">
        <v>93</v>
      </c>
      <c r="K35" s="14" t="s">
        <v>168</v>
      </c>
      <c r="L35" s="15">
        <f>IF(C35="",0,IF(D35&gt;='Start Here'!$B$8,0,(('Start Here'!$B$8-D35)*100000)+IF(I35="High",3000,IF(I35="Medium",2000,IF(I35="Low",1000,0)))+(100-ROW())))</f>
        <v>0</v>
      </c>
      <c r="M35" s="115" t="s">
        <v>327</v>
      </c>
    </row>
    <row r="36" spans="1:13" ht="92.1" customHeight="1">
      <c r="A36" s="13" t="s">
        <v>169</v>
      </c>
      <c r="B36" s="15" t="s">
        <v>170</v>
      </c>
      <c r="C36" s="80"/>
      <c r="D36" s="83" t="str">
        <f t="shared" si="3"/>
        <v/>
      </c>
      <c r="E36" s="14" t="str">
        <f>IF(C36="","",IF(D36&gt;='Start Here'!$B$8,"Target achieved — Level "&amp;D36&amp;" meets or exceeds target Level "&amp;'Start Here'!$B$8&amp;".","Current Level "&amp;D36&amp;" → Target Level "&amp;'Start Here'!$B$8&amp;" ("&amp;('Start Here'!$B$8-D36)&amp;" level(s) to close)."))</f>
        <v/>
      </c>
      <c r="F36" s="15" t="str">
        <f>IF(C36="","",IF(D36&gt;='Start Here'!$B$8,"Target achieved. Sustain current practice and review periodically.",IF(AND(D36&lt;1,'Start Here'!$B$8&gt;=1),"LEVEL 1 — Put in place: "&amp;K36&amp;"."&amp;CHAR(10)&amp;CHAR(10),"")&amp;IF(AND(D36&lt;2,'Start Here'!$B$8&gt;=2),"LEVEL 2 — Formalise and coordinate the arrangement so it produces consistent benefit: "&amp;K36&amp;"."&amp;CHAR(10)&amp;CHAR(10),"")&amp;IF(AND(D36&lt;3,'Start Here'!$B$8&gt;=3),"LEVEL 3 — Ensure reliable coverage, quality and sustainability: "&amp;K36&amp;"."&amp;CHAR(10)&amp;CHAR(10),"")&amp;IF(AND(D36&lt;4,'Start Here'!$B$8&gt;=4),"LEVEL 4 — Measure, review and continuously improve: "&amp;K36&amp;".","")))</f>
        <v/>
      </c>
      <c r="G36" s="51"/>
      <c r="H36" s="51"/>
      <c r="I36" s="51"/>
      <c r="J36" s="13" t="s">
        <v>145</v>
      </c>
      <c r="K36" s="14" t="s">
        <v>171</v>
      </c>
      <c r="L36" s="15">
        <f>IF(C36="",0,IF(D36&gt;='Start Here'!$B$8,0,(('Start Here'!$B$8-D36)*100000)+IF(I36="High",3000,IF(I36="Medium",2000,IF(I36="Low",1000,0)))+(100-ROW())))</f>
        <v>0</v>
      </c>
      <c r="M36" s="115" t="s">
        <v>327</v>
      </c>
    </row>
    <row r="37" spans="1:13" ht="92.1" customHeight="1">
      <c r="A37" s="13" t="s">
        <v>172</v>
      </c>
      <c r="B37" s="15" t="s">
        <v>173</v>
      </c>
      <c r="C37" s="80"/>
      <c r="D37" s="83" t="str">
        <f t="shared" si="3"/>
        <v/>
      </c>
      <c r="E37" s="14" t="str">
        <f>IF(C37="","",IF(D37&gt;='Start Here'!$B$8,"Target achieved — Level "&amp;D37&amp;" meets or exceeds target Level "&amp;'Start Here'!$B$8&amp;".","Current Level "&amp;D37&amp;" → Target Level "&amp;'Start Here'!$B$8&amp;" ("&amp;('Start Here'!$B$8-D37)&amp;" level(s) to close)."))</f>
        <v/>
      </c>
      <c r="F37" s="15" t="str">
        <f>IF(C37="","",IF(D37&gt;='Start Here'!$B$8,"Target achieved. Sustain current practice and review periodically.",IF(AND(D37&lt;1,'Start Here'!$B$8&gt;=1),"LEVEL 1 — Put in place: "&amp;K37&amp;"."&amp;CHAR(10)&amp;CHAR(10),"")&amp;IF(AND(D37&lt;2,'Start Here'!$B$8&gt;=2),"LEVEL 2 — Formalise and coordinate the arrangement so it produces consistent benefit: "&amp;K37&amp;"."&amp;CHAR(10)&amp;CHAR(10),"")&amp;IF(AND(D37&lt;3,'Start Here'!$B$8&gt;=3),"LEVEL 3 — Ensure reliable coverage, quality and sustainability: "&amp;K37&amp;"."&amp;CHAR(10)&amp;CHAR(10),"")&amp;IF(AND(D37&lt;4,'Start Here'!$B$8&gt;=4),"LEVEL 4 — Measure, review and continuously improve: "&amp;K37&amp;".","")))</f>
        <v/>
      </c>
      <c r="G37" s="51"/>
      <c r="H37" s="51"/>
      <c r="I37" s="51"/>
      <c r="J37" s="13" t="s">
        <v>105</v>
      </c>
      <c r="K37" s="14" t="s">
        <v>174</v>
      </c>
      <c r="L37" s="15">
        <f>IF(C37="",0,IF(D37&gt;='Start Here'!$B$8,0,(('Start Here'!$B$8-D37)*100000)+IF(I37="High",3000,IF(I37="Medium",2000,IF(I37="Low",1000,0)))+(100-ROW())))</f>
        <v>0</v>
      </c>
      <c r="M37" s="115" t="s">
        <v>327</v>
      </c>
    </row>
    <row r="38" spans="1:13" ht="92.1" customHeight="1">
      <c r="A38" s="13" t="s">
        <v>175</v>
      </c>
      <c r="B38" s="15" t="s">
        <v>176</v>
      </c>
      <c r="C38" s="80"/>
      <c r="D38" s="83" t="str">
        <f t="shared" si="3"/>
        <v/>
      </c>
      <c r="E38" s="14" t="str">
        <f>IF(C38="","",IF(D38&gt;='Start Here'!$B$8,"Target achieved — Level "&amp;D38&amp;" meets or exceeds target Level "&amp;'Start Here'!$B$8&amp;".","Current Level "&amp;D38&amp;" → Target Level "&amp;'Start Here'!$B$8&amp;" ("&amp;('Start Here'!$B$8-D38)&amp;" level(s) to close)."))</f>
        <v/>
      </c>
      <c r="F38" s="15" t="str">
        <f>IF(C38="","",IF(D38&gt;='Start Here'!$B$8,"Target achieved. Sustain current practice and review periodically.",IF(AND(D38&lt;1,'Start Here'!$B$8&gt;=1),"LEVEL 1 — Put in place: "&amp;K38&amp;"."&amp;CHAR(10)&amp;CHAR(10),"")&amp;IF(AND(D38&lt;2,'Start Here'!$B$8&gt;=2),"LEVEL 2 — Formalise and coordinate the arrangement so it produces consistent benefit: "&amp;K38&amp;"."&amp;CHAR(10)&amp;CHAR(10),"")&amp;IF(AND(D38&lt;3,'Start Here'!$B$8&gt;=3),"LEVEL 3 — Ensure reliable coverage, quality and sustainability: "&amp;K38&amp;"."&amp;CHAR(10)&amp;CHAR(10),"")&amp;IF(AND(D38&lt;4,'Start Here'!$B$8&gt;=4),"LEVEL 4 — Measure, review and continuously improve: "&amp;K38&amp;".","")))</f>
        <v/>
      </c>
      <c r="G38" s="51"/>
      <c r="H38" s="51"/>
      <c r="I38" s="51"/>
      <c r="J38" s="13" t="s">
        <v>93</v>
      </c>
      <c r="K38" s="14" t="s">
        <v>177</v>
      </c>
      <c r="L38" s="15">
        <f>IF(C38="",0,IF(D38&gt;='Start Here'!$B$8,0,(('Start Here'!$B$8-D38)*100000)+IF(I38="High",3000,IF(I38="Medium",2000,IF(I38="Low",1000,0)))+(100-ROW())))</f>
        <v>0</v>
      </c>
      <c r="M38" s="115" t="s">
        <v>327</v>
      </c>
    </row>
    <row r="39" spans="1:13" ht="49.5" customHeight="1">
      <c r="A39" s="16" t="s">
        <v>114</v>
      </c>
      <c r="B39" s="17" t="s">
        <v>115</v>
      </c>
      <c r="C39" s="18" t="str">
        <f>IF(COUNTIF($C$33:$C$38,"&lt;&gt;")=0,"",AVERAGE($D$33:$D$38))</f>
        <v/>
      </c>
      <c r="D39" s="50"/>
      <c r="E39" s="17" t="s">
        <v>116</v>
      </c>
      <c r="F39" s="17" t="str">
        <f>IF(COUNTIF($C$33:$C$38,"&lt;&gt;")=0,"Not assessed",IF(MAX($L$33:$L$38)=0,"Target achieved",INDEX($K$33:$K$38,MATCH(MAX($L$33:$L$38),$L$33:$L$38,0))))</f>
        <v>Not assessed</v>
      </c>
      <c r="G39" s="107" t="s">
        <v>117</v>
      </c>
      <c r="H39" s="107" t="str">
        <f>IF(COUNTIF($C$33:$C$38,"&lt;&gt;")=0,"Not assessed",COUNTIFS($C$33:$C$38,"&lt;&gt;",$D$33:$D$38,"&lt;"&amp;'Start Here'!$B$8)&amp;" of 6 questions below target. "&amp;IF(MAX($L$33:$L$38)=0,"Maintain current effectiveness.","Priority development focus: "&amp;F39&amp;"."))</f>
        <v>Not assessed</v>
      </c>
      <c r="I39" s="107"/>
    </row>
    <row r="40" spans="1:13">
      <c r="G40" s="104"/>
      <c r="H40" s="104"/>
      <c r="I40" s="104"/>
    </row>
    <row r="41" spans="1:13" ht="15.75">
      <c r="A41" s="122" t="s">
        <v>178</v>
      </c>
      <c r="B41" s="122"/>
      <c r="C41" s="122"/>
      <c r="D41" s="122"/>
      <c r="E41" s="122"/>
      <c r="F41" s="122"/>
      <c r="G41" s="122"/>
      <c r="H41" s="122"/>
      <c r="I41" s="122"/>
    </row>
    <row r="42" spans="1:13" ht="92.1" customHeight="1">
      <c r="A42" s="13" t="s">
        <v>179</v>
      </c>
      <c r="B42" s="15" t="s">
        <v>180</v>
      </c>
      <c r="C42" s="80"/>
      <c r="D42" s="83" t="str">
        <f t="shared" ref="D42:D47" si="4">IF(C42="","",VALUE(LEFT(C42,1)))</f>
        <v/>
      </c>
      <c r="E42" s="14" t="str">
        <f>IF(C42="","",IF(D42&gt;='Start Here'!$B$8,"Target achieved — Level "&amp;D42&amp;" meets or exceeds target Level "&amp;'Start Here'!$B$8&amp;".","Current Level "&amp;D42&amp;" → Target Level "&amp;'Start Here'!$B$8&amp;" ("&amp;('Start Here'!$B$8-D42)&amp;" level(s) to close)."))</f>
        <v/>
      </c>
      <c r="F42" s="15" t="str">
        <f>IF(C42="","",IF(D42&gt;='Start Here'!$B$8,"Target achieved. Sustain current practice and review periodically.",IF(AND(D42&lt;1,'Start Here'!$B$8&gt;=1),"LEVEL 1 — Put in place: "&amp;K42&amp;"."&amp;CHAR(10)&amp;CHAR(10),"")&amp;IF(AND(D42&lt;2,'Start Here'!$B$8&gt;=2),"LEVEL 2 — Formalise and coordinate the arrangement so it produces consistent benefit: "&amp;K42&amp;"."&amp;CHAR(10)&amp;CHAR(10),"")&amp;IF(AND(D42&lt;3,'Start Here'!$B$8&gt;=3),"LEVEL 3 — Ensure reliable coverage, quality and sustainability: "&amp;K42&amp;"."&amp;CHAR(10)&amp;CHAR(10),"")&amp;IF(AND(D42&lt;4,'Start Here'!$B$8&gt;=4),"LEVEL 4 — Measure, review and continuously improve: "&amp;K42&amp;".","")))</f>
        <v/>
      </c>
      <c r="G42" s="51"/>
      <c r="H42" s="51"/>
      <c r="I42" s="51"/>
      <c r="J42" s="13" t="s">
        <v>93</v>
      </c>
      <c r="K42" s="14" t="s">
        <v>181</v>
      </c>
      <c r="L42" s="15">
        <f>IF(C42="",0,IF(D42&gt;='Start Here'!$B$8,0,(('Start Here'!$B$8-D42)*100000)+IF(I42="High",3000,IF(I42="Medium",2000,IF(I42="Low",1000,0)))+(100-ROW())))</f>
        <v>0</v>
      </c>
      <c r="M42" s="115" t="s">
        <v>327</v>
      </c>
    </row>
    <row r="43" spans="1:13" ht="92.1" customHeight="1">
      <c r="A43" s="13" t="s">
        <v>182</v>
      </c>
      <c r="B43" s="15" t="s">
        <v>183</v>
      </c>
      <c r="C43" s="80"/>
      <c r="D43" s="83" t="str">
        <f t="shared" si="4"/>
        <v/>
      </c>
      <c r="E43" s="14" t="str">
        <f>IF(C43="","",IF(D43&gt;='Start Here'!$B$8,"Target achieved — Level "&amp;D43&amp;" meets or exceeds target Level "&amp;'Start Here'!$B$8&amp;".","Current Level "&amp;D43&amp;" → Target Level "&amp;'Start Here'!$B$8&amp;" ("&amp;('Start Here'!$B$8-D43)&amp;" level(s) to close)."))</f>
        <v/>
      </c>
      <c r="F43" s="15" t="str">
        <f>IF(C43="","",IF(D43&gt;='Start Here'!$B$8,"Target achieved. Sustain current practice and review periodically.",IF(AND(D43&lt;1,'Start Here'!$B$8&gt;=1),"LEVEL 1 — Put in place: "&amp;K43&amp;"."&amp;CHAR(10)&amp;CHAR(10),"")&amp;IF(AND(D43&lt;2,'Start Here'!$B$8&gt;=2),"LEVEL 2 — Formalise and coordinate the arrangement so it produces consistent benefit: "&amp;K43&amp;"."&amp;CHAR(10)&amp;CHAR(10),"")&amp;IF(AND(D43&lt;3,'Start Here'!$B$8&gt;=3),"LEVEL 3 — Ensure reliable coverage, quality and sustainability: "&amp;K43&amp;"."&amp;CHAR(10)&amp;CHAR(10),"")&amp;IF(AND(D43&lt;4,'Start Here'!$B$8&gt;=4),"LEVEL 4 — Measure, review and continuously improve: "&amp;K43&amp;".","")))</f>
        <v/>
      </c>
      <c r="G43" s="51"/>
      <c r="H43" s="51"/>
      <c r="I43" s="51"/>
      <c r="J43" s="13" t="s">
        <v>97</v>
      </c>
      <c r="K43" s="14" t="s">
        <v>184</v>
      </c>
      <c r="L43" s="15">
        <f>IF(C43="",0,IF(D43&gt;='Start Here'!$B$8,0,(('Start Here'!$B$8-D43)*100000)+IF(I43="High",3000,IF(I43="Medium",2000,IF(I43="Low",1000,0)))+(100-ROW())))</f>
        <v>0</v>
      </c>
      <c r="M43" s="115" t="s">
        <v>327</v>
      </c>
    </row>
    <row r="44" spans="1:13" ht="92.1" customHeight="1">
      <c r="A44" s="13" t="s">
        <v>185</v>
      </c>
      <c r="B44" s="15" t="s">
        <v>186</v>
      </c>
      <c r="C44" s="80"/>
      <c r="D44" s="83" t="str">
        <f t="shared" si="4"/>
        <v/>
      </c>
      <c r="E44" s="14" t="str">
        <f>IF(C44="","",IF(D44&gt;='Start Here'!$B$8,"Target achieved — Level "&amp;D44&amp;" meets or exceeds target Level "&amp;'Start Here'!$B$8&amp;".","Current Level "&amp;D44&amp;" → Target Level "&amp;'Start Here'!$B$8&amp;" ("&amp;('Start Here'!$B$8-D44)&amp;" level(s) to close)."))</f>
        <v/>
      </c>
      <c r="F44" s="15" t="str">
        <f>IF(C44="","",IF(D44&gt;='Start Here'!$B$8,"Target achieved. Sustain current practice and review periodically.",IF(AND(D44&lt;1,'Start Here'!$B$8&gt;=1),"LEVEL 1 — Put in place: "&amp;K44&amp;"."&amp;CHAR(10)&amp;CHAR(10),"")&amp;IF(AND(D44&lt;2,'Start Here'!$B$8&gt;=2),"LEVEL 2 — Formalise and coordinate the arrangement so it produces consistent benefit: "&amp;K44&amp;"."&amp;CHAR(10)&amp;CHAR(10),"")&amp;IF(AND(D44&lt;3,'Start Here'!$B$8&gt;=3),"LEVEL 3 — Ensure reliable coverage, quality and sustainability: "&amp;K44&amp;"."&amp;CHAR(10)&amp;CHAR(10),"")&amp;IF(AND(D44&lt;4,'Start Here'!$B$8&gt;=4),"LEVEL 4 — Measure, review and continuously improve: "&amp;K44&amp;".","")))</f>
        <v/>
      </c>
      <c r="G44" s="51"/>
      <c r="H44" s="51"/>
      <c r="I44" s="51"/>
      <c r="J44" s="13" t="s">
        <v>93</v>
      </c>
      <c r="K44" s="14" t="s">
        <v>187</v>
      </c>
      <c r="L44" s="15">
        <f>IF(C44="",0,IF(D44&gt;='Start Here'!$B$8,0,(('Start Here'!$B$8-D44)*100000)+IF(I44="High",3000,IF(I44="Medium",2000,IF(I44="Low",1000,0)))+(100-ROW())))</f>
        <v>0</v>
      </c>
      <c r="M44" s="115" t="s">
        <v>327</v>
      </c>
    </row>
    <row r="45" spans="1:13" ht="92.1" customHeight="1">
      <c r="A45" s="13" t="s">
        <v>188</v>
      </c>
      <c r="B45" s="15" t="s">
        <v>189</v>
      </c>
      <c r="C45" s="80"/>
      <c r="D45" s="83" t="str">
        <f t="shared" si="4"/>
        <v/>
      </c>
      <c r="E45" s="14" t="str">
        <f>IF(C45="","",IF(D45&gt;='Start Here'!$B$8,"Target achieved — Level "&amp;D45&amp;" meets or exceeds target Level "&amp;'Start Here'!$B$8&amp;".","Current Level "&amp;D45&amp;" → Target Level "&amp;'Start Here'!$B$8&amp;" ("&amp;('Start Here'!$B$8-D45)&amp;" level(s) to close)."))</f>
        <v/>
      </c>
      <c r="F45" s="15" t="str">
        <f>IF(C45="","",IF(D45&gt;='Start Here'!$B$8,"Target achieved. Sustain current practice and review periodically.",IF(AND(D45&lt;1,'Start Here'!$B$8&gt;=1),"LEVEL 1 — Put in place: "&amp;K45&amp;"."&amp;CHAR(10)&amp;CHAR(10),"")&amp;IF(AND(D45&lt;2,'Start Here'!$B$8&gt;=2),"LEVEL 2 — Formalise and coordinate the arrangement so it produces consistent benefit: "&amp;K45&amp;"."&amp;CHAR(10)&amp;CHAR(10),"")&amp;IF(AND(D45&lt;3,'Start Here'!$B$8&gt;=3),"LEVEL 3 — Ensure reliable coverage, quality and sustainability: "&amp;K45&amp;"."&amp;CHAR(10)&amp;CHAR(10),"")&amp;IF(AND(D45&lt;4,'Start Here'!$B$8&gt;=4),"LEVEL 4 — Measure, review and continuously improve: "&amp;K45&amp;".","")))</f>
        <v/>
      </c>
      <c r="G45" s="51"/>
      <c r="H45" s="51"/>
      <c r="I45" s="51"/>
      <c r="J45" s="13" t="s">
        <v>145</v>
      </c>
      <c r="K45" s="14" t="s">
        <v>190</v>
      </c>
      <c r="L45" s="15">
        <f>IF(C45="",0,IF(D45&gt;='Start Here'!$B$8,0,(('Start Here'!$B$8-D45)*100000)+IF(I45="High",3000,IF(I45="Medium",2000,IF(I45="Low",1000,0)))+(100-ROW())))</f>
        <v>0</v>
      </c>
      <c r="M45" s="115" t="s">
        <v>327</v>
      </c>
    </row>
    <row r="46" spans="1:13" ht="92.1" customHeight="1">
      <c r="A46" s="13" t="s">
        <v>191</v>
      </c>
      <c r="B46" s="15" t="s">
        <v>192</v>
      </c>
      <c r="C46" s="80"/>
      <c r="D46" s="83" t="str">
        <f t="shared" si="4"/>
        <v/>
      </c>
      <c r="E46" s="14" t="str">
        <f>IF(C46="","",IF(D46&gt;='Start Here'!$B$8,"Target achieved — Level "&amp;D46&amp;" meets or exceeds target Level "&amp;'Start Here'!$B$8&amp;".","Current Level "&amp;D46&amp;" → Target Level "&amp;'Start Here'!$B$8&amp;" ("&amp;('Start Here'!$B$8-D46)&amp;" level(s) to close)."))</f>
        <v/>
      </c>
      <c r="F46" s="15" t="str">
        <f>IF(C46="","",IF(D46&gt;='Start Here'!$B$8,"Target achieved. Sustain current practice and review periodically.",IF(AND(D46&lt;1,'Start Here'!$B$8&gt;=1),"LEVEL 1 — Put in place: "&amp;K46&amp;"."&amp;CHAR(10)&amp;CHAR(10),"")&amp;IF(AND(D46&lt;2,'Start Here'!$B$8&gt;=2),"LEVEL 2 — Formalise and coordinate the arrangement so it produces consistent benefit: "&amp;K46&amp;"."&amp;CHAR(10)&amp;CHAR(10),"")&amp;IF(AND(D46&lt;3,'Start Here'!$B$8&gt;=3),"LEVEL 3 — Ensure reliable coverage, quality and sustainability: "&amp;K46&amp;"."&amp;CHAR(10)&amp;CHAR(10),"")&amp;IF(AND(D46&lt;4,'Start Here'!$B$8&gt;=4),"LEVEL 4 — Measure, review and continuously improve: "&amp;K46&amp;".","")))</f>
        <v/>
      </c>
      <c r="G46" s="51"/>
      <c r="H46" s="51"/>
      <c r="I46" s="51"/>
      <c r="J46" s="13" t="s">
        <v>105</v>
      </c>
      <c r="K46" s="14" t="s">
        <v>193</v>
      </c>
      <c r="L46" s="15">
        <f>IF(C46="",0,IF(D46&gt;='Start Here'!$B$8,0,(('Start Here'!$B$8-D46)*100000)+IF(I46="High",3000,IF(I46="Medium",2000,IF(I46="Low",1000,0)))+(100-ROW())))</f>
        <v>0</v>
      </c>
      <c r="M46" s="115" t="s">
        <v>327</v>
      </c>
    </row>
    <row r="47" spans="1:13" ht="92.1" customHeight="1">
      <c r="A47" s="13" t="s">
        <v>194</v>
      </c>
      <c r="B47" s="15" t="s">
        <v>195</v>
      </c>
      <c r="C47" s="80"/>
      <c r="D47" s="83" t="str">
        <f t="shared" si="4"/>
        <v/>
      </c>
      <c r="E47" s="14" t="str">
        <f>IF(C47="","",IF(D47&gt;='Start Here'!$B$8,"Target achieved — Level "&amp;D47&amp;" meets or exceeds target Level "&amp;'Start Here'!$B$8&amp;".","Current Level "&amp;D47&amp;" → Target Level "&amp;'Start Here'!$B$8&amp;" ("&amp;('Start Here'!$B$8-D47)&amp;" level(s) to close)."))</f>
        <v/>
      </c>
      <c r="F47" s="15" t="str">
        <f>IF(C47="","",IF(D47&gt;='Start Here'!$B$8,"Target achieved. Sustain current practice and review periodically.",IF(AND(D47&lt;1,'Start Here'!$B$8&gt;=1),"LEVEL 1 — Put in place: "&amp;K47&amp;"."&amp;CHAR(10)&amp;CHAR(10),"")&amp;IF(AND(D47&lt;2,'Start Here'!$B$8&gt;=2),"LEVEL 2 — Formalise and coordinate the arrangement so it produces consistent benefit: "&amp;K47&amp;"."&amp;CHAR(10)&amp;CHAR(10),"")&amp;IF(AND(D47&lt;3,'Start Here'!$B$8&gt;=3),"LEVEL 3 — Ensure reliable coverage, quality and sustainability: "&amp;K47&amp;"."&amp;CHAR(10)&amp;CHAR(10),"")&amp;IF(AND(D47&lt;4,'Start Here'!$B$8&gt;=4),"LEVEL 4 — Measure, review and continuously improve: "&amp;K47&amp;".","")))</f>
        <v/>
      </c>
      <c r="G47" s="51"/>
      <c r="H47" s="51"/>
      <c r="I47" s="51"/>
      <c r="J47" s="13" t="s">
        <v>133</v>
      </c>
      <c r="K47" s="14" t="s">
        <v>196</v>
      </c>
      <c r="L47" s="15">
        <f>IF(C47="",0,IF(D47&gt;='Start Here'!$B$8,0,(('Start Here'!$B$8-D47)*100000)+IF(I47="High",3000,IF(I47="Medium",2000,IF(I47="Low",1000,0)))+(100-ROW())))</f>
        <v>0</v>
      </c>
      <c r="M47" s="115" t="s">
        <v>327</v>
      </c>
    </row>
    <row r="48" spans="1:13" ht="51" customHeight="1">
      <c r="A48" s="16" t="s">
        <v>114</v>
      </c>
      <c r="B48" s="17" t="s">
        <v>115</v>
      </c>
      <c r="C48" s="18" t="str">
        <f>IF(COUNTIF($C$42:$C$47,"&lt;&gt;")=0,"",AVERAGE($D$42:$D$47))</f>
        <v/>
      </c>
      <c r="D48" s="50"/>
      <c r="E48" s="17" t="s">
        <v>116</v>
      </c>
      <c r="F48" s="17" t="str">
        <f>IF(COUNTIF($C$42:$C$47,"&lt;&gt;")=0,"Not assessed",IF(MAX($L$42:$L$47)=0,"Target achieved",INDEX($K$42:$K$47,MATCH(MAX($L$42:$L$47),$L$42:$L$47,0))))</f>
        <v>Not assessed</v>
      </c>
      <c r="G48" s="107" t="s">
        <v>117</v>
      </c>
      <c r="H48" s="107" t="str">
        <f>IF(COUNTIF($C$42:$C$47,"&lt;&gt;")=0,"Not assessed",COUNTIFS($C$42:$C$47,"&lt;&gt;",$D$42:$D$47,"&lt;"&amp;'Start Here'!$B$8)&amp;" of 6 questions below target. "&amp;IF(MAX($L$42:$L$47)=0,"Maintain current effectiveness.","Priority development focus: "&amp;F48&amp;"."))</f>
        <v>Not assessed</v>
      </c>
      <c r="I48" s="107"/>
    </row>
    <row r="49" spans="1:13">
      <c r="G49" s="104"/>
      <c r="H49" s="104"/>
      <c r="I49" s="104"/>
    </row>
    <row r="50" spans="1:13" ht="15.75">
      <c r="A50" s="122" t="s">
        <v>197</v>
      </c>
      <c r="B50" s="122"/>
      <c r="C50" s="122"/>
      <c r="D50" s="122"/>
      <c r="E50" s="122"/>
      <c r="F50" s="122"/>
      <c r="G50" s="122"/>
      <c r="H50" s="122"/>
      <c r="I50" s="122"/>
    </row>
    <row r="51" spans="1:13" ht="92.1" customHeight="1">
      <c r="A51" s="13" t="s">
        <v>198</v>
      </c>
      <c r="B51" s="15" t="s">
        <v>199</v>
      </c>
      <c r="C51" s="80"/>
      <c r="D51" s="83" t="str">
        <f t="shared" ref="D51:D56" si="5">IF(C51="","",VALUE(LEFT(C51,1)))</f>
        <v/>
      </c>
      <c r="E51" s="14" t="str">
        <f>IF(C51="","",IF(D51&gt;='Start Here'!$B$8,"Target achieved — Level "&amp;D51&amp;" meets or exceeds target Level "&amp;'Start Here'!$B$8&amp;".","Current Level "&amp;D51&amp;" → Target Level "&amp;'Start Here'!$B$8&amp;" ("&amp;('Start Here'!$B$8-D51)&amp;" level(s) to close)."))</f>
        <v/>
      </c>
      <c r="F51" s="15" t="str">
        <f>IF(C51="","",IF(D51&gt;='Start Here'!$B$8,"Target achieved. Sustain current practice and review periodically.",IF(AND(D51&lt;1,'Start Here'!$B$8&gt;=1),"LEVEL 1 — Put in place: "&amp;K51&amp;"."&amp;CHAR(10)&amp;CHAR(10),"")&amp;IF(AND(D51&lt;2,'Start Here'!$B$8&gt;=2),"LEVEL 2 — Formalise and coordinate the arrangement so it produces consistent benefit: "&amp;K51&amp;"."&amp;CHAR(10)&amp;CHAR(10),"")&amp;IF(AND(D51&lt;3,'Start Here'!$B$8&gt;=3),"LEVEL 3 — Ensure reliable coverage, quality and sustainability: "&amp;K51&amp;"."&amp;CHAR(10)&amp;CHAR(10),"")&amp;IF(AND(D51&lt;4,'Start Here'!$B$8&gt;=4),"LEVEL 4 — Measure, review and continuously improve: "&amp;K51&amp;".","")))</f>
        <v/>
      </c>
      <c r="G51" s="51"/>
      <c r="H51" s="51"/>
      <c r="I51" s="51"/>
      <c r="J51" s="13" t="s">
        <v>141</v>
      </c>
      <c r="K51" s="14" t="s">
        <v>200</v>
      </c>
      <c r="L51" s="15">
        <f>IF(C51="",0,IF(D51&gt;='Start Here'!$B$8,0,(('Start Here'!$B$8-D51)*100000)+IF(I51="High",3000,IF(I51="Medium",2000,IF(I51="Low",1000,0)))+(100-ROW())))</f>
        <v>0</v>
      </c>
      <c r="M51" s="115" t="s">
        <v>327</v>
      </c>
    </row>
    <row r="52" spans="1:13" ht="92.1" customHeight="1">
      <c r="A52" s="13" t="s">
        <v>201</v>
      </c>
      <c r="B52" s="15" t="s">
        <v>202</v>
      </c>
      <c r="C52" s="80"/>
      <c r="D52" s="83" t="str">
        <f t="shared" si="5"/>
        <v/>
      </c>
      <c r="E52" s="14" t="str">
        <f>IF(C52="","",IF(D52&gt;='Start Here'!$B$8,"Target achieved — Level "&amp;D52&amp;" meets or exceeds target Level "&amp;'Start Here'!$B$8&amp;".","Current Level "&amp;D52&amp;" → Target Level "&amp;'Start Here'!$B$8&amp;" ("&amp;('Start Here'!$B$8-D52)&amp;" level(s) to close)."))</f>
        <v/>
      </c>
      <c r="F52" s="15" t="str">
        <f>IF(C52="","",IF(D52&gt;='Start Here'!$B$8,"Target achieved. Sustain current practice and review periodically.",IF(AND(D52&lt;1,'Start Here'!$B$8&gt;=1),"LEVEL 1 — Put in place: "&amp;K52&amp;"."&amp;CHAR(10)&amp;CHAR(10),"")&amp;IF(AND(D52&lt;2,'Start Here'!$B$8&gt;=2),"LEVEL 2 — Formalise and coordinate the arrangement so it produces consistent benefit: "&amp;K52&amp;"."&amp;CHAR(10)&amp;CHAR(10),"")&amp;IF(AND(D52&lt;3,'Start Here'!$B$8&gt;=3),"LEVEL 3 — Ensure reliable coverage, quality and sustainability: "&amp;K52&amp;"."&amp;CHAR(10)&amp;CHAR(10),"")&amp;IF(AND(D52&lt;4,'Start Here'!$B$8&gt;=4),"LEVEL 4 — Measure, review and continuously improve: "&amp;K52&amp;".","")))</f>
        <v/>
      </c>
      <c r="G52" s="51"/>
      <c r="H52" s="51"/>
      <c r="I52" s="51"/>
      <c r="J52" s="13" t="s">
        <v>109</v>
      </c>
      <c r="K52" s="14" t="s">
        <v>203</v>
      </c>
      <c r="L52" s="15">
        <f>IF(C52="",0,IF(D52&gt;='Start Here'!$B$8,0,(('Start Here'!$B$8-D52)*100000)+IF(I52="High",3000,IF(I52="Medium",2000,IF(I52="Low",1000,0)))+(100-ROW())))</f>
        <v>0</v>
      </c>
      <c r="M52" s="115" t="s">
        <v>327</v>
      </c>
    </row>
    <row r="53" spans="1:13" ht="92.1" customHeight="1">
      <c r="A53" s="13" t="s">
        <v>204</v>
      </c>
      <c r="B53" s="15" t="s">
        <v>205</v>
      </c>
      <c r="C53" s="80"/>
      <c r="D53" s="83" t="str">
        <f t="shared" si="5"/>
        <v/>
      </c>
      <c r="E53" s="14" t="str">
        <f>IF(C53="","",IF(D53&gt;='Start Here'!$B$8,"Target achieved — Level "&amp;D53&amp;" meets or exceeds target Level "&amp;'Start Here'!$B$8&amp;".","Current Level "&amp;D53&amp;" → Target Level "&amp;'Start Here'!$B$8&amp;" ("&amp;('Start Here'!$B$8-D53)&amp;" level(s) to close)."))</f>
        <v/>
      </c>
      <c r="F53" s="15" t="str">
        <f>IF(C53="","",IF(D53&gt;='Start Here'!$B$8,"Target achieved. Sustain current practice and review periodically.",IF(AND(D53&lt;1,'Start Here'!$B$8&gt;=1),"LEVEL 1 — Put in place: "&amp;K53&amp;"."&amp;CHAR(10)&amp;CHAR(10),"")&amp;IF(AND(D53&lt;2,'Start Here'!$B$8&gt;=2),"LEVEL 2 — Formalise and coordinate the arrangement so it produces consistent benefit: "&amp;K53&amp;"."&amp;CHAR(10)&amp;CHAR(10),"")&amp;IF(AND(D53&lt;3,'Start Here'!$B$8&gt;=3),"LEVEL 3 — Ensure reliable coverage, quality and sustainability: "&amp;K53&amp;"."&amp;CHAR(10)&amp;CHAR(10),"")&amp;IF(AND(D53&lt;4,'Start Here'!$B$8&gt;=4),"LEVEL 4 — Measure, review and continuously improve: "&amp;K53&amp;".","")))</f>
        <v/>
      </c>
      <c r="G53" s="51"/>
      <c r="H53" s="51"/>
      <c r="I53" s="51"/>
      <c r="J53" s="13" t="s">
        <v>141</v>
      </c>
      <c r="K53" s="14" t="s">
        <v>206</v>
      </c>
      <c r="L53" s="15">
        <f>IF(C53="",0,IF(D53&gt;='Start Here'!$B$8,0,(('Start Here'!$B$8-D53)*100000)+IF(I53="High",3000,IF(I53="Medium",2000,IF(I53="Low",1000,0)))+(100-ROW())))</f>
        <v>0</v>
      </c>
      <c r="M53" s="115" t="s">
        <v>327</v>
      </c>
    </row>
    <row r="54" spans="1:13" ht="92.1" customHeight="1">
      <c r="A54" s="13" t="s">
        <v>207</v>
      </c>
      <c r="B54" s="15" t="s">
        <v>208</v>
      </c>
      <c r="C54" s="80"/>
      <c r="D54" s="83" t="str">
        <f t="shared" si="5"/>
        <v/>
      </c>
      <c r="E54" s="14" t="str">
        <f>IF(C54="","",IF(D54&gt;='Start Here'!$B$8,"Target achieved — Level "&amp;D54&amp;" meets or exceeds target Level "&amp;'Start Here'!$B$8&amp;".","Current Level "&amp;D54&amp;" → Target Level "&amp;'Start Here'!$B$8&amp;" ("&amp;('Start Here'!$B$8-D54)&amp;" level(s) to close)."))</f>
        <v/>
      </c>
      <c r="F54" s="15" t="str">
        <f>IF(C54="","",IF(D54&gt;='Start Here'!$B$8,"Target achieved. Sustain current practice and review periodically.",IF(AND(D54&lt;1,'Start Here'!$B$8&gt;=1),"LEVEL 1 — Put in place: "&amp;K54&amp;"."&amp;CHAR(10)&amp;CHAR(10),"")&amp;IF(AND(D54&lt;2,'Start Here'!$B$8&gt;=2),"LEVEL 2 — Formalise and coordinate the arrangement so it produces consistent benefit: "&amp;K54&amp;"."&amp;CHAR(10)&amp;CHAR(10),"")&amp;IF(AND(D54&lt;3,'Start Here'!$B$8&gt;=3),"LEVEL 3 — Ensure reliable coverage, quality and sustainability: "&amp;K54&amp;"."&amp;CHAR(10)&amp;CHAR(10),"")&amp;IF(AND(D54&lt;4,'Start Here'!$B$8&gt;=4),"LEVEL 4 — Measure, review and continuously improve: "&amp;K54&amp;".","")))</f>
        <v/>
      </c>
      <c r="G54" s="51"/>
      <c r="H54" s="51"/>
      <c r="I54" s="51"/>
      <c r="J54" s="13" t="s">
        <v>93</v>
      </c>
      <c r="K54" s="14" t="s">
        <v>209</v>
      </c>
      <c r="L54" s="15">
        <f>IF(C54="",0,IF(D54&gt;='Start Here'!$B$8,0,(('Start Here'!$B$8-D54)*100000)+IF(I54="High",3000,IF(I54="Medium",2000,IF(I54="Low",1000,0)))+(100-ROW())))</f>
        <v>0</v>
      </c>
      <c r="M54" s="115" t="s">
        <v>327</v>
      </c>
    </row>
    <row r="55" spans="1:13" ht="92.1" customHeight="1">
      <c r="A55" s="13" t="s">
        <v>210</v>
      </c>
      <c r="B55" s="15" t="s">
        <v>211</v>
      </c>
      <c r="C55" s="80"/>
      <c r="D55" s="83" t="str">
        <f t="shared" si="5"/>
        <v/>
      </c>
      <c r="E55" s="14" t="str">
        <f>IF(C55="","",IF(D55&gt;='Start Here'!$B$8,"Target achieved — Level "&amp;D55&amp;" meets or exceeds target Level "&amp;'Start Here'!$B$8&amp;".","Current Level "&amp;D55&amp;" → Target Level "&amp;'Start Here'!$B$8&amp;" ("&amp;('Start Here'!$B$8-D55)&amp;" level(s) to close)."))</f>
        <v/>
      </c>
      <c r="F55" s="15" t="str">
        <f>IF(C55="","",IF(D55&gt;='Start Here'!$B$8,"Target achieved. Sustain current practice and review periodically.",IF(AND(D55&lt;1,'Start Here'!$B$8&gt;=1),"LEVEL 1 — Put in place: "&amp;K55&amp;"."&amp;CHAR(10)&amp;CHAR(10),"")&amp;IF(AND(D55&lt;2,'Start Here'!$B$8&gt;=2),"LEVEL 2 — Formalise and coordinate the arrangement so it produces consistent benefit: "&amp;K55&amp;"."&amp;CHAR(10)&amp;CHAR(10),"")&amp;IF(AND(D55&lt;3,'Start Here'!$B$8&gt;=3),"LEVEL 3 — Ensure reliable coverage, quality and sustainability: "&amp;K55&amp;"."&amp;CHAR(10)&amp;CHAR(10),"")&amp;IF(AND(D55&lt;4,'Start Here'!$B$8&gt;=4),"LEVEL 4 — Measure, review and continuously improve: "&amp;K55&amp;".","")))</f>
        <v/>
      </c>
      <c r="G55" s="51"/>
      <c r="H55" s="51"/>
      <c r="I55" s="51"/>
      <c r="J55" s="13" t="s">
        <v>93</v>
      </c>
      <c r="K55" s="14" t="s">
        <v>212</v>
      </c>
      <c r="L55" s="15">
        <f>IF(C55="",0,IF(D55&gt;='Start Here'!$B$8,0,(('Start Here'!$B$8-D55)*100000)+IF(I55="High",3000,IF(I55="Medium",2000,IF(I55="Low",1000,0)))+(100-ROW())))</f>
        <v>0</v>
      </c>
      <c r="M55" s="115" t="s">
        <v>327</v>
      </c>
    </row>
    <row r="56" spans="1:13" ht="92.1" customHeight="1">
      <c r="A56" s="13" t="s">
        <v>213</v>
      </c>
      <c r="B56" s="15" t="s">
        <v>214</v>
      </c>
      <c r="C56" s="80"/>
      <c r="D56" s="83" t="str">
        <f t="shared" si="5"/>
        <v/>
      </c>
      <c r="E56" s="14" t="str">
        <f>IF(C56="","",IF(D56&gt;='Start Here'!$B$8,"Target achieved — Level "&amp;D56&amp;" meets or exceeds target Level "&amp;'Start Here'!$B$8&amp;".","Current Level "&amp;D56&amp;" → Target Level "&amp;'Start Here'!$B$8&amp;" ("&amp;('Start Here'!$B$8-D56)&amp;" level(s) to close)."))</f>
        <v/>
      </c>
      <c r="F56" s="15" t="str">
        <f>IF(C56="","",IF(D56&gt;='Start Here'!$B$8,"Target achieved. Sustain current practice and review periodically.",IF(AND(D56&lt;1,'Start Here'!$B$8&gt;=1),"LEVEL 1 — Put in place: "&amp;K56&amp;"."&amp;CHAR(10)&amp;CHAR(10),"")&amp;IF(AND(D56&lt;2,'Start Here'!$B$8&gt;=2),"LEVEL 2 — Formalise and coordinate the arrangement so it produces consistent benefit: "&amp;K56&amp;"."&amp;CHAR(10)&amp;CHAR(10),"")&amp;IF(AND(D56&lt;3,'Start Here'!$B$8&gt;=3),"LEVEL 3 — Ensure reliable coverage, quality and sustainability: "&amp;K56&amp;"."&amp;CHAR(10)&amp;CHAR(10),"")&amp;IF(AND(D56&lt;4,'Start Here'!$B$8&gt;=4),"LEVEL 4 — Measure, review and continuously improve: "&amp;K56&amp;".","")))</f>
        <v/>
      </c>
      <c r="G56" s="51"/>
      <c r="H56" s="51"/>
      <c r="I56" s="51"/>
      <c r="J56" s="13" t="s">
        <v>105</v>
      </c>
      <c r="K56" s="14" t="s">
        <v>215</v>
      </c>
      <c r="L56" s="15">
        <f>IF(C56="",0,IF(D56&gt;='Start Here'!$B$8,0,(('Start Here'!$B$8-D56)*100000)+IF(I56="High",3000,IF(I56="Medium",2000,IF(I56="Low",1000,0)))+(100-ROW())))</f>
        <v>0</v>
      </c>
      <c r="M56" s="115" t="s">
        <v>327</v>
      </c>
    </row>
    <row r="57" spans="1:13" ht="52.5" customHeight="1">
      <c r="A57" s="16" t="s">
        <v>114</v>
      </c>
      <c r="B57" s="17" t="s">
        <v>115</v>
      </c>
      <c r="C57" s="18" t="str">
        <f>IF(COUNTIF($C$51:$C$56,"&lt;&gt;")=0,"",AVERAGE($D$51:$D$56))</f>
        <v/>
      </c>
      <c r="D57" s="50"/>
      <c r="E57" s="17" t="s">
        <v>116</v>
      </c>
      <c r="F57" s="17" t="str">
        <f>IF(COUNTIF($C$51:$C$56,"&lt;&gt;")=0,"Not assessed",IF(MAX($L$51:$L$56)=0,"Target achieved",INDEX($K$51:$K$56,MATCH(MAX($L$51:$L$56),$L$51:$L$56,0))))</f>
        <v>Not assessed</v>
      </c>
      <c r="G57" s="107" t="s">
        <v>117</v>
      </c>
      <c r="H57" s="107" t="str">
        <f>IF(COUNTIF($C$51:$C$56,"&lt;&gt;")=0,"Not assessed",COUNTIFS($C$51:$C$56,"&lt;&gt;",$D$51:$D$56,"&lt;"&amp;'Start Here'!$B$8)&amp;" of 6 questions below target. "&amp;IF(MAX($L$51:$L$56)=0,"Maintain current effectiveness.","Priority development focus: "&amp;F57&amp;"."))</f>
        <v>Not assessed</v>
      </c>
      <c r="I57" s="107"/>
    </row>
    <row r="58" spans="1:13">
      <c r="G58" s="104"/>
      <c r="H58" s="104"/>
      <c r="I58" s="104"/>
    </row>
    <row r="59" spans="1:13" ht="15.75">
      <c r="A59" s="122" t="s">
        <v>216</v>
      </c>
      <c r="B59" s="122"/>
      <c r="C59" s="122"/>
      <c r="D59" s="122"/>
      <c r="E59" s="122"/>
      <c r="F59" s="122"/>
      <c r="G59" s="122"/>
      <c r="H59" s="122"/>
      <c r="I59" s="122"/>
    </row>
    <row r="60" spans="1:13" ht="92.1" customHeight="1">
      <c r="A60" s="13" t="s">
        <v>217</v>
      </c>
      <c r="B60" s="15" t="s">
        <v>218</v>
      </c>
      <c r="C60" s="80"/>
      <c r="D60" s="83" t="str">
        <f t="shared" ref="D60:D65" si="6">IF(C60="","",VALUE(LEFT(C60,1)))</f>
        <v/>
      </c>
      <c r="E60" s="14" t="str">
        <f>IF(C60="","",IF(D60&gt;='Start Here'!$B$8,"Target achieved — Level "&amp;D60&amp;" meets or exceeds target Level "&amp;'Start Here'!$B$8&amp;".","Current Level "&amp;D60&amp;" → Target Level "&amp;'Start Here'!$B$8&amp;" ("&amp;('Start Here'!$B$8-D60)&amp;" level(s) to close)."))</f>
        <v/>
      </c>
      <c r="F60" s="15" t="str">
        <f>IF(C60="","",IF(D60&gt;='Start Here'!$B$8,"Target achieved. Sustain current practice and review periodically.",IF(AND(D60&lt;1,'Start Here'!$B$8&gt;=1),"LEVEL 1 — Put in place: "&amp;K60&amp;"."&amp;CHAR(10)&amp;CHAR(10),"")&amp;IF(AND(D60&lt;2,'Start Here'!$B$8&gt;=2),"LEVEL 2 — Formalise and coordinate the arrangement so it produces consistent benefit: "&amp;K60&amp;"."&amp;CHAR(10)&amp;CHAR(10),"")&amp;IF(AND(D60&lt;3,'Start Here'!$B$8&gt;=3),"LEVEL 3 — Ensure reliable coverage, quality and sustainability: "&amp;K60&amp;"."&amp;CHAR(10)&amp;CHAR(10),"")&amp;IF(AND(D60&lt;4,'Start Here'!$B$8&gt;=4),"LEVEL 4 — Measure, review and continuously improve: "&amp;K60&amp;".","")))</f>
        <v/>
      </c>
      <c r="G60" s="51"/>
      <c r="H60" s="51"/>
      <c r="I60" s="51"/>
      <c r="J60" s="13" t="s">
        <v>141</v>
      </c>
      <c r="K60" s="14" t="s">
        <v>219</v>
      </c>
      <c r="L60" s="15">
        <f>IF(C60="",0,IF(D60&gt;='Start Here'!$B$8,0,(('Start Here'!$B$8-D60)*100000)+IF(I60="High",3000,IF(I60="Medium",2000,IF(I60="Low",1000,0)))+(100-ROW())))</f>
        <v>0</v>
      </c>
      <c r="M60" s="115" t="s">
        <v>327</v>
      </c>
    </row>
    <row r="61" spans="1:13" ht="92.1" customHeight="1">
      <c r="A61" s="13" t="s">
        <v>220</v>
      </c>
      <c r="B61" s="15" t="s">
        <v>221</v>
      </c>
      <c r="C61" s="80"/>
      <c r="D61" s="83" t="str">
        <f t="shared" si="6"/>
        <v/>
      </c>
      <c r="E61" s="14" t="str">
        <f>IF(C61="","",IF(D61&gt;='Start Here'!$B$8,"Target achieved — Level "&amp;D61&amp;" meets or exceeds target Level "&amp;'Start Here'!$B$8&amp;".","Current Level "&amp;D61&amp;" → Target Level "&amp;'Start Here'!$B$8&amp;" ("&amp;('Start Here'!$B$8-D61)&amp;" level(s) to close)."))</f>
        <v/>
      </c>
      <c r="F61" s="15" t="str">
        <f>IF(C61="","",IF(D61&gt;='Start Here'!$B$8,"Target achieved. Sustain current practice and review periodically.",IF(AND(D61&lt;1,'Start Here'!$B$8&gt;=1),"LEVEL 1 — Put in place: "&amp;K61&amp;"."&amp;CHAR(10)&amp;CHAR(10),"")&amp;IF(AND(D61&lt;2,'Start Here'!$B$8&gt;=2),"LEVEL 2 — Formalise and coordinate the arrangement so it produces consistent benefit: "&amp;K61&amp;"."&amp;CHAR(10)&amp;CHAR(10),"")&amp;IF(AND(D61&lt;3,'Start Here'!$B$8&gt;=3),"LEVEL 3 — Ensure reliable coverage, quality and sustainability: "&amp;K61&amp;"."&amp;CHAR(10)&amp;CHAR(10),"")&amp;IF(AND(D61&lt;4,'Start Here'!$B$8&gt;=4),"LEVEL 4 — Measure, review and continuously improve: "&amp;K61&amp;".","")))</f>
        <v/>
      </c>
      <c r="G61" s="51"/>
      <c r="H61" s="51"/>
      <c r="I61" s="51"/>
      <c r="J61" s="13" t="s">
        <v>109</v>
      </c>
      <c r="K61" s="14" t="s">
        <v>222</v>
      </c>
      <c r="L61" s="15">
        <f>IF(C61="",0,IF(D61&gt;='Start Here'!$B$8,0,(('Start Here'!$B$8-D61)*100000)+IF(I61="High",3000,IF(I61="Medium",2000,IF(I61="Low",1000,0)))+(100-ROW())))</f>
        <v>0</v>
      </c>
      <c r="M61" s="115" t="s">
        <v>327</v>
      </c>
    </row>
    <row r="62" spans="1:13" ht="92.1" customHeight="1">
      <c r="A62" s="13" t="s">
        <v>223</v>
      </c>
      <c r="B62" s="15" t="s">
        <v>224</v>
      </c>
      <c r="C62" s="80"/>
      <c r="D62" s="83" t="str">
        <f t="shared" si="6"/>
        <v/>
      </c>
      <c r="E62" s="14" t="str">
        <f>IF(C62="","",IF(D62&gt;='Start Here'!$B$8,"Target achieved — Level "&amp;D62&amp;" meets or exceeds target Level "&amp;'Start Here'!$B$8&amp;".","Current Level "&amp;D62&amp;" → Target Level "&amp;'Start Here'!$B$8&amp;" ("&amp;('Start Here'!$B$8-D62)&amp;" level(s) to close)."))</f>
        <v/>
      </c>
      <c r="F62" s="15" t="str">
        <f>IF(C62="","",IF(D62&gt;='Start Here'!$B$8,"Target achieved. Sustain current practice and review periodically.",IF(AND(D62&lt;1,'Start Here'!$B$8&gt;=1),"LEVEL 1 — Put in place: "&amp;K62&amp;"."&amp;CHAR(10)&amp;CHAR(10),"")&amp;IF(AND(D62&lt;2,'Start Here'!$B$8&gt;=2),"LEVEL 2 — Formalise and coordinate the arrangement so it produces consistent benefit: "&amp;K62&amp;"."&amp;CHAR(10)&amp;CHAR(10),"")&amp;IF(AND(D62&lt;3,'Start Here'!$B$8&gt;=3),"LEVEL 3 — Ensure reliable coverage, quality and sustainability: "&amp;K62&amp;"."&amp;CHAR(10)&amp;CHAR(10),"")&amp;IF(AND(D62&lt;4,'Start Here'!$B$8&gt;=4),"LEVEL 4 — Measure, review and continuously improve: "&amp;K62&amp;".","")))</f>
        <v/>
      </c>
      <c r="G62" s="51"/>
      <c r="H62" s="51"/>
      <c r="I62" s="51"/>
      <c r="J62" s="13" t="s">
        <v>109</v>
      </c>
      <c r="K62" s="14" t="s">
        <v>225</v>
      </c>
      <c r="L62" s="15">
        <f>IF(C62="",0,IF(D62&gt;='Start Here'!$B$8,0,(('Start Here'!$B$8-D62)*100000)+IF(I62="High",3000,IF(I62="Medium",2000,IF(I62="Low",1000,0)))+(100-ROW())))</f>
        <v>0</v>
      </c>
      <c r="M62" s="115" t="s">
        <v>327</v>
      </c>
    </row>
    <row r="63" spans="1:13" ht="92.1" customHeight="1">
      <c r="A63" s="13" t="s">
        <v>226</v>
      </c>
      <c r="B63" s="15" t="s">
        <v>227</v>
      </c>
      <c r="C63" s="80"/>
      <c r="D63" s="83" t="str">
        <f t="shared" si="6"/>
        <v/>
      </c>
      <c r="E63" s="14" t="str">
        <f>IF(C63="","",IF(D63&gt;='Start Here'!$B$8,"Target achieved — Level "&amp;D63&amp;" meets or exceeds target Level "&amp;'Start Here'!$B$8&amp;".","Current Level "&amp;D63&amp;" → Target Level "&amp;'Start Here'!$B$8&amp;" ("&amp;('Start Here'!$B$8-D63)&amp;" level(s) to close)."))</f>
        <v/>
      </c>
      <c r="F63" s="15" t="str">
        <f>IF(C63="","",IF(D63&gt;='Start Here'!$B$8,"Target achieved. Sustain current practice and review periodically.",IF(AND(D63&lt;1,'Start Here'!$B$8&gt;=1),"LEVEL 1 — Put in place: "&amp;K63&amp;"."&amp;CHAR(10)&amp;CHAR(10),"")&amp;IF(AND(D63&lt;2,'Start Here'!$B$8&gt;=2),"LEVEL 2 — Formalise and coordinate the arrangement so it produces consistent benefit: "&amp;K63&amp;"."&amp;CHAR(10)&amp;CHAR(10),"")&amp;IF(AND(D63&lt;3,'Start Here'!$B$8&gt;=3),"LEVEL 3 — Ensure reliable coverage, quality and sustainability: "&amp;K63&amp;"."&amp;CHAR(10)&amp;CHAR(10),"")&amp;IF(AND(D63&lt;4,'Start Here'!$B$8&gt;=4),"LEVEL 4 — Measure, review and continuously improve: "&amp;K63&amp;".","")))</f>
        <v/>
      </c>
      <c r="G63" s="51"/>
      <c r="H63" s="51"/>
      <c r="I63" s="51"/>
      <c r="J63" s="13" t="s">
        <v>145</v>
      </c>
      <c r="K63" s="14" t="s">
        <v>228</v>
      </c>
      <c r="L63" s="15">
        <f>IF(C63="",0,IF(D63&gt;='Start Here'!$B$8,0,(('Start Here'!$B$8-D63)*100000)+IF(I63="High",3000,IF(I63="Medium",2000,IF(I63="Low",1000,0)))+(100-ROW())))</f>
        <v>0</v>
      </c>
      <c r="M63" s="115" t="s">
        <v>327</v>
      </c>
    </row>
    <row r="64" spans="1:13" ht="92.1" customHeight="1">
      <c r="A64" s="13" t="s">
        <v>229</v>
      </c>
      <c r="B64" s="15" t="s">
        <v>230</v>
      </c>
      <c r="C64" s="80"/>
      <c r="D64" s="83" t="str">
        <f t="shared" si="6"/>
        <v/>
      </c>
      <c r="E64" s="14" t="str">
        <f>IF(C64="","",IF(D64&gt;='Start Here'!$B$8,"Target achieved — Level "&amp;D64&amp;" meets or exceeds target Level "&amp;'Start Here'!$B$8&amp;".","Current Level "&amp;D64&amp;" → Target Level "&amp;'Start Here'!$B$8&amp;" ("&amp;('Start Here'!$B$8-D64)&amp;" level(s) to close)."))</f>
        <v/>
      </c>
      <c r="F64" s="15" t="str">
        <f>IF(C64="","",IF(D64&gt;='Start Here'!$B$8,"Target achieved. Sustain current practice and review periodically.",IF(AND(D64&lt;1,'Start Here'!$B$8&gt;=1),"LEVEL 1 — Put in place: "&amp;K64&amp;"."&amp;CHAR(10)&amp;CHAR(10),"")&amp;IF(AND(D64&lt;2,'Start Here'!$B$8&gt;=2),"LEVEL 2 — Formalise and coordinate the arrangement so it produces consistent benefit: "&amp;K64&amp;"."&amp;CHAR(10)&amp;CHAR(10),"")&amp;IF(AND(D64&lt;3,'Start Here'!$B$8&gt;=3),"LEVEL 3 — Ensure reliable coverage, quality and sustainability: "&amp;K64&amp;"."&amp;CHAR(10)&amp;CHAR(10),"")&amp;IF(AND(D64&lt;4,'Start Here'!$B$8&gt;=4),"LEVEL 4 — Measure, review and continuously improve: "&amp;K64&amp;".","")))</f>
        <v/>
      </c>
      <c r="G64" s="51"/>
      <c r="H64" s="51"/>
      <c r="I64" s="51"/>
      <c r="J64" s="13" t="s">
        <v>109</v>
      </c>
      <c r="K64" s="14" t="s">
        <v>231</v>
      </c>
      <c r="L64" s="15">
        <f>IF(C64="",0,IF(D64&gt;='Start Here'!$B$8,0,(('Start Here'!$B$8-D64)*100000)+IF(I64="High",3000,IF(I64="Medium",2000,IF(I64="Low",1000,0)))+(100-ROW())))</f>
        <v>0</v>
      </c>
      <c r="M64" s="115" t="s">
        <v>327</v>
      </c>
    </row>
    <row r="65" spans="1:13" ht="92.1" customHeight="1">
      <c r="A65" s="13" t="s">
        <v>232</v>
      </c>
      <c r="B65" s="15" t="s">
        <v>233</v>
      </c>
      <c r="C65" s="80"/>
      <c r="D65" s="83" t="str">
        <f t="shared" si="6"/>
        <v/>
      </c>
      <c r="E65" s="14" t="str">
        <f>IF(C65="","",IF(D65&gt;='Start Here'!$B$8,"Target achieved — Level "&amp;D65&amp;" meets or exceeds target Level "&amp;'Start Here'!$B$8&amp;".","Current Level "&amp;D65&amp;" → Target Level "&amp;'Start Here'!$B$8&amp;" ("&amp;('Start Here'!$B$8-D65)&amp;" level(s) to close)."))</f>
        <v/>
      </c>
      <c r="F65" s="15" t="str">
        <f>IF(C65="","",IF(D65&gt;='Start Here'!$B$8,"Target achieved. Sustain current practice and review periodically.",IF(AND(D65&lt;1,'Start Here'!$B$8&gt;=1),"LEVEL 1 — Put in place: "&amp;K65&amp;"."&amp;CHAR(10)&amp;CHAR(10),"")&amp;IF(AND(D65&lt;2,'Start Here'!$B$8&gt;=2),"LEVEL 2 — Formalise and coordinate the arrangement so it produces consistent benefit: "&amp;K65&amp;"."&amp;CHAR(10)&amp;CHAR(10),"")&amp;IF(AND(D65&lt;3,'Start Here'!$B$8&gt;=3),"LEVEL 3 — Ensure reliable coverage, quality and sustainability: "&amp;K65&amp;"."&amp;CHAR(10)&amp;CHAR(10),"")&amp;IF(AND(D65&lt;4,'Start Here'!$B$8&gt;=4),"LEVEL 4 — Measure, review and continuously improve: "&amp;K65&amp;".","")))</f>
        <v/>
      </c>
      <c r="G65" s="51"/>
      <c r="H65" s="51"/>
      <c r="I65" s="51"/>
      <c r="J65" s="13" t="s">
        <v>109</v>
      </c>
      <c r="K65" s="14" t="s">
        <v>234</v>
      </c>
      <c r="L65" s="15">
        <f>IF(C65="",0,IF(D65&gt;='Start Here'!$B$8,0,(('Start Here'!$B$8-D65)*100000)+IF(I65="High",3000,IF(I65="Medium",2000,IF(I65="Low",1000,0)))+(100-ROW())))</f>
        <v>0</v>
      </c>
      <c r="M65" s="115" t="s">
        <v>327</v>
      </c>
    </row>
    <row r="66" spans="1:13" ht="60" customHeight="1">
      <c r="A66" s="16" t="s">
        <v>114</v>
      </c>
      <c r="B66" s="17" t="s">
        <v>115</v>
      </c>
      <c r="C66" s="18" t="str">
        <f>IF(COUNTIF($C$60:$C$65,"&lt;&gt;")=0,"",AVERAGE($D$60:$D$65))</f>
        <v/>
      </c>
      <c r="D66" s="50"/>
      <c r="E66" s="17" t="s">
        <v>116</v>
      </c>
      <c r="F66" s="17" t="str">
        <f>IF(COUNTIF($C$60:$C$65,"&lt;&gt;")=0,"Not assessed",IF(MAX($L$60:$L$65)=0,"Target achieved",INDEX($K$60:$K$65,MATCH(MAX($L$60:$L$65),$L$60:$L$65,0))))</f>
        <v>Not assessed</v>
      </c>
      <c r="G66" s="107" t="s">
        <v>117</v>
      </c>
      <c r="H66" s="107" t="str">
        <f>IF(COUNTIF($C$60:$C$65,"&lt;&gt;")=0,"Not assessed",COUNTIFS($C$60:$C$65,"&lt;&gt;",$D$60:$D$65,"&lt;"&amp;'Start Here'!$B$8)&amp;" of 6 questions below target. "&amp;IF(MAX($L$60:$L$65)=0,"Maintain current effectiveness.","Priority development focus: "&amp;F66&amp;"."))</f>
        <v>Not assessed</v>
      </c>
      <c r="I66" s="107"/>
    </row>
    <row r="67" spans="1:13">
      <c r="G67" s="104"/>
      <c r="H67" s="104"/>
      <c r="I67" s="104"/>
    </row>
    <row r="68" spans="1:13" ht="15.75">
      <c r="A68" s="122" t="s">
        <v>235</v>
      </c>
      <c r="B68" s="122"/>
      <c r="C68" s="122"/>
      <c r="D68" s="122"/>
      <c r="E68" s="122"/>
      <c r="F68" s="122"/>
      <c r="G68" s="122"/>
      <c r="H68" s="122"/>
      <c r="I68" s="122"/>
    </row>
    <row r="69" spans="1:13" ht="92.1" customHeight="1">
      <c r="A69" s="13" t="s">
        <v>236</v>
      </c>
      <c r="B69" s="15" t="s">
        <v>237</v>
      </c>
      <c r="C69" s="80"/>
      <c r="D69" s="83" t="str">
        <f t="shared" ref="D69:D74" si="7">IF(C69="","",VALUE(LEFT(C69,1)))</f>
        <v/>
      </c>
      <c r="E69" s="14" t="str">
        <f>IF(C69="","",IF(D69&gt;='Start Here'!$B$8,"Target achieved — Level "&amp;D69&amp;" meets or exceeds target Level "&amp;'Start Here'!$B$8&amp;".","Current Level "&amp;D69&amp;" → Target Level "&amp;'Start Here'!$B$8&amp;" ("&amp;('Start Here'!$B$8-D69)&amp;" level(s) to close)."))</f>
        <v/>
      </c>
      <c r="F69" s="15" t="str">
        <f>IF(C69="","",IF(D69&gt;='Start Here'!$B$8,"Target achieved. Sustain current practice and review periodically.",IF(AND(D69&lt;1,'Start Here'!$B$8&gt;=1),"LEVEL 1 — Put in place: "&amp;K69&amp;"."&amp;CHAR(10)&amp;CHAR(10),"")&amp;IF(AND(D69&lt;2,'Start Here'!$B$8&gt;=2),"LEVEL 2 — Formalise and coordinate the arrangement so it produces consistent benefit: "&amp;K69&amp;"."&amp;CHAR(10)&amp;CHAR(10),"")&amp;IF(AND(D69&lt;3,'Start Here'!$B$8&gt;=3),"LEVEL 3 — Ensure reliable coverage, quality and sustainability: "&amp;K69&amp;"."&amp;CHAR(10)&amp;CHAR(10),"")&amp;IF(AND(D69&lt;4,'Start Here'!$B$8&gt;=4),"LEVEL 4 — Measure, review and continuously improve: "&amp;K69&amp;".","")))</f>
        <v/>
      </c>
      <c r="G69" s="51"/>
      <c r="H69" s="51"/>
      <c r="I69" s="51"/>
      <c r="J69" s="13" t="s">
        <v>109</v>
      </c>
      <c r="K69" s="14" t="s">
        <v>238</v>
      </c>
      <c r="L69" s="15">
        <f>IF(C69="",0,IF(D69&gt;='Start Here'!$B$8,0,(('Start Here'!$B$8-D69)*100000)+IF(I69="High",3000,IF(I69="Medium",2000,IF(I69="Low",1000,0)))+(100-ROW())))</f>
        <v>0</v>
      </c>
      <c r="M69" s="115" t="s">
        <v>327</v>
      </c>
    </row>
    <row r="70" spans="1:13" ht="92.1" customHeight="1">
      <c r="A70" s="13" t="s">
        <v>239</v>
      </c>
      <c r="B70" s="15" t="s">
        <v>240</v>
      </c>
      <c r="C70" s="80"/>
      <c r="D70" s="83" t="str">
        <f t="shared" si="7"/>
        <v/>
      </c>
      <c r="E70" s="14" t="str">
        <f>IF(C70="","",IF(D70&gt;='Start Here'!$B$8,"Target achieved — Level "&amp;D70&amp;" meets or exceeds target Level "&amp;'Start Here'!$B$8&amp;".","Current Level "&amp;D70&amp;" → Target Level "&amp;'Start Here'!$B$8&amp;" ("&amp;('Start Here'!$B$8-D70)&amp;" level(s) to close)."))</f>
        <v/>
      </c>
      <c r="F70" s="15" t="str">
        <f>IF(C70="","",IF(D70&gt;='Start Here'!$B$8,"Target achieved. Sustain current practice and review periodically.",IF(AND(D70&lt;1,'Start Here'!$B$8&gt;=1),"LEVEL 1 — Put in place: "&amp;K70&amp;"."&amp;CHAR(10)&amp;CHAR(10),"")&amp;IF(AND(D70&lt;2,'Start Here'!$B$8&gt;=2),"LEVEL 2 — Formalise and coordinate the arrangement so it produces consistent benefit: "&amp;K70&amp;"."&amp;CHAR(10)&amp;CHAR(10),"")&amp;IF(AND(D70&lt;3,'Start Here'!$B$8&gt;=3),"LEVEL 3 — Ensure reliable coverage, quality and sustainability: "&amp;K70&amp;"."&amp;CHAR(10)&amp;CHAR(10),"")&amp;IF(AND(D70&lt;4,'Start Here'!$B$8&gt;=4),"LEVEL 4 — Measure, review and continuously improve: "&amp;K70&amp;".","")))</f>
        <v/>
      </c>
      <c r="G70" s="51"/>
      <c r="H70" s="51"/>
      <c r="I70" s="51"/>
      <c r="J70" s="13" t="s">
        <v>109</v>
      </c>
      <c r="K70" s="14" t="s">
        <v>241</v>
      </c>
      <c r="L70" s="15">
        <f>IF(C70="",0,IF(D70&gt;='Start Here'!$B$8,0,(('Start Here'!$B$8-D70)*100000)+IF(I70="High",3000,IF(I70="Medium",2000,IF(I70="Low",1000,0)))+(100-ROW())))</f>
        <v>0</v>
      </c>
      <c r="M70" s="115" t="s">
        <v>327</v>
      </c>
    </row>
    <row r="71" spans="1:13" ht="92.1" customHeight="1">
      <c r="A71" s="13" t="s">
        <v>242</v>
      </c>
      <c r="B71" s="15" t="s">
        <v>243</v>
      </c>
      <c r="C71" s="80"/>
      <c r="D71" s="83" t="str">
        <f t="shared" si="7"/>
        <v/>
      </c>
      <c r="E71" s="14" t="str">
        <f>IF(C71="","",IF(D71&gt;='Start Here'!$B$8,"Target achieved — Level "&amp;D71&amp;" meets or exceeds target Level "&amp;'Start Here'!$B$8&amp;".","Current Level "&amp;D71&amp;" → Target Level "&amp;'Start Here'!$B$8&amp;" ("&amp;('Start Here'!$B$8-D71)&amp;" level(s) to close)."))</f>
        <v/>
      </c>
      <c r="F71" s="15" t="str">
        <f>IF(C71="","",IF(D71&gt;='Start Here'!$B$8,"Target achieved. Sustain current practice and review periodically.",IF(AND(D71&lt;1,'Start Here'!$B$8&gt;=1),"LEVEL 1 — Put in place: "&amp;K71&amp;"."&amp;CHAR(10)&amp;CHAR(10),"")&amp;IF(AND(D71&lt;2,'Start Here'!$B$8&gt;=2),"LEVEL 2 — Formalise and coordinate the arrangement so it produces consistent benefit: "&amp;K71&amp;"."&amp;CHAR(10)&amp;CHAR(10),"")&amp;IF(AND(D71&lt;3,'Start Here'!$B$8&gt;=3),"LEVEL 3 — Ensure reliable coverage, quality and sustainability: "&amp;K71&amp;"."&amp;CHAR(10)&amp;CHAR(10),"")&amp;IF(AND(D71&lt;4,'Start Here'!$B$8&gt;=4),"LEVEL 4 — Measure, review and continuously improve: "&amp;K71&amp;".","")))</f>
        <v/>
      </c>
      <c r="G71" s="51"/>
      <c r="H71" s="51"/>
      <c r="I71" s="51"/>
      <c r="J71" s="13" t="s">
        <v>109</v>
      </c>
      <c r="K71" s="14" t="s">
        <v>244</v>
      </c>
      <c r="L71" s="15">
        <f>IF(C71="",0,IF(D71&gt;='Start Here'!$B$8,0,(('Start Here'!$B$8-D71)*100000)+IF(I71="High",3000,IF(I71="Medium",2000,IF(I71="Low",1000,0)))+(100-ROW())))</f>
        <v>0</v>
      </c>
      <c r="M71" s="115" t="s">
        <v>327</v>
      </c>
    </row>
    <row r="72" spans="1:13" ht="92.1" customHeight="1">
      <c r="A72" s="13" t="s">
        <v>245</v>
      </c>
      <c r="B72" s="15" t="s">
        <v>246</v>
      </c>
      <c r="C72" s="80"/>
      <c r="D72" s="83" t="str">
        <f t="shared" si="7"/>
        <v/>
      </c>
      <c r="E72" s="14" t="str">
        <f>IF(C72="","",IF(D72&gt;='Start Here'!$B$8,"Target achieved — Level "&amp;D72&amp;" meets or exceeds target Level "&amp;'Start Here'!$B$8&amp;".","Current Level "&amp;D72&amp;" → Target Level "&amp;'Start Here'!$B$8&amp;" ("&amp;('Start Here'!$B$8-D72)&amp;" level(s) to close)."))</f>
        <v/>
      </c>
      <c r="F72" s="15" t="str">
        <f>IF(C72="","",IF(D72&gt;='Start Here'!$B$8,"Target achieved. Sustain current practice and review periodically.",IF(AND(D72&lt;1,'Start Here'!$B$8&gt;=1),"LEVEL 1 — Put in place: "&amp;K72&amp;"."&amp;CHAR(10)&amp;CHAR(10),"")&amp;IF(AND(D72&lt;2,'Start Here'!$B$8&gt;=2),"LEVEL 2 — Formalise and coordinate the arrangement so it produces consistent benefit: "&amp;K72&amp;"."&amp;CHAR(10)&amp;CHAR(10),"")&amp;IF(AND(D72&lt;3,'Start Here'!$B$8&gt;=3),"LEVEL 3 — Ensure reliable coverage, quality and sustainability: "&amp;K72&amp;"."&amp;CHAR(10)&amp;CHAR(10),"")&amp;IF(AND(D72&lt;4,'Start Here'!$B$8&gt;=4),"LEVEL 4 — Measure, review and continuously improve: "&amp;K72&amp;".","")))</f>
        <v/>
      </c>
      <c r="G72" s="51"/>
      <c r="H72" s="51"/>
      <c r="I72" s="51"/>
      <c r="J72" s="13" t="s">
        <v>133</v>
      </c>
      <c r="K72" s="14" t="s">
        <v>247</v>
      </c>
      <c r="L72" s="15">
        <f>IF(C72="",0,IF(D72&gt;='Start Here'!$B$8,0,(('Start Here'!$B$8-D72)*100000)+IF(I72="High",3000,IF(I72="Medium",2000,IF(I72="Low",1000,0)))+(100-ROW())))</f>
        <v>0</v>
      </c>
      <c r="M72" s="115" t="s">
        <v>327</v>
      </c>
    </row>
    <row r="73" spans="1:13" ht="92.1" customHeight="1">
      <c r="A73" s="13" t="s">
        <v>248</v>
      </c>
      <c r="B73" s="15" t="s">
        <v>249</v>
      </c>
      <c r="C73" s="80"/>
      <c r="D73" s="83" t="str">
        <f t="shared" si="7"/>
        <v/>
      </c>
      <c r="E73" s="14" t="str">
        <f>IF(C73="","",IF(D73&gt;='Start Here'!$B$8,"Target achieved — Level "&amp;D73&amp;" meets or exceeds target Level "&amp;'Start Here'!$B$8&amp;".","Current Level "&amp;D73&amp;" → Target Level "&amp;'Start Here'!$B$8&amp;" ("&amp;('Start Here'!$B$8-D73)&amp;" level(s) to close)."))</f>
        <v/>
      </c>
      <c r="F73" s="15" t="str">
        <f>IF(C73="","",IF(D73&gt;='Start Here'!$B$8,"Target achieved. Sustain current practice and review periodically.",IF(AND(D73&lt;1,'Start Here'!$B$8&gt;=1),"LEVEL 1 — Put in place: "&amp;K73&amp;"."&amp;CHAR(10)&amp;CHAR(10),"")&amp;IF(AND(D73&lt;2,'Start Here'!$B$8&gt;=2),"LEVEL 2 — Formalise and coordinate the arrangement so it produces consistent benefit: "&amp;K73&amp;"."&amp;CHAR(10)&amp;CHAR(10),"")&amp;IF(AND(D73&lt;3,'Start Here'!$B$8&gt;=3),"LEVEL 3 — Ensure reliable coverage, quality and sustainability: "&amp;K73&amp;"."&amp;CHAR(10)&amp;CHAR(10),"")&amp;IF(AND(D73&lt;4,'Start Here'!$B$8&gt;=4),"LEVEL 4 — Measure, review and continuously improve: "&amp;K73&amp;".","")))</f>
        <v/>
      </c>
      <c r="G73" s="51"/>
      <c r="H73" s="51"/>
      <c r="I73" s="51"/>
      <c r="J73" s="13" t="s">
        <v>105</v>
      </c>
      <c r="K73" s="14" t="s">
        <v>250</v>
      </c>
      <c r="L73" s="15">
        <f>IF(C73="",0,IF(D73&gt;='Start Here'!$B$8,0,(('Start Here'!$B$8-D73)*100000)+IF(I73="High",3000,IF(I73="Medium",2000,IF(I73="Low",1000,0)))+(100-ROW())))</f>
        <v>0</v>
      </c>
      <c r="M73" s="115" t="s">
        <v>327</v>
      </c>
    </row>
    <row r="74" spans="1:13" ht="92.1" customHeight="1">
      <c r="A74" s="13" t="s">
        <v>251</v>
      </c>
      <c r="B74" s="15" t="s">
        <v>252</v>
      </c>
      <c r="C74" s="80"/>
      <c r="D74" s="83" t="str">
        <f t="shared" si="7"/>
        <v/>
      </c>
      <c r="E74" s="14" t="str">
        <f>IF(C74="","",IF(D74&gt;='Start Here'!$B$8,"Target achieved — Level "&amp;D74&amp;" meets or exceeds target Level "&amp;'Start Here'!$B$8&amp;".","Current Level "&amp;D74&amp;" → Target Level "&amp;'Start Here'!$B$8&amp;" ("&amp;('Start Here'!$B$8-D74)&amp;" level(s) to close)."))</f>
        <v/>
      </c>
      <c r="F74" s="15" t="str">
        <f>IF(C74="","",IF(D74&gt;='Start Here'!$B$8,"Target achieved. Sustain current practice and review periodically.",IF(AND(D74&lt;1,'Start Here'!$B$8&gt;=1),"LEVEL 1 — Put in place: "&amp;K74&amp;"."&amp;CHAR(10)&amp;CHAR(10),"")&amp;IF(AND(D74&lt;2,'Start Here'!$B$8&gt;=2),"LEVEL 2 — Formalise and coordinate the arrangement so it produces consistent benefit: "&amp;K74&amp;"."&amp;CHAR(10)&amp;CHAR(10),"")&amp;IF(AND(D74&lt;3,'Start Here'!$B$8&gt;=3),"LEVEL 3 — Ensure reliable coverage, quality and sustainability: "&amp;K74&amp;"."&amp;CHAR(10)&amp;CHAR(10),"")&amp;IF(AND(D74&lt;4,'Start Here'!$B$8&gt;=4),"LEVEL 4 — Measure, review and continuously improve: "&amp;K74&amp;".","")))</f>
        <v/>
      </c>
      <c r="G74" s="51"/>
      <c r="H74" s="51"/>
      <c r="I74" s="51"/>
      <c r="J74" s="13" t="s">
        <v>97</v>
      </c>
      <c r="K74" s="14" t="s">
        <v>253</v>
      </c>
      <c r="L74" s="15">
        <f>IF(C74="",0,IF(D74&gt;='Start Here'!$B$8,0,(('Start Here'!$B$8-D74)*100000)+IF(I74="High",3000,IF(I74="Medium",2000,IF(I74="Low",1000,0)))+(100-ROW())))</f>
        <v>0</v>
      </c>
      <c r="M74" s="115" t="s">
        <v>327</v>
      </c>
    </row>
    <row r="75" spans="1:13" ht="75.75" customHeight="1">
      <c r="A75" s="16" t="s">
        <v>114</v>
      </c>
      <c r="B75" s="17" t="s">
        <v>115</v>
      </c>
      <c r="C75" s="18" t="str">
        <f>IF(COUNTIF($C$69:$C$74,"&lt;&gt;")=0,"",AVERAGE($D$69:$D$74))</f>
        <v/>
      </c>
      <c r="D75" s="50"/>
      <c r="E75" s="17" t="s">
        <v>116</v>
      </c>
      <c r="F75" s="17" t="str">
        <f>IF(COUNTIF($C$69:$C$74,"&lt;&gt;")=0,"Not assessed",IF(MAX($L$69:$L$74)=0,"Target achieved",INDEX($K$69:$K$74,MATCH(MAX($L$69:$L$74),$L$69:$L$74,0))))</f>
        <v>Not assessed</v>
      </c>
      <c r="G75" s="21" t="s">
        <v>117</v>
      </c>
      <c r="H75" s="19" t="str">
        <f>IF(COUNTIF($C$69:$C$74,"&lt;&gt;")=0,"Not assessed",COUNTIFS($C$69:$C$74,"&lt;&gt;",$D$69:$D$74,"&lt;"&amp;'Start Here'!$B$8)&amp;" of 6 questions below target. "&amp;IF(MAX($L$69:$L$74)=0,"Maintain current effectiveness.","Priority development focus: "&amp;F75&amp;"."))</f>
        <v>Not assessed</v>
      </c>
      <c r="I75" s="20"/>
    </row>
  </sheetData>
  <mergeCells count="12">
    <mergeCell ref="A32:I32"/>
    <mergeCell ref="A41:I41"/>
    <mergeCell ref="A50:I50"/>
    <mergeCell ref="A59:I59"/>
    <mergeCell ref="A68:I68"/>
    <mergeCell ref="A1:I1"/>
    <mergeCell ref="A2:I2"/>
    <mergeCell ref="A5:I5"/>
    <mergeCell ref="A14:I14"/>
    <mergeCell ref="A23:I23"/>
    <mergeCell ref="H12:I12"/>
    <mergeCell ref="H21:I21"/>
  </mergeCells>
  <conditionalFormatting sqref="D5:D75">
    <cfRule type="colorScale" priority="1">
      <colorScale>
        <cfvo type="min"/>
        <cfvo type="percentile" val="50"/>
        <cfvo type="max"/>
        <color rgb="FFF4CCCC"/>
        <color rgb="FFFCE4D6"/>
        <color rgb="FFE2F0D9"/>
      </colorScale>
    </cfRule>
  </conditionalFormatting>
  <dataValidations count="5">
    <dataValidation type="list" sqref="C69:C74 C60:C65 C51:C56 C42:C47 C33:C38 C24:C29 C15:C20 C6:C11" xr:uid="{00000000-0002-0000-0200-000000000000}">
      <formula1>"0 — No / essentially absent,1 — Limited / inconsistent,2 — Partly in place / basic,3 — Effective and sustainable,4 — Optimised and improving"</formula1>
    </dataValidation>
    <dataValidation type="list" sqref="I69:I74 I60:I65 I51:I56 I42:I47 I33:I38 I24:I29 I15:I20 I6:I11" xr:uid="{00000000-0002-0000-0200-000001000000}">
      <formula1>"High,Medium,Low,Unverified"</formula1>
    </dataValidation>
    <dataValidation type="list" sqref="C69:C74 C60:C65 C51:C56 C42:C47 C33:C38 C24:C29 C15:C20 C6:C11" xr:uid="{00000000-0002-0000-0200-000002000000}">
      <formula1>$X$4:$X$8</formula1>
    </dataValidation>
    <dataValidation type="list" sqref="I69:I74 I60:I65 I51:I56 I42:I47 I33:I38 I24:I29 I15:I20 I6:I11" xr:uid="{00000000-0002-0000-0200-000003000000}">
      <formula1>$Y$4:$Y$7</formula1>
    </dataValidation>
    <dataValidation type="list" sqref="M69:M74 M60:M65 M51:M56 M42:M47 M33:M38 M24:M29 M15:M20 M6:M11" xr:uid="{00000000-0002-0000-0200-000004000000}">
      <formula1>$Z$4:$Z$6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8"/>
  <sheetViews>
    <sheetView topLeftCell="A18" workbookViewId="0"/>
  </sheetViews>
  <sheetFormatPr defaultRowHeight="14.25"/>
  <cols>
    <col min="1" max="1" width="30" customWidth="1"/>
    <col min="2" max="2" width="20.875" customWidth="1"/>
    <col min="3" max="3" width="21.25" customWidth="1"/>
    <col min="4" max="4" width="14" customWidth="1"/>
    <col min="5" max="5" width="18" customWidth="1"/>
    <col min="6" max="6" width="16" customWidth="1"/>
    <col min="7" max="7" width="12" customWidth="1"/>
    <col min="8" max="8" width="38" customWidth="1"/>
    <col min="9" max="10" width="14" customWidth="1"/>
    <col min="11" max="11" width="18" customWidth="1"/>
    <col min="12" max="12" width="32" customWidth="1"/>
    <col min="13" max="15" width="2" customWidth="1"/>
  </cols>
  <sheetData>
    <row r="1" spans="1:15" ht="60.75">
      <c r="A1" s="108" t="s">
        <v>330</v>
      </c>
      <c r="B1" s="108"/>
      <c r="C1" s="108"/>
      <c r="D1" s="108"/>
      <c r="E1" s="108"/>
      <c r="F1" s="108"/>
      <c r="G1" s="108"/>
      <c r="H1" s="108"/>
      <c r="I1" s="108"/>
      <c r="J1" s="108"/>
      <c r="K1" s="108"/>
      <c r="L1" s="108"/>
    </row>
    <row r="2" spans="1:15" ht="57">
      <c r="A2" s="87" t="s">
        <v>254</v>
      </c>
      <c r="B2" s="88"/>
      <c r="C2" s="88"/>
      <c r="D2" s="88"/>
      <c r="E2" s="88"/>
      <c r="F2" s="88"/>
      <c r="G2" s="88"/>
      <c r="H2" s="88"/>
      <c r="I2" s="88"/>
      <c r="J2" s="88"/>
      <c r="K2" s="88"/>
      <c r="L2" s="89"/>
    </row>
    <row r="4" spans="1:15" ht="30">
      <c r="A4" s="99" t="s">
        <v>255</v>
      </c>
      <c r="B4" s="100"/>
      <c r="C4" s="101"/>
      <c r="D4" s="99" t="s">
        <v>256</v>
      </c>
      <c r="E4" s="100"/>
      <c r="F4" s="101"/>
      <c r="G4" s="99" t="s">
        <v>257</v>
      </c>
      <c r="H4" s="100"/>
      <c r="I4" s="101"/>
      <c r="J4" s="99" t="s">
        <v>258</v>
      </c>
      <c r="K4" s="100"/>
      <c r="L4" s="101"/>
    </row>
    <row r="5" spans="1:15">
      <c r="A5" s="157" t="str">
        <f>IF((IF(Assessment!C6&lt;&gt;"",1,0)+IF(Assessment!C7&lt;&gt;"",1,0)+IF(Assessment!C8&lt;&gt;"",1,0)+IF(Assessment!C9&lt;&gt;"",1,0)+IF(Assessment!C10&lt;&gt;"",1,0)+IF(Assessment!C11&lt;&gt;"",1,0)+IF(Assessment!C15&lt;&gt;"",1,0)+IF(Assessment!C16&lt;&gt;"",1,0)+IF(Assessment!C17&lt;&gt;"",1,0)+IF(Assessment!C18&lt;&gt;"",1,0)+IF(Assessment!C19&lt;&gt;"",1,0)+IF(Assessment!C20&lt;&gt;"",1,0)+IF(Assessment!C24&lt;&gt;"",1,0)+IF(Assessment!C25&lt;&gt;"",1,0)+IF(Assessment!C26&lt;&gt;"",1,0)+IF(Assessment!C27&lt;&gt;"",1,0)+IF(Assessment!C28&lt;&gt;"",1,0)+IF(Assessment!C29&lt;&gt;"",1,0)+IF(Assessment!C33&lt;&gt;"",1,0)+IF(Assessment!C34&lt;&gt;"",1,0)+IF(Assessment!C35&lt;&gt;"",1,0)+IF(Assessment!C36&lt;&gt;"",1,0)+IF(Assessment!C37&lt;&gt;"",1,0)+IF(Assessment!C38&lt;&gt;"",1,0)+IF(Assessment!C42&lt;&gt;"",1,0)+IF(Assessment!C43&lt;&gt;"",1,0)+IF(Assessment!C44&lt;&gt;"",1,0)+IF(Assessment!C45&lt;&gt;"",1,0)+IF(Assessment!C46&lt;&gt;"",1,0)+IF(Assessment!C47&lt;&gt;"",1,0)+IF(Assessment!C51&lt;&gt;"",1,0)+IF(Assessment!C52&lt;&gt;"",1,0)+IF(Assessment!C53&lt;&gt;"",1,0)+IF(Assessment!C54&lt;&gt;"",1,0)+IF(Assessment!C55&lt;&gt;"",1,0)+IF(Assessment!C56&lt;&gt;"",1,0)+IF(Assessment!C60&lt;&gt;"",1,0)+IF(Assessment!C61&lt;&gt;"",1,0)+IF(Assessment!C62&lt;&gt;"",1,0)+IF(Assessment!C63&lt;&gt;"",1,0)+IF(Assessment!C64&lt;&gt;"",1,0)+IF(Assessment!C65&lt;&gt;"",1,0)+IF(Assessment!C69&lt;&gt;"",1,0)+IF(Assessment!C70&lt;&gt;"",1,0)+IF(Assessment!C71&lt;&gt;"",1,0)+IF(Assessment!C72&lt;&gt;"",1,0)+IF(Assessment!C73&lt;&gt;"",1,0)+IF(Assessment!C74&lt;&gt;"",1,0))=0,"",(IF(Assessment!C6="",0,Assessment!D6)+IF(Assessment!C7="",0,Assessment!D7)+IF(Assessment!C8="",0,Assessment!D8)+IF(Assessment!C9="",0,Assessment!D9)+IF(Assessment!C10="",0,Assessment!D10)+IF(Assessment!C11="",0,Assessment!D11)+IF(Assessment!C15="",0,Assessment!D15)+IF(Assessment!C16="",0,Assessment!D16)+IF(Assessment!C17="",0,Assessment!D17)+IF(Assessment!C18="",0,Assessment!D18)+IF(Assessment!C19="",0,Assessment!D19)+IF(Assessment!C20="",0,Assessment!D20)+IF(Assessment!C24="",0,Assessment!D24)+IF(Assessment!C25="",0,Assessment!D25)+IF(Assessment!C26="",0,Assessment!D26)+IF(Assessment!C27="",0,Assessment!D27)+IF(Assessment!C28="",0,Assessment!D28)+IF(Assessment!C29="",0,Assessment!D29)+IF(Assessment!C33="",0,Assessment!D33)+IF(Assessment!C34="",0,Assessment!D34)+IF(Assessment!C35="",0,Assessment!D35)+IF(Assessment!C36="",0,Assessment!D36)+IF(Assessment!C37="",0,Assessment!D37)+IF(Assessment!C38="",0,Assessment!D38)+IF(Assessment!C42="",0,Assessment!D42)+IF(Assessment!C43="",0,Assessment!D43)+IF(Assessment!C44="",0,Assessment!D44)+IF(Assessment!C45="",0,Assessment!D45)+IF(Assessment!C46="",0,Assessment!D46)+IF(Assessment!C47="",0,Assessment!D47)+IF(Assessment!C51="",0,Assessment!D51)+IF(Assessment!C52="",0,Assessment!D52)+IF(Assessment!C53="",0,Assessment!D53)+IF(Assessment!C54="",0,Assessment!D54)+IF(Assessment!C55="",0,Assessment!D55)+IF(Assessment!C56="",0,Assessment!D56)+IF(Assessment!C60="",0,Assessment!D60)+IF(Assessment!C61="",0,Assessment!D61)+IF(Assessment!C62="",0,Assessment!D62)+IF(Assessment!C63="",0,Assessment!D63)+IF(Assessment!C64="",0,Assessment!D64)+IF(Assessment!C65="",0,Assessment!D65)+IF(Assessment!C69="",0,Assessment!D69)+IF(Assessment!C70="",0,Assessment!D70)+IF(Assessment!C71="",0,Assessment!D71)+IF(Assessment!C72="",0,Assessment!D72)+IF(Assessment!C73="",0,Assessment!D73)+IF(Assessment!C74="",0,Assessment!D74))/(IF(Assessment!C6&lt;&gt;"",1,0)+IF(Assessment!C7&lt;&gt;"",1,0)+IF(Assessment!C8&lt;&gt;"",1,0)+IF(Assessment!C9&lt;&gt;"",1,0)+IF(Assessment!C10&lt;&gt;"",1,0)+IF(Assessment!C11&lt;&gt;"",1,0)+IF(Assessment!C15&lt;&gt;"",1,0)+IF(Assessment!C16&lt;&gt;"",1,0)+IF(Assessment!C17&lt;&gt;"",1,0)+IF(Assessment!C18&lt;&gt;"",1,0)+IF(Assessment!C19&lt;&gt;"",1,0)+IF(Assessment!C20&lt;&gt;"",1,0)+IF(Assessment!C24&lt;&gt;"",1,0)+IF(Assessment!C25&lt;&gt;"",1,0)+IF(Assessment!C26&lt;&gt;"",1,0)+IF(Assessment!C27&lt;&gt;"",1,0)+IF(Assessment!C28&lt;&gt;"",1,0)+IF(Assessment!C29&lt;&gt;"",1,0)+IF(Assessment!C33&lt;&gt;"",1,0)+IF(Assessment!C34&lt;&gt;"",1,0)+IF(Assessment!C35&lt;&gt;"",1,0)+IF(Assessment!C36&lt;&gt;"",1,0)+IF(Assessment!C37&lt;&gt;"",1,0)+IF(Assessment!C38&lt;&gt;"",1,0)+IF(Assessment!C42&lt;&gt;"",1,0)+IF(Assessment!C43&lt;&gt;"",1,0)+IF(Assessment!C44&lt;&gt;"",1,0)+IF(Assessment!C45&lt;&gt;"",1,0)+IF(Assessment!C46&lt;&gt;"",1,0)+IF(Assessment!C47&lt;&gt;"",1,0)+IF(Assessment!C51&lt;&gt;"",1,0)+IF(Assessment!C52&lt;&gt;"",1,0)+IF(Assessment!C53&lt;&gt;"",1,0)+IF(Assessment!C54&lt;&gt;"",1,0)+IF(Assessment!C55&lt;&gt;"",1,0)+IF(Assessment!C56&lt;&gt;"",1,0)+IF(Assessment!C60&lt;&gt;"",1,0)+IF(Assessment!C61&lt;&gt;"",1,0)+IF(Assessment!C62&lt;&gt;"",1,0)+IF(Assessment!C63&lt;&gt;"",1,0)+IF(Assessment!C64&lt;&gt;"",1,0)+IF(Assessment!C65&lt;&gt;"",1,0)+IF(Assessment!C69&lt;&gt;"",1,0)+IF(Assessment!C70&lt;&gt;"",1,0)+IF(Assessment!C71&lt;&gt;"",1,0)+IF(Assessment!C72&lt;&gt;"",1,0)+IF(Assessment!C73&lt;&gt;"",1,0)+IF(Assessment!C74&lt;&gt;"",1,0)))</f>
        <v/>
      </c>
      <c r="B5" s="158"/>
      <c r="C5" s="159"/>
      <c r="D5" s="166" t="str">
        <f>IF(G5=0,"Not assessed",IF(G5&lt;1,"Provisional — ","")&amp;IF(A5&lt;1,"Highly fragmented — major systemic gaps",IF(A5&lt;2,"Reactive / fragmented",IF(A5&lt;3,"Developing / partially effective",IF(A5&lt;3.5,"Coordinated / effective","Optimised / adaptive")))))</f>
        <v>Not assessed</v>
      </c>
      <c r="E5" s="167"/>
      <c r="F5" s="168"/>
      <c r="G5" s="175">
        <f>(IF(Assessment!C6&lt;&gt;"",1,0)+IF(Assessment!C7&lt;&gt;"",1,0)+IF(Assessment!C8&lt;&gt;"",1,0)+IF(Assessment!C9&lt;&gt;"",1,0)+IF(Assessment!C10&lt;&gt;"",1,0)+IF(Assessment!C11&lt;&gt;"",1,0)+IF(Assessment!C15&lt;&gt;"",1,0)+IF(Assessment!C16&lt;&gt;"",1,0)+IF(Assessment!C17&lt;&gt;"",1,0)+IF(Assessment!C18&lt;&gt;"",1,0)+IF(Assessment!C19&lt;&gt;"",1,0)+IF(Assessment!C20&lt;&gt;"",1,0)+IF(Assessment!C24&lt;&gt;"",1,0)+IF(Assessment!C25&lt;&gt;"",1,0)+IF(Assessment!C26&lt;&gt;"",1,0)+IF(Assessment!C27&lt;&gt;"",1,0)+IF(Assessment!C28&lt;&gt;"",1,0)+IF(Assessment!C29&lt;&gt;"",1,0)+IF(Assessment!C33&lt;&gt;"",1,0)+IF(Assessment!C34&lt;&gt;"",1,0)+IF(Assessment!C35&lt;&gt;"",1,0)+IF(Assessment!C36&lt;&gt;"",1,0)+IF(Assessment!C37&lt;&gt;"",1,0)+IF(Assessment!C38&lt;&gt;"",1,0)+IF(Assessment!C42&lt;&gt;"",1,0)+IF(Assessment!C43&lt;&gt;"",1,0)+IF(Assessment!C44&lt;&gt;"",1,0)+IF(Assessment!C45&lt;&gt;"",1,0)+IF(Assessment!C46&lt;&gt;"",1,0)+IF(Assessment!C47&lt;&gt;"",1,0)+IF(Assessment!C51&lt;&gt;"",1,0)+IF(Assessment!C52&lt;&gt;"",1,0)+IF(Assessment!C53&lt;&gt;"",1,0)+IF(Assessment!C54&lt;&gt;"",1,0)+IF(Assessment!C55&lt;&gt;"",1,0)+IF(Assessment!C56&lt;&gt;"",1,0)+IF(Assessment!C60&lt;&gt;"",1,0)+IF(Assessment!C61&lt;&gt;"",1,0)+IF(Assessment!C62&lt;&gt;"",1,0)+IF(Assessment!C63&lt;&gt;"",1,0)+IF(Assessment!C64&lt;&gt;"",1,0)+IF(Assessment!C65&lt;&gt;"",1,0)+IF(Assessment!C69&lt;&gt;"",1,0)+IF(Assessment!C70&lt;&gt;"",1,0)+IF(Assessment!C71&lt;&gt;"",1,0)+IF(Assessment!C72&lt;&gt;"",1,0)+IF(Assessment!C73&lt;&gt;"",1,0)+IF(Assessment!C74&lt;&gt;"",1,0))/48</f>
        <v>0</v>
      </c>
      <c r="H5" s="176"/>
      <c r="I5" s="177"/>
      <c r="J5" s="166" t="str">
        <f>IF('National Context'!$C$22="","Not assessed",'National Context'!$C$22)</f>
        <v>Not assessed</v>
      </c>
      <c r="K5" s="167"/>
      <c r="L5" s="168"/>
    </row>
    <row r="6" spans="1:15">
      <c r="A6" s="160"/>
      <c r="B6" s="161"/>
      <c r="C6" s="162"/>
      <c r="D6" s="169"/>
      <c r="E6" s="170"/>
      <c r="F6" s="171"/>
      <c r="G6" s="178"/>
      <c r="H6" s="179"/>
      <c r="I6" s="180"/>
      <c r="J6" s="169"/>
      <c r="K6" s="170"/>
      <c r="L6" s="171"/>
    </row>
    <row r="7" spans="1:15">
      <c r="A7" s="163"/>
      <c r="B7" s="164"/>
      <c r="C7" s="165"/>
      <c r="D7" s="172"/>
      <c r="E7" s="173"/>
      <c r="F7" s="174"/>
      <c r="G7" s="181"/>
      <c r="H7" s="182"/>
      <c r="I7" s="183"/>
      <c r="J7" s="172"/>
      <c r="K7" s="173"/>
      <c r="L7" s="174"/>
    </row>
    <row r="10" spans="1:15" ht="31.5">
      <c r="A10" s="109" t="s">
        <v>331</v>
      </c>
      <c r="B10" s="109"/>
      <c r="C10" s="109"/>
      <c r="D10" s="109"/>
      <c r="E10" s="109"/>
      <c r="F10" s="109"/>
      <c r="H10" s="109" t="s">
        <v>332</v>
      </c>
      <c r="I10" s="109"/>
      <c r="J10" s="109"/>
      <c r="K10" s="109"/>
      <c r="L10" s="109"/>
    </row>
    <row r="11" spans="1:15">
      <c r="M11" t="s">
        <v>259</v>
      </c>
      <c r="N11" t="s">
        <v>333</v>
      </c>
      <c r="O11" t="s">
        <v>334</v>
      </c>
    </row>
    <row r="12" spans="1:15">
      <c r="A12" s="1" t="s">
        <v>259</v>
      </c>
      <c r="B12" s="2" t="s">
        <v>260</v>
      </c>
      <c r="C12" s="2" t="s">
        <v>261</v>
      </c>
      <c r="D12" s="2" t="s">
        <v>262</v>
      </c>
      <c r="E12" s="2" t="s">
        <v>263</v>
      </c>
      <c r="F12" s="3" t="s">
        <v>264</v>
      </c>
      <c r="H12" s="1" t="s">
        <v>86</v>
      </c>
      <c r="I12" s="2" t="s">
        <v>262</v>
      </c>
      <c r="J12" s="2" t="s">
        <v>265</v>
      </c>
      <c r="K12" s="2" t="s">
        <v>115</v>
      </c>
      <c r="L12" s="3" t="s">
        <v>75</v>
      </c>
      <c r="M12" t="str">
        <f t="shared" ref="M12:M19" si="0">A13</f>
        <v>Governance</v>
      </c>
      <c r="N12" t="str">
        <f t="shared" ref="N12:N19" si="1">IF(B13="","",B13)</f>
        <v/>
      </c>
      <c r="O12">
        <f>'Start Here'!$B$8</f>
        <v>3</v>
      </c>
    </row>
    <row r="13" spans="1:15" ht="15">
      <c r="A13" s="53" t="s">
        <v>266</v>
      </c>
      <c r="B13" s="52" t="str">
        <f>IF((IF(Assessment!C6&lt;&gt;"",1,0)+IF(Assessment!C7&lt;&gt;"",1,0)+IF(Assessment!C8&lt;&gt;"",1,0)+IF(Assessment!C9&lt;&gt;"",1,0)+IF(Assessment!C10&lt;&gt;"",1,0)+IF(Assessment!C11&lt;&gt;"",1,0))=0,"",(IF(Assessment!C6="",0,Assessment!D6)+IF(Assessment!C7="",0,Assessment!D7)+IF(Assessment!C8="",0,Assessment!D8)+IF(Assessment!C9="",0,Assessment!D9)+IF(Assessment!C10="",0,Assessment!D10)+IF(Assessment!C11="",0,Assessment!D11))/(IF(Assessment!C6&lt;&gt;"",1,0)+IF(Assessment!C7&lt;&gt;"",1,0)+IF(Assessment!C8&lt;&gt;"",1,0)+IF(Assessment!C9&lt;&gt;"",1,0)+IF(Assessment!C10&lt;&gt;"",1,0)+IF(Assessment!C11&lt;&gt;"",1,0)))</f>
        <v/>
      </c>
      <c r="C13" s="56" t="str">
        <f>IF(COUNTIF(Assessment!C6:C11,"&lt;&gt;")=0,"Not assessed",IF(COUNTIF(Assessment!C6:C11,"&lt;&gt;")&lt;6,"Provisional — ","")&amp;IF(B13&lt;1,"Highly fragmented",IF(B13&lt;2,"Reactive / fragmented",IF(B13&lt;3,"Developing",IF(B13&lt;3.5,"Effective","Optimised")))))</f>
        <v>Not assessed</v>
      </c>
      <c r="D13" s="57">
        <v>6</v>
      </c>
      <c r="E13" s="57">
        <f>IF(AND(Assessment!C6&lt;&gt;"",Assessment!I6="High"),1,0)+IF(AND(Assessment!C7&lt;&gt;"",Assessment!I7="High"),1,0)+IF(AND(Assessment!C8&lt;&gt;"",Assessment!I8="High"),1,0)+IF(AND(Assessment!C9&lt;&gt;"",Assessment!I9="High"),1,0)+IF(AND(Assessment!C10&lt;&gt;"",Assessment!I10="High"),1,0)+IF(AND(Assessment!C11&lt;&gt;"",Assessment!I11="High"),1,0)</f>
        <v>0</v>
      </c>
      <c r="F13" s="58">
        <f>COUNTIFS(Assessment!C6:C11,"&lt;&gt;",Assessment!D6:D11,"&lt;"&amp;'Start Here'!$B$8)</f>
        <v>0</v>
      </c>
      <c r="H13" s="22" t="s">
        <v>141</v>
      </c>
      <c r="I13" s="23">
        <v>28</v>
      </c>
      <c r="J13" s="23">
        <f>IF(Assessment!C7&lt;&gt;"",1,0)+IF(Assessment!C9&lt;&gt;"",1,0)+IF(Assessment!C10&lt;&gt;"",1,0)+IF(Assessment!C16&lt;&gt;"",1,0)+IF(Assessment!C18&lt;&gt;"",1,0)+IF(Assessment!C24&lt;&gt;"",1,0)+IF(Assessment!C26&lt;&gt;"",1,0)+IF(Assessment!C27&lt;&gt;"",1,0)+IF(Assessment!C29&lt;&gt;"",1,0)+IF(Assessment!C33&lt;&gt;"",1,0)+IF(Assessment!C34&lt;&gt;"",1,0)+IF(Assessment!C37&lt;&gt;"",1,0)+IF(Assessment!C43&lt;&gt;"",1,0)+IF(Assessment!C46&lt;&gt;"",1,0)+IF(Assessment!C51&lt;&gt;"",1,0)+IF(Assessment!C52&lt;&gt;"",1,0)+IF(Assessment!C53&lt;&gt;"",1,0)+IF(Assessment!C56&lt;&gt;"",1,0)+IF(Assessment!C60&lt;&gt;"",1,0)+IF(Assessment!C61&lt;&gt;"",1,0)+IF(Assessment!C62&lt;&gt;"",1,0)+IF(Assessment!C64&lt;&gt;"",1,0)+IF(Assessment!C65&lt;&gt;"",1,0)+IF(Assessment!C69&lt;&gt;"",1,0)+IF(Assessment!C70&lt;&gt;"",1,0)+IF(Assessment!C71&lt;&gt;"",1,0)+IF(Assessment!C73&lt;&gt;"",1,0)+IF(Assessment!C74&lt;&gt;"",1,0)</f>
        <v>0</v>
      </c>
      <c r="K13" s="31" t="str">
        <f>IF(J13=0,"",(IF(Assessment!C7="",0,Assessment!D7)+IF(Assessment!C9="",0,Assessment!D9)+IF(Assessment!C10="",0,Assessment!D10)+IF(Assessment!C16="",0,Assessment!D16)+IF(Assessment!C18="",0,Assessment!D18)+IF(Assessment!C24="",0,Assessment!D24)+IF(Assessment!C26="",0,Assessment!D26)+IF(Assessment!C27="",0,Assessment!D27)+IF(Assessment!C29="",0,Assessment!D29)+IF(Assessment!C33="",0,Assessment!D33)+IF(Assessment!C34="",0,Assessment!D34)+IF(Assessment!C37="",0,Assessment!D37)+IF(Assessment!C43="",0,Assessment!D43)+IF(Assessment!C46="",0,Assessment!D46)+IF(Assessment!C51="",0,Assessment!D51)+IF(Assessment!C52="",0,Assessment!D52)+IF(Assessment!C53="",0,Assessment!D53)+IF(Assessment!C56="",0,Assessment!D56)+IF(Assessment!C60="",0,Assessment!D60)+IF(Assessment!C61="",0,Assessment!D61)+IF(Assessment!C62="",0,Assessment!D62)+IF(Assessment!C64="",0,Assessment!D64)+IF(Assessment!C65="",0,Assessment!D65)+IF(Assessment!C69="",0,Assessment!D69)+IF(Assessment!C70="",0,Assessment!D70)+IF(Assessment!C71="",0,Assessment!D71)+IF(Assessment!C73="",0,Assessment!D73)+IF(Assessment!C74="",0,Assessment!D74))/J13)</f>
        <v/>
      </c>
      <c r="L13" s="24" t="str">
        <f>IF(J13=0,"Not assessed",IF(K13&lt;1,"Highly fragmented",IF(K13&lt;2,"Weak",IF(K13&lt;3,"Developing","Effective"))))</f>
        <v>Not assessed</v>
      </c>
      <c r="M13" t="str">
        <f t="shared" si="0"/>
        <v>Management</v>
      </c>
      <c r="N13" t="str">
        <f t="shared" si="1"/>
        <v/>
      </c>
      <c r="O13">
        <f>'Start Here'!$B$8</f>
        <v>3</v>
      </c>
    </row>
    <row r="14" spans="1:15" ht="15">
      <c r="A14" s="54" t="s">
        <v>267</v>
      </c>
      <c r="B14" s="52" t="str">
        <f>IF((IF(Assessment!C15&lt;&gt;"",1,0)+IF(Assessment!C16&lt;&gt;"",1,0)+IF(Assessment!C17&lt;&gt;"",1,0)+IF(Assessment!C18&lt;&gt;"",1,0)+IF(Assessment!C19&lt;&gt;"",1,0)+IF(Assessment!C20&lt;&gt;"",1,0))=0,"",(IF(Assessment!C15="",0,Assessment!D15)+IF(Assessment!C16="",0,Assessment!D16)+IF(Assessment!C17="",0,Assessment!D17)+IF(Assessment!C18="",0,Assessment!D18)+IF(Assessment!C19="",0,Assessment!D19)+IF(Assessment!C20="",0,Assessment!D20))/(IF(Assessment!C15&lt;&gt;"",1,0)+IF(Assessment!C16&lt;&gt;"",1,0)+IF(Assessment!C17&lt;&gt;"",1,0)+IF(Assessment!C18&lt;&gt;"",1,0)+IF(Assessment!C19&lt;&gt;"",1,0)+IF(Assessment!C20&lt;&gt;"",1,0)))</f>
        <v/>
      </c>
      <c r="C14" s="59" t="str">
        <f>IF(COUNTIF(Assessment!C15:C20,"&lt;&gt;")=0,"Not assessed",IF(COUNTIF(Assessment!C15:C20,"&lt;&gt;")&lt;6,"Provisional — ","")&amp;IF(B14&lt;1,"Highly fragmented",IF(B14&lt;2,"Reactive / fragmented",IF(B14&lt;3,"Developing",IF(B14&lt;3.5,"Effective","Optimised")))))</f>
        <v>Not assessed</v>
      </c>
      <c r="D14" s="60">
        <v>6</v>
      </c>
      <c r="E14" s="60">
        <f>IF(AND(Assessment!C15&lt;&gt;"",Assessment!I15="High"),1,0)+IF(AND(Assessment!C16&lt;&gt;"",Assessment!I16="High"),1,0)+IF(AND(Assessment!C17&lt;&gt;"",Assessment!I17="High"),1,0)+IF(AND(Assessment!C18&lt;&gt;"",Assessment!I18="High"),1,0)+IF(AND(Assessment!C19&lt;&gt;"",Assessment!I19="High"),1,0)+IF(AND(Assessment!C20&lt;&gt;"",Assessment!I20="High"),1,0)</f>
        <v>0</v>
      </c>
      <c r="F14" s="61">
        <f>COUNTIFS(Assessment!C15:C20,"&lt;&gt;",Assessment!D15:D20,"&lt;"&amp;'Start Here'!$B$8)</f>
        <v>0</v>
      </c>
      <c r="H14" s="25" t="s">
        <v>145</v>
      </c>
      <c r="I14" s="26">
        <v>25</v>
      </c>
      <c r="J14" s="26">
        <f>IF(Assessment!C7&lt;&gt;"",1,0)+IF(Assessment!C10&lt;&gt;"",1,0)+IF(Assessment!C16&lt;&gt;"",1,0)+IF(Assessment!C18&lt;&gt;"",1,0)+IF(Assessment!C19&lt;&gt;"",1,0)+IF(Assessment!C25&lt;&gt;"",1,0)+IF(Assessment!C28&lt;&gt;"",1,0)+IF(Assessment!C29&lt;&gt;"",1,0)+IF(Assessment!C33&lt;&gt;"",1,0)+IF(Assessment!C34&lt;&gt;"",1,0)+IF(Assessment!C36&lt;&gt;"",1,0)+IF(Assessment!C43&lt;&gt;"",1,0)+IF(Assessment!C45&lt;&gt;"",1,0)+IF(Assessment!C47&lt;&gt;"",1,0)+IF(Assessment!C52&lt;&gt;"",1,0)+IF(Assessment!C61&lt;&gt;"",1,0)+IF(Assessment!C62&lt;&gt;"",1,0)+IF(Assessment!C63&lt;&gt;"",1,0)+IF(Assessment!C64&lt;&gt;"",1,0)+IF(Assessment!C65&lt;&gt;"",1,0)+IF(Assessment!C69&lt;&gt;"",1,0)+IF(Assessment!C70&lt;&gt;"",1,0)+IF(Assessment!C71&lt;&gt;"",1,0)+IF(Assessment!C72&lt;&gt;"",1,0)+IF(Assessment!C74&lt;&gt;"",1,0)</f>
        <v>0</v>
      </c>
      <c r="K14" s="32" t="str">
        <f>IF(J14=0,"",(IF(Assessment!C7="",0,Assessment!D7)+IF(Assessment!C10="",0,Assessment!D10)+IF(Assessment!C16="",0,Assessment!D16)+IF(Assessment!C18="",0,Assessment!D18)+IF(Assessment!C19="",0,Assessment!D19)+IF(Assessment!C25="",0,Assessment!D25)+IF(Assessment!C28="",0,Assessment!D28)+IF(Assessment!C29="",0,Assessment!D29)+IF(Assessment!C33="",0,Assessment!D33)+IF(Assessment!C34="",0,Assessment!D34)+IF(Assessment!C36="",0,Assessment!D36)+IF(Assessment!C43="",0,Assessment!D43)+IF(Assessment!C45="",0,Assessment!D45)+IF(Assessment!C47="",0,Assessment!D47)+IF(Assessment!C52="",0,Assessment!D52)+IF(Assessment!C61="",0,Assessment!D61)+IF(Assessment!C62="",0,Assessment!D62)+IF(Assessment!C63="",0,Assessment!D63)+IF(Assessment!C64="",0,Assessment!D64)+IF(Assessment!C65="",0,Assessment!D65)+IF(Assessment!C69="",0,Assessment!D69)+IF(Assessment!C70="",0,Assessment!D70)+IF(Assessment!C71="",0,Assessment!D71)+IF(Assessment!C72="",0,Assessment!D72)+IF(Assessment!C74="",0,Assessment!D74))/J14)</f>
        <v/>
      </c>
      <c r="L14" s="27" t="str">
        <f>IF(J14=0,"Not assessed",IF(K14&lt;1,"Highly fragmented",IF(K14&lt;2,"Weak",IF(K14&lt;3,"Developing","Effective"))))</f>
        <v>Not assessed</v>
      </c>
      <c r="M14" t="str">
        <f t="shared" si="0"/>
        <v>Physical Resources</v>
      </c>
      <c r="N14" t="str">
        <f t="shared" si="1"/>
        <v/>
      </c>
      <c r="O14">
        <f>'Start Here'!$B$8</f>
        <v>3</v>
      </c>
    </row>
    <row r="15" spans="1:15" ht="28.5">
      <c r="A15" s="54" t="s">
        <v>268</v>
      </c>
      <c r="B15" s="52" t="str">
        <f>IF((IF(Assessment!C24&lt;&gt;"",1,0)+IF(Assessment!C25&lt;&gt;"",1,0)+IF(Assessment!C26&lt;&gt;"",1,0)+IF(Assessment!C27&lt;&gt;"",1,0)+IF(Assessment!C28&lt;&gt;"",1,0)+IF(Assessment!C29&lt;&gt;"",1,0))=0,"",(IF(Assessment!C24="",0,Assessment!D24)+IF(Assessment!C25="",0,Assessment!D25)+IF(Assessment!C26="",0,Assessment!D26)+IF(Assessment!C27="",0,Assessment!D27)+IF(Assessment!C28="",0,Assessment!D28)+IF(Assessment!C29="",0,Assessment!D29))/(IF(Assessment!C24&lt;&gt;"",1,0)+IF(Assessment!C25&lt;&gt;"",1,0)+IF(Assessment!C26&lt;&gt;"",1,0)+IF(Assessment!C27&lt;&gt;"",1,0)+IF(Assessment!C28&lt;&gt;"",1,0)+IF(Assessment!C29&lt;&gt;"",1,0)))</f>
        <v/>
      </c>
      <c r="C15" s="59" t="str">
        <f>IF(COUNTIF(Assessment!C24:C29,"&lt;&gt;")=0,"Not assessed",IF(COUNTIF(Assessment!C24:C29,"&lt;&gt;")&lt;6,"Provisional — ","")&amp;IF(B15&lt;1,"Highly fragmented",IF(B15&lt;2,"Reactive / fragmented",IF(B15&lt;3,"Developing",IF(B15&lt;3.5,"Effective","Optimised")))))</f>
        <v>Not assessed</v>
      </c>
      <c r="D15" s="60">
        <v>6</v>
      </c>
      <c r="E15" s="60">
        <f>IF(AND(Assessment!C24&lt;&gt;"",Assessment!I24="High"),1,0)+IF(AND(Assessment!C25&lt;&gt;"",Assessment!I25="High"),1,0)+IF(AND(Assessment!C26&lt;&gt;"",Assessment!I26="High"),1,0)+IF(AND(Assessment!C27&lt;&gt;"",Assessment!I27="High"),1,0)+IF(AND(Assessment!C28&lt;&gt;"",Assessment!I28="High"),1,0)+IF(AND(Assessment!C29&lt;&gt;"",Assessment!I29="High"),1,0)</f>
        <v>0</v>
      </c>
      <c r="F15" s="61">
        <f>COUNTIFS(Assessment!C24:C29,"&lt;&gt;",Assessment!D24:D29,"&lt;"&amp;'Start Here'!$B$8)</f>
        <v>0</v>
      </c>
      <c r="H15" s="28" t="s">
        <v>93</v>
      </c>
      <c r="I15" s="29">
        <v>28</v>
      </c>
      <c r="J15" s="29">
        <f>IF(Assessment!C6&lt;&gt;"",1,0)+IF(Assessment!C7&lt;&gt;"",1,0)+IF(Assessment!C8&lt;&gt;"",1,0)+IF(Assessment!C9&lt;&gt;"",1,0)+IF(Assessment!C11&lt;&gt;"",1,0)+IF(Assessment!C15&lt;&gt;"",1,0)+IF(Assessment!C16&lt;&gt;"",1,0)+IF(Assessment!C17&lt;&gt;"",1,0)+IF(Assessment!C19&lt;&gt;"",1,0)+IF(Assessment!C20&lt;&gt;"",1,0)+IF(Assessment!C26&lt;&gt;"",1,0)+IF(Assessment!C27&lt;&gt;"",1,0)+IF(Assessment!C28&lt;&gt;"",1,0)+IF(Assessment!C29&lt;&gt;"",1,0)+IF(Assessment!C35&lt;&gt;"",1,0)+IF(Assessment!C37&lt;&gt;"",1,0)+IF(Assessment!C38&lt;&gt;"",1,0)+IF(Assessment!C42&lt;&gt;"",1,0)+IF(Assessment!C43&lt;&gt;"",1,0)+IF(Assessment!C44&lt;&gt;"",1,0)+IF(Assessment!C46&lt;&gt;"",1,0)+IF(Assessment!C47&lt;&gt;"",1,0)+IF(Assessment!C54&lt;&gt;"",1,0)+IF(Assessment!C55&lt;&gt;"",1,0)+IF(Assessment!C56&lt;&gt;"",1,0)+IF(Assessment!C72&lt;&gt;"",1,0)+IF(Assessment!C73&lt;&gt;"",1,0)+IF(Assessment!C74&lt;&gt;"",1,0)</f>
        <v>0</v>
      </c>
      <c r="K15" s="33" t="str">
        <f>IF(J15=0,"",(IF(Assessment!C6="",0,Assessment!D6)+IF(Assessment!C7="",0,Assessment!D7)+IF(Assessment!C8="",0,Assessment!D8)+IF(Assessment!C9="",0,Assessment!D9)+IF(Assessment!C11="",0,Assessment!D11)+IF(Assessment!C15="",0,Assessment!D15)+IF(Assessment!C16="",0,Assessment!D16)+IF(Assessment!C17="",0,Assessment!D17)+IF(Assessment!C19="",0,Assessment!D19)+IF(Assessment!C20="",0,Assessment!D20)+IF(Assessment!C26="",0,Assessment!D26)+IF(Assessment!C27="",0,Assessment!D27)+IF(Assessment!C28="",0,Assessment!D28)+IF(Assessment!C29="",0,Assessment!D29)+IF(Assessment!C35="",0,Assessment!D35)+IF(Assessment!C37="",0,Assessment!D37)+IF(Assessment!C38="",0,Assessment!D38)+IF(Assessment!C42="",0,Assessment!D42)+IF(Assessment!C43="",0,Assessment!D43)+IF(Assessment!C44="",0,Assessment!D44)+IF(Assessment!C46="",0,Assessment!D46)+IF(Assessment!C47="",0,Assessment!D47)+IF(Assessment!C54="",0,Assessment!D54)+IF(Assessment!C55="",0,Assessment!D55)+IF(Assessment!C56="",0,Assessment!D56)+IF(Assessment!C72="",0,Assessment!D72)+IF(Assessment!C73="",0,Assessment!D73)+IF(Assessment!C74="",0,Assessment!D74))/J15)</f>
        <v/>
      </c>
      <c r="L15" s="30" t="str">
        <f>IF(J15=0,"Not assessed",IF(K15&lt;1,"Highly fragmented",IF(K15&lt;2,"Weak",IF(K15&lt;3,"Developing","Effective"))))</f>
        <v>Not assessed</v>
      </c>
      <c r="M15" t="str">
        <f t="shared" si="0"/>
        <v>Human Resources</v>
      </c>
      <c r="N15" t="str">
        <f t="shared" si="1"/>
        <v/>
      </c>
      <c r="O15">
        <f>'Start Here'!$B$8</f>
        <v>3</v>
      </c>
    </row>
    <row r="16" spans="1:15" ht="15">
      <c r="A16" s="54" t="s">
        <v>269</v>
      </c>
      <c r="B16" s="52" t="str">
        <f>IF((IF(Assessment!C33&lt;&gt;"",1,0)+IF(Assessment!C34&lt;&gt;"",1,0)+IF(Assessment!C35&lt;&gt;"",1,0)+IF(Assessment!C36&lt;&gt;"",1,0)+IF(Assessment!C37&lt;&gt;"",1,0)+IF(Assessment!C38&lt;&gt;"",1,0))=0,"",(IF(Assessment!C33="",0,Assessment!D33)+IF(Assessment!C34="",0,Assessment!D34)+IF(Assessment!C35="",0,Assessment!D35)+IF(Assessment!C36="",0,Assessment!D36)+IF(Assessment!C37="",0,Assessment!D37)+IF(Assessment!C38="",0,Assessment!D38))/(IF(Assessment!C33&lt;&gt;"",1,0)+IF(Assessment!C34&lt;&gt;"",1,0)+IF(Assessment!C35&lt;&gt;"",1,0)+IF(Assessment!C36&lt;&gt;"",1,0)+IF(Assessment!C37&lt;&gt;"",1,0)+IF(Assessment!C38&lt;&gt;"",1,0)))</f>
        <v/>
      </c>
      <c r="C16" s="59" t="str">
        <f>IF(COUNTIF(Assessment!C33:C38,"&lt;&gt;")=0,"Not assessed",IF(COUNTIF(Assessment!C33:C38,"&lt;&gt;")&lt;6,"Provisional — ","")&amp;IF(B16&lt;1,"Highly fragmented",IF(B16&lt;2,"Reactive / fragmented",IF(B16&lt;3,"Developing",IF(B16&lt;3.5,"Effective","Optimised")))))</f>
        <v>Not assessed</v>
      </c>
      <c r="D16" s="60">
        <v>6</v>
      </c>
      <c r="E16" s="60">
        <f>IF(AND(Assessment!C33&lt;&gt;"",Assessment!I33="High"),1,0)+IF(AND(Assessment!C34&lt;&gt;"",Assessment!I34="High"),1,0)+IF(AND(Assessment!C35&lt;&gt;"",Assessment!I35="High"),1,0)+IF(AND(Assessment!C36&lt;&gt;"",Assessment!I36="High"),1,0)+IF(AND(Assessment!C37&lt;&gt;"",Assessment!I37="High"),1,0)+IF(AND(Assessment!C38&lt;&gt;"",Assessment!I38="High"),1,0)</f>
        <v>0</v>
      </c>
      <c r="F16" s="61">
        <f>COUNTIFS(Assessment!C33:C38,"&lt;&gt;",Assessment!D33:D38,"&lt;"&amp;'Start Here'!$B$8)</f>
        <v>0</v>
      </c>
      <c r="M16" t="str">
        <f t="shared" si="0"/>
        <v>Financial Management &amp; Controls</v>
      </c>
      <c r="N16" t="str">
        <f t="shared" si="1"/>
        <v/>
      </c>
      <c r="O16">
        <f>'Start Here'!$B$8</f>
        <v>3</v>
      </c>
    </row>
    <row r="17" spans="1:15" ht="15">
      <c r="A17" s="54" t="s">
        <v>270</v>
      </c>
      <c r="B17" s="52" t="str">
        <f>IF((IF(Assessment!C42&lt;&gt;"",1,0)+IF(Assessment!C43&lt;&gt;"",1,0)+IF(Assessment!C44&lt;&gt;"",1,0)+IF(Assessment!C45&lt;&gt;"",1,0)+IF(Assessment!C46&lt;&gt;"",1,0)+IF(Assessment!C47&lt;&gt;"",1,0))=0,"",(IF(Assessment!C42="",0,Assessment!D42)+IF(Assessment!C43="",0,Assessment!D43)+IF(Assessment!C44="",0,Assessment!D44)+IF(Assessment!C45="",0,Assessment!D45)+IF(Assessment!C46="",0,Assessment!D46)+IF(Assessment!C47="",0,Assessment!D47))/(IF(Assessment!C42&lt;&gt;"",1,0)+IF(Assessment!C43&lt;&gt;"",1,0)+IF(Assessment!C44&lt;&gt;"",1,0)+IF(Assessment!C45&lt;&gt;"",1,0)+IF(Assessment!C46&lt;&gt;"",1,0)+IF(Assessment!C47&lt;&gt;"",1,0)))</f>
        <v/>
      </c>
      <c r="C17" s="59" t="str">
        <f>IF(COUNTIF(Assessment!C42:C47,"&lt;&gt;")=0,"Not assessed",IF(COUNTIF(Assessment!C42:C47,"&lt;&gt;")&lt;6,"Provisional — ","")&amp;IF(B17&lt;1,"Highly fragmented",IF(B17&lt;2,"Reactive / fragmented",IF(B17&lt;3,"Developing",IF(B17&lt;3.5,"Effective","Optimised")))))</f>
        <v>Not assessed</v>
      </c>
      <c r="D17" s="60">
        <v>6</v>
      </c>
      <c r="E17" s="60">
        <f>IF(AND(Assessment!C42&lt;&gt;"",Assessment!I42="High"),1,0)+IF(AND(Assessment!C43&lt;&gt;"",Assessment!I43="High"),1,0)+IF(AND(Assessment!C44&lt;&gt;"",Assessment!I44="High"),1,0)+IF(AND(Assessment!C45&lt;&gt;"",Assessment!I45="High"),1,0)+IF(AND(Assessment!C46&lt;&gt;"",Assessment!I46="High"),1,0)+IF(AND(Assessment!C47&lt;&gt;"",Assessment!I47="High"),1,0)</f>
        <v>0</v>
      </c>
      <c r="F17" s="61">
        <f>COUNTIFS(Assessment!C42:C47,"&lt;&gt;",Assessment!D42:D47,"&lt;"&amp;'Start Here'!$B$8)</f>
        <v>0</v>
      </c>
      <c r="M17" t="str">
        <f t="shared" si="0"/>
        <v>Communications &amp; Marketing</v>
      </c>
      <c r="N17" t="str">
        <f t="shared" si="1"/>
        <v/>
      </c>
      <c r="O17">
        <f>'Start Here'!$B$8</f>
        <v>3</v>
      </c>
    </row>
    <row r="18" spans="1:15" ht="15.75">
      <c r="A18" s="54" t="s">
        <v>271</v>
      </c>
      <c r="B18" s="52" t="str">
        <f>IF((IF(Assessment!C51&lt;&gt;"",1,0)+IF(Assessment!C52&lt;&gt;"",1,0)+IF(Assessment!C53&lt;&gt;"",1,0)+IF(Assessment!C54&lt;&gt;"",1,0)+IF(Assessment!C55&lt;&gt;"",1,0)+IF(Assessment!C56&lt;&gt;"",1,0))=0,"",(IF(Assessment!C51="",0,Assessment!D51)+IF(Assessment!C52="",0,Assessment!D52)+IF(Assessment!C53="",0,Assessment!D53)+IF(Assessment!C54="",0,Assessment!D54)+IF(Assessment!C55="",0,Assessment!D55)+IF(Assessment!C56="",0,Assessment!D56))/(IF(Assessment!C51&lt;&gt;"",1,0)+IF(Assessment!C52&lt;&gt;"",1,0)+IF(Assessment!C53&lt;&gt;"",1,0)+IF(Assessment!C54&lt;&gt;"",1,0)+IF(Assessment!C55&lt;&gt;"",1,0)+IF(Assessment!C56&lt;&gt;"",1,0)))</f>
        <v/>
      </c>
      <c r="C18" s="59" t="str">
        <f>IF(COUNTIF(Assessment!C51:C56,"&lt;&gt;")=0,"Not assessed",IF(COUNTIF(Assessment!C51:C56,"&lt;&gt;")&lt;6,"Provisional — ","")&amp;IF(B18&lt;1,"Highly fragmented",IF(B18&lt;2,"Reactive / fragmented",IF(B18&lt;3,"Developing",IF(B18&lt;3.5,"Effective","Optimised")))))</f>
        <v>Not assessed</v>
      </c>
      <c r="D18" s="60">
        <v>6</v>
      </c>
      <c r="E18" s="60">
        <f>IF(AND(Assessment!C51&lt;&gt;"",Assessment!I51="High"),1,0)+IF(AND(Assessment!C52&lt;&gt;"",Assessment!I52="High"),1,0)+IF(AND(Assessment!C53&lt;&gt;"",Assessment!I53="High"),1,0)+IF(AND(Assessment!C54&lt;&gt;"",Assessment!I54="High"),1,0)+IF(AND(Assessment!C55&lt;&gt;"",Assessment!I55="High"),1,0)+IF(AND(Assessment!C56&lt;&gt;"",Assessment!I56="High"),1,0)</f>
        <v>0</v>
      </c>
      <c r="F18" s="61">
        <f>COUNTIFS(Assessment!C51:C56,"&lt;&gt;",Assessment!D51:D56,"&lt;"&amp;'Start Here'!$B$8)</f>
        <v>0</v>
      </c>
      <c r="H18" s="122" t="s">
        <v>272</v>
      </c>
      <c r="I18" s="122"/>
      <c r="J18" s="122"/>
      <c r="K18" s="122"/>
      <c r="L18" s="122"/>
      <c r="M18" t="str">
        <f t="shared" si="0"/>
        <v>Sport Activity</v>
      </c>
      <c r="N18" t="str">
        <f t="shared" si="1"/>
        <v/>
      </c>
      <c r="O18">
        <f>'Start Here'!$B$8</f>
        <v>3</v>
      </c>
    </row>
    <row r="19" spans="1:15" ht="15">
      <c r="A19" s="54" t="s">
        <v>273</v>
      </c>
      <c r="B19" s="52" t="str">
        <f>IF((IF(Assessment!C60&lt;&gt;"",1,0)+IF(Assessment!C61&lt;&gt;"",1,0)+IF(Assessment!C62&lt;&gt;"",1,0)+IF(Assessment!C63&lt;&gt;"",1,0)+IF(Assessment!C64&lt;&gt;"",1,0)+IF(Assessment!C65&lt;&gt;"",1,0))=0,"",(IF(Assessment!C60="",0,Assessment!D60)+IF(Assessment!C61="",0,Assessment!D61)+IF(Assessment!C62="",0,Assessment!D62)+IF(Assessment!C63="",0,Assessment!D63)+IF(Assessment!C64="",0,Assessment!D64)+IF(Assessment!C65="",0,Assessment!D65))/(IF(Assessment!C60&lt;&gt;"",1,0)+IF(Assessment!C61&lt;&gt;"",1,0)+IF(Assessment!C62&lt;&gt;"",1,0)+IF(Assessment!C63&lt;&gt;"",1,0)+IF(Assessment!C64&lt;&gt;"",1,0)+IF(Assessment!C65&lt;&gt;"",1,0)))</f>
        <v/>
      </c>
      <c r="C19" s="59" t="str">
        <f>IF(COUNTIF(Assessment!C60:C65,"&lt;&gt;")=0,"Not assessed",IF(COUNTIF(Assessment!C60:C65,"&lt;&gt;")&lt;6,"Provisional — ","")&amp;IF(B19&lt;1,"Highly fragmented",IF(B19&lt;2,"Reactive / fragmented",IF(B19&lt;3,"Developing",IF(B19&lt;3.5,"Effective","Optimised")))))</f>
        <v>Not assessed</v>
      </c>
      <c r="D19" s="60">
        <v>6</v>
      </c>
      <c r="E19" s="60">
        <f>IF(AND(Assessment!C60&lt;&gt;"",Assessment!I60="High"),1,0)+IF(AND(Assessment!C61&lt;&gt;"",Assessment!I61="High"),1,0)+IF(AND(Assessment!C62&lt;&gt;"",Assessment!I62="High"),1,0)+IF(AND(Assessment!C63&lt;&gt;"",Assessment!I63="High"),1,0)+IF(AND(Assessment!C64&lt;&gt;"",Assessment!I64="High"),1,0)+IF(AND(Assessment!C65&lt;&gt;"",Assessment!I65="High"),1,0)</f>
        <v>0</v>
      </c>
      <c r="F19" s="61">
        <f>COUNTIFS(Assessment!C60:C65,"&lt;&gt;",Assessment!D60:D65,"&lt;"&amp;'Start Here'!$B$8)</f>
        <v>0</v>
      </c>
      <c r="M19" t="str">
        <f t="shared" si="0"/>
        <v>Values</v>
      </c>
      <c r="N19" t="str">
        <f t="shared" si="1"/>
        <v/>
      </c>
      <c r="O19">
        <f>'Start Here'!$B$8</f>
        <v>3</v>
      </c>
    </row>
    <row r="20" spans="1:15" ht="15">
      <c r="A20" s="55" t="s">
        <v>274</v>
      </c>
      <c r="B20" s="52" t="str">
        <f>IF((IF(Assessment!C69&lt;&gt;"",1,0)+IF(Assessment!C70&lt;&gt;"",1,0)+IF(Assessment!C71&lt;&gt;"",1,0)+IF(Assessment!C72&lt;&gt;"",1,0)+IF(Assessment!C73&lt;&gt;"",1,0)+IF(Assessment!C74&lt;&gt;"",1,0))=0,"",(IF(Assessment!C69="",0,Assessment!D69)+IF(Assessment!C70="",0,Assessment!D70)+IF(Assessment!C71="",0,Assessment!D71)+IF(Assessment!C72="",0,Assessment!D72)+IF(Assessment!C73="",0,Assessment!D73)+IF(Assessment!C74="",0,Assessment!D74))/(IF(Assessment!C69&lt;&gt;"",1,0)+IF(Assessment!C70&lt;&gt;"",1,0)+IF(Assessment!C71&lt;&gt;"",1,0)+IF(Assessment!C72&lt;&gt;"",1,0)+IF(Assessment!C73&lt;&gt;"",1,0)+IF(Assessment!C74&lt;&gt;"",1,0)))</f>
        <v/>
      </c>
      <c r="C20" s="62" t="str">
        <f>IF(COUNTIF(Assessment!C69:C74,"&lt;&gt;")=0,"Not assessed",IF(COUNTIF(Assessment!C69:C74,"&lt;&gt;")&lt;6,"Provisional — ","")&amp;IF(B20&lt;1,"Highly fragmented",IF(B20&lt;2,"Reactive / fragmented",IF(B20&lt;3,"Developing",IF(B20&lt;3.5,"Effective","Optimised")))))</f>
        <v>Not assessed</v>
      </c>
      <c r="D20" s="63">
        <v>6</v>
      </c>
      <c r="E20" s="63">
        <f>IF(AND(Assessment!C69&lt;&gt;"",Assessment!I69="High"),1,0)+IF(AND(Assessment!C70&lt;&gt;"",Assessment!I70="High"),1,0)+IF(AND(Assessment!C71&lt;&gt;"",Assessment!I71="High"),1,0)+IF(AND(Assessment!C72&lt;&gt;"",Assessment!I72="High"),1,0)+IF(AND(Assessment!C73&lt;&gt;"",Assessment!I73="High"),1,0)+IF(AND(Assessment!C74&lt;&gt;"",Assessment!I74="High"),1,0)</f>
        <v>0</v>
      </c>
      <c r="F20" s="64">
        <f>COUNTIFS(Assessment!C69:C74,"&lt;&gt;",Assessment!D69:D74,"&lt;"&amp;'Start Here'!$B$8)</f>
        <v>0</v>
      </c>
      <c r="H20" s="91" t="str">
        <f>IF(G5=0,"Complete the assessment first.",IF(J5="","Complete National Context as well.",IF(OR(J5="Highly constrained",J5="Constrained"),IF(A5&gt;=3,"Strong capacity conversion: the system functions effectively despite material constraints.",IF(A5&gt;=2,"Developing under constraint: several functions operate, but important systemic gaps remain.","Major system gaps remain; constraints are material but do not fully explain the low effectiveness.")),IF(OR(J5="Relatively enabling",J5="Enabling"),IF(A5&gt;=3,"Effective use of an enabling national context.",IF(A5&gt;=2,"Available national capacity is not yet being converted consistently into sport-system effectiveness.","The system is under-performing relative to an enabling context.")),"Mixed context: interpret pillar results individually and distinguish structural constraints from avoidable system weaknesses."))))</f>
        <v>Complete the assessment first.</v>
      </c>
      <c r="I20" s="92"/>
      <c r="J20" s="92"/>
      <c r="K20" s="92"/>
      <c r="L20" s="93"/>
    </row>
    <row r="21" spans="1:15">
      <c r="H21" s="94"/>
      <c r="I21" s="90"/>
      <c r="J21" s="90"/>
      <c r="K21" s="90"/>
      <c r="L21" s="95"/>
    </row>
    <row r="22" spans="1:15">
      <c r="H22" s="94"/>
      <c r="I22" s="90"/>
      <c r="J22" s="90"/>
      <c r="K22" s="90"/>
      <c r="L22" s="95"/>
    </row>
    <row r="23" spans="1:15" ht="15.75">
      <c r="A23" s="109" t="s">
        <v>335</v>
      </c>
      <c r="B23" s="109"/>
      <c r="C23" s="109"/>
      <c r="D23" s="109"/>
      <c r="E23" s="109"/>
      <c r="F23" s="109"/>
      <c r="G23" s="110"/>
      <c r="H23" s="111"/>
      <c r="I23" s="111"/>
      <c r="J23" s="111"/>
      <c r="K23" s="111"/>
      <c r="L23" s="111"/>
    </row>
    <row r="25" spans="1:15" ht="28.5">
      <c r="A25" s="91" t="str">
        <f>IF(G5=0,"Complete the assessment to generate a system reading.","Overall effectiveness is "&amp;TEXT(A5,"0.00")&amp;"/4. The strongest pillar is "&amp;INDEX(A13:A20,MATCH(MAX(B13:B20),B13:B20,0))&amp;" ("&amp;TEXT(MAX(B13:B20),"0.00")&amp;"), while the weakest is "&amp;INDEX(A13:A20,MATCH(MIN(B13:B20),B13:B20,0))&amp;" ("&amp;TEXT(MIN(B13:B20),"0.00")&amp;"). "&amp;SUM(F13:F20)&amp;" of 48 questions are below target Level "&amp;'Start Here'!B8&amp;". Focus first on high-confidence gaps that constrain several parts of the sport system.")</f>
        <v>Complete the assessment to generate a system reading.</v>
      </c>
      <c r="B25" s="92"/>
      <c r="C25" s="92"/>
      <c r="D25" s="92"/>
      <c r="E25" s="92"/>
      <c r="F25" s="93"/>
    </row>
    <row r="26" spans="1:15">
      <c r="A26" s="94"/>
      <c r="B26" s="90"/>
      <c r="C26" s="90"/>
      <c r="D26" s="90"/>
      <c r="E26" s="90"/>
      <c r="F26" s="95"/>
    </row>
    <row r="27" spans="1:15" ht="30">
      <c r="A27" s="112" t="s">
        <v>336</v>
      </c>
      <c r="B27" s="112"/>
      <c r="C27" s="112"/>
      <c r="D27" s="112"/>
      <c r="E27" s="112"/>
      <c r="F27" s="112"/>
      <c r="G27" s="109"/>
      <c r="H27" s="109"/>
      <c r="I27" s="109"/>
      <c r="J27" s="109"/>
      <c r="K27" s="109"/>
      <c r="L27" s="109"/>
    </row>
    <row r="28" spans="1:15">
      <c r="A28" s="96"/>
      <c r="B28" s="97"/>
      <c r="C28" s="97"/>
      <c r="D28" s="97"/>
      <c r="E28" s="97"/>
      <c r="F28" s="98"/>
    </row>
  </sheetData>
  <mergeCells count="5">
    <mergeCell ref="A5:C7"/>
    <mergeCell ref="D5:F7"/>
    <mergeCell ref="G5:I7"/>
    <mergeCell ref="J5:L7"/>
    <mergeCell ref="H18:L18"/>
  </mergeCells>
  <conditionalFormatting sqref="B13:B20">
    <cfRule type="dataBar" priority="10">
      <dataBar>
        <cfvo type="min"/>
        <cfvo type="max"/>
        <color rgb="FFA02B93"/>
      </dataBar>
    </cfRule>
    <cfRule type="dataBar" priority="12">
      <dataBar>
        <cfvo type="min"/>
        <cfvo type="max"/>
        <color rgb="FFA02B93"/>
      </dataBar>
      <extLst>
        <ext xmlns:x14="http://schemas.microsoft.com/office/spreadsheetml/2009/9/main" uri="{B025F937-C7B1-47D3-B67F-A62EFF666E3E}">
          <x14:id>{C5593AA7-0028-5BEA-E3E0-8178783C1A47}</x14:id>
        </ext>
      </extLst>
    </cfRule>
  </conditionalFormatting>
  <conditionalFormatting sqref="F13:F20">
    <cfRule type="expression" dxfId="0" priority="2">
      <formula>F13&gt;=4</formula>
    </cfRule>
  </conditionalFormatting>
  <conditionalFormatting sqref="K13:K15">
    <cfRule type="dataBar" priority="3">
      <dataBar>
        <cfvo type="min"/>
        <cfvo type="max"/>
        <color rgb="FF0F9ED5"/>
      </dataBar>
    </cfRule>
    <cfRule type="dataBar" priority="5">
      <dataBar>
        <cfvo type="min"/>
        <cfvo type="max"/>
        <color rgb="FF0F9ED5"/>
      </dataBar>
    </cfRule>
    <cfRule type="dataBar" priority="7">
      <dataBar>
        <cfvo type="min"/>
        <cfvo type="max"/>
        <color rgb="FF0F9ED5"/>
      </dataBar>
    </cfRule>
    <cfRule type="dataBar" priority="9">
      <dataBar>
        <cfvo type="min"/>
        <cfvo type="max"/>
        <color rgb="FFA02B93"/>
      </dataBar>
    </cfRule>
    <cfRule type="dataBar" priority="11">
      <dataBar>
        <cfvo type="min"/>
        <cfvo type="max"/>
        <color rgb="FFA02B93"/>
      </dataBar>
      <extLst>
        <ext xmlns:x14="http://schemas.microsoft.com/office/spreadsheetml/2009/9/main" uri="{B025F937-C7B1-47D3-B67F-A62EFF666E3E}">
          <x14:id>{C5593AA7-0028-5BEA-E3E0-8178783C1A47}</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C5593AA7-0028-5BEA-E3E0-8178783C1A47}">
            <x14:dataBar>
              <x14:cfvo type="min"/>
              <x14:cfvo type="max"/>
              <x14:negativeFillColor auto="1"/>
              <x14:axisColor auto="1"/>
            </x14:dataBar>
          </x14:cfRule>
          <xm:sqref>B13:B20</xm:sqref>
        </x14:conditionalFormatting>
        <x14:conditionalFormatting xmlns:xm="http://schemas.microsoft.com/office/excel/2006/main">
          <x14:cfRule type="dataBar" id="{C5593AA7-0028-5BEA-E3E0-8178783C1A47}">
            <x14:dataBar>
              <x14:cfvo type="min"/>
              <x14:cfvo type="max"/>
              <x14:negativeFillColor auto="1"/>
              <x14:axisColor auto="1"/>
            </x14:dataBar>
          </x14:cfRule>
          <xm:sqref>K13:K15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2"/>
  <sheetViews>
    <sheetView workbookViewId="0">
      <selection activeCell="G3" sqref="G3:J3"/>
    </sheetView>
  </sheetViews>
  <sheetFormatPr defaultRowHeight="14.25"/>
  <cols>
    <col min="1" max="1" width="8" customWidth="1"/>
    <col min="2" max="2" width="11" customWidth="1"/>
    <col min="3" max="3" width="27" customWidth="1"/>
    <col min="4" max="4" width="48" customWidth="1"/>
    <col min="5" max="5" width="10" customWidth="1"/>
    <col min="6" max="6" width="14" customWidth="1"/>
    <col min="7" max="7" width="29" customWidth="1"/>
    <col min="8" max="8" width="62" customWidth="1"/>
    <col min="9" max="9" width="18" customWidth="1"/>
    <col min="10" max="10" width="42" customWidth="1"/>
    <col min="12" max="15" width="2" customWidth="1"/>
  </cols>
  <sheetData>
    <row r="1" spans="1:15" ht="20.25">
      <c r="A1" s="123" t="s">
        <v>337</v>
      </c>
      <c r="B1" s="123"/>
      <c r="C1" s="123"/>
      <c r="D1" s="123"/>
      <c r="E1" s="123"/>
      <c r="F1" s="123"/>
      <c r="G1" s="123"/>
      <c r="H1" s="123"/>
      <c r="I1" s="123"/>
      <c r="J1" s="123"/>
    </row>
    <row r="2" spans="1:15" ht="28.5" customHeight="1">
      <c r="A2" s="124" t="s">
        <v>338</v>
      </c>
      <c r="B2" s="125"/>
      <c r="C2" s="125"/>
      <c r="D2" s="125"/>
      <c r="E2" s="125"/>
      <c r="F2" s="125"/>
      <c r="G2" s="125"/>
      <c r="H2" s="125"/>
      <c r="I2" s="125"/>
      <c r="J2" s="126"/>
    </row>
    <row r="3" spans="1:15" ht="23.25" customHeight="1">
      <c r="A3" s="116" t="s">
        <v>339</v>
      </c>
      <c r="B3" s="118">
        <v>10</v>
      </c>
      <c r="C3" s="116" t="s">
        <v>340</v>
      </c>
      <c r="D3" s="118" t="s">
        <v>341</v>
      </c>
      <c r="E3" s="117" t="s">
        <v>342</v>
      </c>
      <c r="F3" s="118" t="s">
        <v>341</v>
      </c>
      <c r="G3" s="184" t="s">
        <v>343</v>
      </c>
      <c r="H3" s="185" t="s">
        <v>344</v>
      </c>
      <c r="I3" s="184" t="s">
        <v>345</v>
      </c>
      <c r="J3" s="186">
        <f>COUNTIF($M$5:$M$52,"&gt;0")</f>
        <v>0</v>
      </c>
    </row>
    <row r="4" spans="1:15">
      <c r="A4" s="119" t="s">
        <v>346</v>
      </c>
      <c r="B4" s="120" t="s">
        <v>77</v>
      </c>
      <c r="C4" s="120" t="s">
        <v>259</v>
      </c>
      <c r="D4" s="120" t="s">
        <v>78</v>
      </c>
      <c r="E4" s="120" t="s">
        <v>80</v>
      </c>
      <c r="F4" s="120" t="s">
        <v>85</v>
      </c>
      <c r="G4" s="120" t="s">
        <v>81</v>
      </c>
      <c r="H4" s="120" t="s">
        <v>82</v>
      </c>
      <c r="I4" s="120" t="s">
        <v>347</v>
      </c>
      <c r="J4" s="121" t="s">
        <v>348</v>
      </c>
      <c r="L4" t="s">
        <v>77</v>
      </c>
      <c r="M4" t="s">
        <v>349</v>
      </c>
      <c r="N4" t="s">
        <v>350</v>
      </c>
      <c r="O4" t="s">
        <v>259</v>
      </c>
    </row>
    <row r="5" spans="1:15" ht="48" customHeight="1">
      <c r="A5" s="26" t="str">
        <f>IF(OR(1&gt;$B$3,LARGE($M$5:$M$52,1)=0),"",1)</f>
        <v/>
      </c>
      <c r="B5" s="26" t="str">
        <f>IF(A5="","",INDEX($L$5:$L$52,MATCH(LARGE($M$5:$M$52,1),$M$5:$M$52,0)))</f>
        <v/>
      </c>
      <c r="C5" s="26" t="str">
        <f>IF(B5="","",INDEX($O$5:$O$52,MATCH(LARGE($M$5:$M$52,1),$M$5:$M$52,0)))</f>
        <v/>
      </c>
      <c r="D5" s="26" t="str">
        <f>IF(B5="","",INDEX(Assessment!$B$1:$B$75,INDEX($N$5:$N$52,MATCH(LARGE($M$5:$M$52,1),$M$5:$M$52,0))))</f>
        <v/>
      </c>
      <c r="E5" s="77" t="str">
        <f>IF(B5="","",INDEX(Assessment!$D$1:$D$75,INDEX($N$5:$N$52,MATCH(LARGE($M$5:$M$52,1),$M$5:$M$52,0))))</f>
        <v/>
      </c>
      <c r="F5" s="77" t="str">
        <f>IF(B5="","",INDEX(Assessment!$I$1:$I$75,INDEX($N$5:$N$52,MATCH(LARGE($M$5:$M$52,1),$M$5:$M$52,0))))</f>
        <v/>
      </c>
      <c r="G5" s="26" t="str">
        <f>IF(B5="","",INDEX(Assessment!$E$1:$E$75,INDEX($N$5:$N$52,MATCH(LARGE($M$5:$M$52,1),$M$5:$M$52,0))))</f>
        <v/>
      </c>
      <c r="H5" s="26" t="str">
        <f>IF(B5="","",INDEX(Assessment!$F$1:$F$75,INDEX($N$5:$N$52,MATCH(LARGE($M$5:$M$52,1),$M$5:$M$52,0))))</f>
        <v/>
      </c>
      <c r="I5" s="51"/>
      <c r="J5" s="51"/>
      <c r="L5" t="s">
        <v>91</v>
      </c>
      <c r="M5">
        <f>IF(Assessment!L6=0,0,IF(Assessment!M6="Exclude",0,IF(NOT(OR($F$3="All",$F$3=$O5)),0,IF(NOT(OR($D$3="All",IF(Assessment!I6="High",3,IF(Assessment!I6="Medium",2,IF(Assessment!I6="Low",1,0)))&gt;=IF($D$3="High",3,IF($D$3="Medium",2,IF($D$3="Low",1,0))))),0,IF(Assessment!M6="Include",Assessment!L6+1000000,Assessment!L6)))))</f>
        <v>0</v>
      </c>
      <c r="N5">
        <v>6</v>
      </c>
      <c r="O5" t="s">
        <v>266</v>
      </c>
    </row>
    <row r="6" spans="1:15" ht="48" customHeight="1">
      <c r="A6" s="26" t="str">
        <f>IF(OR(2&gt;$B$3,LARGE($M$5:$M$52,2)=0),"",2)</f>
        <v/>
      </c>
      <c r="B6" s="26" t="str">
        <f>IF(A6="","",INDEX($L$5:$L$52,MATCH(LARGE($M$5:$M$52,2),$M$5:$M$52,0)))</f>
        <v/>
      </c>
      <c r="C6" s="26" t="str">
        <f>IF(B6="","",INDEX($O$5:$O$52,MATCH(LARGE($M$5:$M$52,2),$M$5:$M$52,0)))</f>
        <v/>
      </c>
      <c r="D6" s="26" t="str">
        <f>IF(B6="","",INDEX(Assessment!$B$1:$B$75,INDEX($N$5:$N$52,MATCH(LARGE($M$5:$M$52,2),$M$5:$M$52,0))))</f>
        <v/>
      </c>
      <c r="E6" s="77" t="str">
        <f>IF(B6="","",INDEX(Assessment!$D$1:$D$75,INDEX($N$5:$N$52,MATCH(LARGE($M$5:$M$52,2),$M$5:$M$52,0))))</f>
        <v/>
      </c>
      <c r="F6" s="77" t="str">
        <f>IF(B6="","",INDEX(Assessment!$I$1:$I$75,INDEX($N$5:$N$52,MATCH(LARGE($M$5:$M$52,2),$M$5:$M$52,0))))</f>
        <v/>
      </c>
      <c r="G6" s="26" t="str">
        <f>IF(B6="","",INDEX(Assessment!$E$1:$E$75,INDEX($N$5:$N$52,MATCH(LARGE($M$5:$M$52,2),$M$5:$M$52,0))))</f>
        <v/>
      </c>
      <c r="H6" s="26" t="str">
        <f>IF(B6="","",INDEX(Assessment!$F$1:$F$75,INDEX($N$5:$N$52,MATCH(LARGE($M$5:$M$52,2),$M$5:$M$52,0))))</f>
        <v/>
      </c>
      <c r="I6" s="51"/>
      <c r="J6" s="51"/>
      <c r="L6" t="s">
        <v>95</v>
      </c>
      <c r="M6">
        <f>IF(Assessment!L7=0,0,IF(Assessment!M7="Exclude",0,IF(NOT(OR($F$3="All",$F$3=$O6)),0,IF(NOT(OR($D$3="All",IF(Assessment!I7="High",3,IF(Assessment!I7="Medium",2,IF(Assessment!I7="Low",1,0)))&gt;=IF($D$3="High",3,IF($D$3="Medium",2,IF($D$3="Low",1,0))))),0,IF(Assessment!M7="Include",Assessment!L7+1000000,Assessment!L7)))))</f>
        <v>0</v>
      </c>
      <c r="N6">
        <v>7</v>
      </c>
      <c r="O6" t="s">
        <v>266</v>
      </c>
    </row>
    <row r="7" spans="1:15" ht="48" customHeight="1">
      <c r="A7" s="26" t="str">
        <f>IF(OR(3&gt;$B$3,LARGE($M$5:$M$52,3)=0),"",3)</f>
        <v/>
      </c>
      <c r="B7" s="26" t="str">
        <f>IF(A7="","",INDEX($L$5:$L$52,MATCH(LARGE($M$5:$M$52,3),$M$5:$M$52,0)))</f>
        <v/>
      </c>
      <c r="C7" s="26" t="str">
        <f>IF(B7="","",INDEX($O$5:$O$52,MATCH(LARGE($M$5:$M$52,3),$M$5:$M$52,0)))</f>
        <v/>
      </c>
      <c r="D7" s="26" t="str">
        <f>IF(B7="","",INDEX(Assessment!$B$1:$B$75,INDEX($N$5:$N$52,MATCH(LARGE($M$5:$M$52,3),$M$5:$M$52,0))))</f>
        <v/>
      </c>
      <c r="E7" s="77" t="str">
        <f>IF(B7="","",INDEX(Assessment!$D$1:$D$75,INDEX($N$5:$N$52,MATCH(LARGE($M$5:$M$52,3),$M$5:$M$52,0))))</f>
        <v/>
      </c>
      <c r="F7" s="77" t="str">
        <f>IF(B7="","",INDEX(Assessment!$I$1:$I$75,INDEX($N$5:$N$52,MATCH(LARGE($M$5:$M$52,3),$M$5:$M$52,0))))</f>
        <v/>
      </c>
      <c r="G7" s="26" t="str">
        <f>IF(B7="","",INDEX(Assessment!$E$1:$E$75,INDEX($N$5:$N$52,MATCH(LARGE($M$5:$M$52,3),$M$5:$M$52,0))))</f>
        <v/>
      </c>
      <c r="H7" s="26" t="str">
        <f>IF(B7="","",INDEX(Assessment!$F$1:$F$75,INDEX($N$5:$N$52,MATCH(LARGE($M$5:$M$52,3),$M$5:$M$52,0))))</f>
        <v/>
      </c>
      <c r="I7" s="51"/>
      <c r="J7" s="51"/>
      <c r="L7" t="s">
        <v>100</v>
      </c>
      <c r="M7">
        <f>IF(Assessment!L8=0,0,IF(Assessment!M8="Exclude",0,IF(NOT(OR($F$3="All",$F$3=$O7)),0,IF(NOT(OR($D$3="All",IF(Assessment!I8="High",3,IF(Assessment!I8="Medium",2,IF(Assessment!I8="Low",1,0)))&gt;=IF($D$3="High",3,IF($D$3="Medium",2,IF($D$3="Low",1,0))))),0,IF(Assessment!M8="Include",Assessment!L8+1000000,Assessment!L8)))))</f>
        <v>0</v>
      </c>
      <c r="N7">
        <v>8</v>
      </c>
      <c r="O7" t="s">
        <v>266</v>
      </c>
    </row>
    <row r="8" spans="1:15" ht="48" customHeight="1">
      <c r="A8" s="26" t="str">
        <f>IF(OR(4&gt;$B$3,LARGE($M$5:$M$52,4)=0),"",4)</f>
        <v/>
      </c>
      <c r="B8" s="26" t="str">
        <f>IF(A8="","",INDEX($L$5:$L$52,MATCH(LARGE($M$5:$M$52,4),$M$5:$M$52,0)))</f>
        <v/>
      </c>
      <c r="C8" s="26" t="str">
        <f>IF(B8="","",INDEX($O$5:$O$52,MATCH(LARGE($M$5:$M$52,4),$M$5:$M$52,0)))</f>
        <v/>
      </c>
      <c r="D8" s="26" t="str">
        <f>IF(B8="","",INDEX(Assessment!$B$1:$B$75,INDEX($N$5:$N$52,MATCH(LARGE($M$5:$M$52,4),$M$5:$M$52,0))))</f>
        <v/>
      </c>
      <c r="E8" s="77" t="str">
        <f>IF(B8="","",INDEX(Assessment!$D$1:$D$75,INDEX($N$5:$N$52,MATCH(LARGE($M$5:$M$52,4),$M$5:$M$52,0))))</f>
        <v/>
      </c>
      <c r="F8" s="77" t="str">
        <f>IF(B8="","",INDEX(Assessment!$I$1:$I$75,INDEX($N$5:$N$52,MATCH(LARGE($M$5:$M$52,4),$M$5:$M$52,0))))</f>
        <v/>
      </c>
      <c r="G8" s="26" t="str">
        <f>IF(B8="","",INDEX(Assessment!$E$1:$E$75,INDEX($N$5:$N$52,MATCH(LARGE($M$5:$M$52,4),$M$5:$M$52,0))))</f>
        <v/>
      </c>
      <c r="H8" s="26" t="str">
        <f>IF(B8="","",INDEX(Assessment!$F$1:$F$75,INDEX($N$5:$N$52,MATCH(LARGE($M$5:$M$52,4),$M$5:$M$52,0))))</f>
        <v/>
      </c>
      <c r="I8" s="51"/>
      <c r="J8" s="51"/>
      <c r="L8" t="s">
        <v>103</v>
      </c>
      <c r="M8">
        <f>IF(Assessment!L9=0,0,IF(Assessment!M9="Exclude",0,IF(NOT(OR($F$3="All",$F$3=$O8)),0,IF(NOT(OR($D$3="All",IF(Assessment!I9="High",3,IF(Assessment!I9="Medium",2,IF(Assessment!I9="Low",1,0)))&gt;=IF($D$3="High",3,IF($D$3="Medium",2,IF($D$3="Low",1,0))))),0,IF(Assessment!M9="Include",Assessment!L9+1000000,Assessment!L9)))))</f>
        <v>0</v>
      </c>
      <c r="N8">
        <v>9</v>
      </c>
      <c r="O8" t="s">
        <v>266</v>
      </c>
    </row>
    <row r="9" spans="1:15" ht="48" customHeight="1">
      <c r="A9" s="26" t="str">
        <f>IF(OR(5&gt;$B$3,LARGE($M$5:$M$52,5)=0),"",5)</f>
        <v/>
      </c>
      <c r="B9" s="26" t="str">
        <f>IF(A9="","",INDEX($L$5:$L$52,MATCH(LARGE($M$5:$M$52,5),$M$5:$M$52,0)))</f>
        <v/>
      </c>
      <c r="C9" s="26" t="str">
        <f>IF(B9="","",INDEX($O$5:$O$52,MATCH(LARGE($M$5:$M$52,5),$M$5:$M$52,0)))</f>
        <v/>
      </c>
      <c r="D9" s="26" t="str">
        <f>IF(B9="","",INDEX(Assessment!$B$1:$B$75,INDEX($N$5:$N$52,MATCH(LARGE($M$5:$M$52,5),$M$5:$M$52,0))))</f>
        <v/>
      </c>
      <c r="E9" s="77" t="str">
        <f>IF(B9="","",INDEX(Assessment!$D$1:$D$75,INDEX($N$5:$N$52,MATCH(LARGE($M$5:$M$52,5),$M$5:$M$52,0))))</f>
        <v/>
      </c>
      <c r="F9" s="77" t="str">
        <f>IF(B9="","",INDEX(Assessment!$I$1:$I$75,INDEX($N$5:$N$52,MATCH(LARGE($M$5:$M$52,5),$M$5:$M$52,0))))</f>
        <v/>
      </c>
      <c r="G9" s="26" t="str">
        <f>IF(B9="","",INDEX(Assessment!$E$1:$E$75,INDEX($N$5:$N$52,MATCH(LARGE($M$5:$M$52,5),$M$5:$M$52,0))))</f>
        <v/>
      </c>
      <c r="H9" s="26" t="str">
        <f>IF(B9="","",INDEX(Assessment!$F$1:$F$75,INDEX($N$5:$N$52,MATCH(LARGE($M$5:$M$52,5),$M$5:$M$52,0))))</f>
        <v/>
      </c>
      <c r="I9" s="51"/>
      <c r="J9" s="51"/>
      <c r="L9" t="s">
        <v>107</v>
      </c>
      <c r="M9">
        <f>IF(Assessment!L10=0,0,IF(Assessment!M10="Exclude",0,IF(NOT(OR($F$3="All",$F$3=$O9)),0,IF(NOT(OR($D$3="All",IF(Assessment!I10="High",3,IF(Assessment!I10="Medium",2,IF(Assessment!I10="Low",1,0)))&gt;=IF($D$3="High",3,IF($D$3="Medium",2,IF($D$3="Low",1,0))))),0,IF(Assessment!M10="Include",Assessment!L10+1000000,Assessment!L10)))))</f>
        <v>0</v>
      </c>
      <c r="N9">
        <v>10</v>
      </c>
      <c r="O9" t="s">
        <v>266</v>
      </c>
    </row>
    <row r="10" spans="1:15" ht="48" customHeight="1">
      <c r="A10" s="104" t="str">
        <f>IF(OR(6&gt;$B$3,LARGE($M$5:$M$52,6)=0),"",6)</f>
        <v/>
      </c>
      <c r="B10" s="104" t="str">
        <f>IF(A10="","",INDEX($L$5:$L$52,MATCH(LARGE($M$5:$M$52,6),$M$5:$M$52,0)))</f>
        <v/>
      </c>
      <c r="C10" s="104" t="str">
        <f>IF(B10="","",INDEX($O$5:$O$52,MATCH(LARGE($M$5:$M$52,6),$M$5:$M$52,0)))</f>
        <v/>
      </c>
      <c r="D10" s="104" t="str">
        <f>IF(B10="","",INDEX(Assessment!$B$1:$B$75,INDEX($N$5:$N$52,MATCH(LARGE($M$5:$M$52,6),$M$5:$M$52,0))))</f>
        <v/>
      </c>
      <c r="E10" s="104" t="str">
        <f>IF(B10="","",INDEX(Assessment!$D$1:$D$75,INDEX($N$5:$N$52,MATCH(LARGE($M$5:$M$52,6),$M$5:$M$52,0))))</f>
        <v/>
      </c>
      <c r="F10" s="104" t="str">
        <f>IF(B10="","",INDEX(Assessment!$I$1:$I$75,INDEX($N$5:$N$52,MATCH(LARGE($M$5:$M$52,6),$M$5:$M$52,0))))</f>
        <v/>
      </c>
      <c r="G10" s="104" t="str">
        <f>IF(B10="","",INDEX(Assessment!$E$1:$E$75,INDEX($N$5:$N$52,MATCH(LARGE($M$5:$M$52,6),$M$5:$M$52,0))))</f>
        <v/>
      </c>
      <c r="H10" s="104" t="str">
        <f>IF(B10="","",INDEX(Assessment!$F$1:$F$75,INDEX($N$5:$N$52,MATCH(LARGE($M$5:$M$52,6),$M$5:$M$52,0))))</f>
        <v/>
      </c>
      <c r="I10" s="104"/>
      <c r="J10" s="104"/>
      <c r="L10" t="s">
        <v>111</v>
      </c>
      <c r="M10">
        <f>IF(Assessment!L11=0,0,IF(Assessment!M11="Exclude",0,IF(NOT(OR($F$3="All",$F$3=$O10)),0,IF(NOT(OR($D$3="All",IF(Assessment!I11="High",3,IF(Assessment!I11="Medium",2,IF(Assessment!I11="Low",1,0)))&gt;=IF($D$3="High",3,IF($D$3="Medium",2,IF($D$3="Low",1,0))))),0,IF(Assessment!M11="Include",Assessment!L11+1000000,Assessment!L11)))))</f>
        <v>0</v>
      </c>
      <c r="N10">
        <v>11</v>
      </c>
      <c r="O10" t="s">
        <v>266</v>
      </c>
    </row>
    <row r="11" spans="1:15" ht="48" customHeight="1">
      <c r="A11" s="104" t="str">
        <f>IF(OR(7&gt;$B$3,LARGE($M$5:$M$52,7)=0),"",7)</f>
        <v/>
      </c>
      <c r="B11" s="104" t="str">
        <f>IF(A11="","",INDEX($L$5:$L$52,MATCH(LARGE($M$5:$M$52,7),$M$5:$M$52,0)))</f>
        <v/>
      </c>
      <c r="C11" s="104" t="str">
        <f>IF(B11="","",INDEX($O$5:$O$52,MATCH(LARGE($M$5:$M$52,7),$M$5:$M$52,0)))</f>
        <v/>
      </c>
      <c r="D11" s="104" t="str">
        <f>IF(B11="","",INDEX(Assessment!$B$1:$B$75,INDEX($N$5:$N$52,MATCH(LARGE($M$5:$M$52,7),$M$5:$M$52,0))))</f>
        <v/>
      </c>
      <c r="E11" s="104" t="str">
        <f>IF(B11="","",INDEX(Assessment!$D$1:$D$75,INDEX($N$5:$N$52,MATCH(LARGE($M$5:$M$52,7),$M$5:$M$52,0))))</f>
        <v/>
      </c>
      <c r="F11" s="104" t="str">
        <f>IF(B11="","",INDEX(Assessment!$I$1:$I$75,INDEX($N$5:$N$52,MATCH(LARGE($M$5:$M$52,7),$M$5:$M$52,0))))</f>
        <v/>
      </c>
      <c r="G11" s="104" t="str">
        <f>IF(B11="","",INDEX(Assessment!$E$1:$E$75,INDEX($N$5:$N$52,MATCH(LARGE($M$5:$M$52,7),$M$5:$M$52,0))))</f>
        <v/>
      </c>
      <c r="H11" s="104" t="str">
        <f>IF(B11="","",INDEX(Assessment!$F$1:$F$75,INDEX($N$5:$N$52,MATCH(LARGE($M$5:$M$52,7),$M$5:$M$52,0))))</f>
        <v/>
      </c>
      <c r="I11" s="104"/>
      <c r="J11" s="104"/>
      <c r="L11" t="s">
        <v>119</v>
      </c>
      <c r="M11">
        <f>IF(Assessment!L15=0,0,IF(Assessment!M15="Exclude",0,IF(NOT(OR($F$3="All",$F$3=$O11)),0,IF(NOT(OR($D$3="All",IF(Assessment!I15="High",3,IF(Assessment!I15="Medium",2,IF(Assessment!I15="Low",1,0)))&gt;=IF($D$3="High",3,IF($D$3="Medium",2,IF($D$3="Low",1,0))))),0,IF(Assessment!M15="Include",Assessment!L15+1000000,Assessment!L15)))))</f>
        <v>0</v>
      </c>
      <c r="N11">
        <v>15</v>
      </c>
      <c r="O11" t="s">
        <v>267</v>
      </c>
    </row>
    <row r="12" spans="1:15" ht="48" customHeight="1">
      <c r="A12" s="104" t="str">
        <f>IF(OR(8&gt;$B$3,LARGE($M$5:$M$52,8)=0),"",8)</f>
        <v/>
      </c>
      <c r="B12" s="104" t="str">
        <f>IF(A12="","",INDEX($L$5:$L$52,MATCH(LARGE($M$5:$M$52,8),$M$5:$M$52,0)))</f>
        <v/>
      </c>
      <c r="C12" s="104" t="str">
        <f>IF(B12="","",INDEX($O$5:$O$52,MATCH(LARGE($M$5:$M$52,8),$M$5:$M$52,0)))</f>
        <v/>
      </c>
      <c r="D12" s="104" t="str">
        <f>IF(B12="","",INDEX(Assessment!$B$1:$B$75,INDEX($N$5:$N$52,MATCH(LARGE($M$5:$M$52,8),$M$5:$M$52,0))))</f>
        <v/>
      </c>
      <c r="E12" s="104" t="str">
        <f>IF(B12="","",INDEX(Assessment!$D$1:$D$75,INDEX($N$5:$N$52,MATCH(LARGE($M$5:$M$52,8),$M$5:$M$52,0))))</f>
        <v/>
      </c>
      <c r="F12" s="104" t="str">
        <f>IF(B12="","",INDEX(Assessment!$I$1:$I$75,INDEX($N$5:$N$52,MATCH(LARGE($M$5:$M$52,8),$M$5:$M$52,0))))</f>
        <v/>
      </c>
      <c r="G12" s="104" t="str">
        <f>IF(B12="","",INDEX(Assessment!$E$1:$E$75,INDEX($N$5:$N$52,MATCH(LARGE($M$5:$M$52,8),$M$5:$M$52,0))))</f>
        <v/>
      </c>
      <c r="H12" s="104" t="str">
        <f>IF(B12="","",INDEX(Assessment!$F$1:$F$75,INDEX($N$5:$N$52,MATCH(LARGE($M$5:$M$52,8),$M$5:$M$52,0))))</f>
        <v/>
      </c>
      <c r="I12" s="104"/>
      <c r="J12" s="104"/>
      <c r="L12" t="s">
        <v>122</v>
      </c>
      <c r="M12">
        <f>IF(Assessment!L16=0,0,IF(Assessment!M16="Exclude",0,IF(NOT(OR($F$3="All",$F$3=$O12)),0,IF(NOT(OR($D$3="All",IF(Assessment!I16="High",3,IF(Assessment!I16="Medium",2,IF(Assessment!I16="Low",1,0)))&gt;=IF($D$3="High",3,IF($D$3="Medium",2,IF($D$3="Low",1,0))))),0,IF(Assessment!M16="Include",Assessment!L16+1000000,Assessment!L16)))))</f>
        <v>0</v>
      </c>
      <c r="N12">
        <v>16</v>
      </c>
      <c r="O12" t="s">
        <v>267</v>
      </c>
    </row>
    <row r="13" spans="1:15" ht="48" customHeight="1">
      <c r="A13" s="104" t="str">
        <f>IF(OR(9&gt;$B$3,LARGE($M$5:$M$52,9)=0),"",9)</f>
        <v/>
      </c>
      <c r="B13" s="104" t="str">
        <f>IF(A13="","",INDEX($L$5:$L$52,MATCH(LARGE($M$5:$M$52,9),$M$5:$M$52,0)))</f>
        <v/>
      </c>
      <c r="C13" s="104" t="str">
        <f>IF(B13="","",INDEX($O$5:$O$52,MATCH(LARGE($M$5:$M$52,9),$M$5:$M$52,0)))</f>
        <v/>
      </c>
      <c r="D13" s="104" t="str">
        <f>IF(B13="","",INDEX(Assessment!$B$1:$B$75,INDEX($N$5:$N$52,MATCH(LARGE($M$5:$M$52,9),$M$5:$M$52,0))))</f>
        <v/>
      </c>
      <c r="E13" s="104" t="str">
        <f>IF(B13="","",INDEX(Assessment!$D$1:$D$75,INDEX($N$5:$N$52,MATCH(LARGE($M$5:$M$52,9),$M$5:$M$52,0))))</f>
        <v/>
      </c>
      <c r="F13" s="104" t="str">
        <f>IF(B13="","",INDEX(Assessment!$I$1:$I$75,INDEX($N$5:$N$52,MATCH(LARGE($M$5:$M$52,9),$M$5:$M$52,0))))</f>
        <v/>
      </c>
      <c r="G13" s="104" t="str">
        <f>IF(B13="","",INDEX(Assessment!$E$1:$E$75,INDEX($N$5:$N$52,MATCH(LARGE($M$5:$M$52,9),$M$5:$M$52,0))))</f>
        <v/>
      </c>
      <c r="H13" s="104" t="str">
        <f>IF(B13="","",INDEX(Assessment!$F$1:$F$75,INDEX($N$5:$N$52,MATCH(LARGE($M$5:$M$52,9),$M$5:$M$52,0))))</f>
        <v/>
      </c>
      <c r="I13" s="104"/>
      <c r="J13" s="104"/>
      <c r="L13" t="s">
        <v>125</v>
      </c>
      <c r="M13">
        <f>IF(Assessment!L17=0,0,IF(Assessment!M17="Exclude",0,IF(NOT(OR($F$3="All",$F$3=$O13)),0,IF(NOT(OR($D$3="All",IF(Assessment!I17="High",3,IF(Assessment!I17="Medium",2,IF(Assessment!I17="Low",1,0)))&gt;=IF($D$3="High",3,IF($D$3="Medium",2,IF($D$3="Low",1,0))))),0,IF(Assessment!M17="Include",Assessment!L17+1000000,Assessment!L17)))))</f>
        <v>0</v>
      </c>
      <c r="N13">
        <v>17</v>
      </c>
      <c r="O13" t="s">
        <v>267</v>
      </c>
    </row>
    <row r="14" spans="1:15" ht="48" customHeight="1">
      <c r="A14" s="104" t="str">
        <f>IF(OR(10&gt;$B$3,LARGE($M$5:$M$52,10)=0),"",10)</f>
        <v/>
      </c>
      <c r="B14" s="104" t="str">
        <f>IF(A14="","",INDEX($L$5:$L$52,MATCH(LARGE($M$5:$M$52,10),$M$5:$M$52,0)))</f>
        <v/>
      </c>
      <c r="C14" s="104" t="str">
        <f>IF(B14="","",INDEX($O$5:$O$52,MATCH(LARGE($M$5:$M$52,10),$M$5:$M$52,0)))</f>
        <v/>
      </c>
      <c r="D14" s="104" t="str">
        <f>IF(B14="","",INDEX(Assessment!$B$1:$B$75,INDEX($N$5:$N$52,MATCH(LARGE($M$5:$M$52,10),$M$5:$M$52,0))))</f>
        <v/>
      </c>
      <c r="E14" s="104" t="str">
        <f>IF(B14="","",INDEX(Assessment!$D$1:$D$75,INDEX($N$5:$N$52,MATCH(LARGE($M$5:$M$52,10),$M$5:$M$52,0))))</f>
        <v/>
      </c>
      <c r="F14" s="104" t="str">
        <f>IF(B14="","",INDEX(Assessment!$I$1:$I$75,INDEX($N$5:$N$52,MATCH(LARGE($M$5:$M$52,10),$M$5:$M$52,0))))</f>
        <v/>
      </c>
      <c r="G14" s="104" t="str">
        <f>IF(B14="","",INDEX(Assessment!$E$1:$E$75,INDEX($N$5:$N$52,MATCH(LARGE($M$5:$M$52,10),$M$5:$M$52,0))))</f>
        <v/>
      </c>
      <c r="H14" s="104" t="str">
        <f>IF(B14="","",INDEX(Assessment!$F$1:$F$75,INDEX($N$5:$N$52,MATCH(LARGE($M$5:$M$52,10),$M$5:$M$52,0))))</f>
        <v/>
      </c>
      <c r="I14" s="104"/>
      <c r="J14" s="104"/>
      <c r="L14" t="s">
        <v>128</v>
      </c>
      <c r="M14">
        <f>IF(Assessment!L18=0,0,IF(Assessment!M18="Exclude",0,IF(NOT(OR($F$3="All",$F$3=$O14)),0,IF(NOT(OR($D$3="All",IF(Assessment!I18="High",3,IF(Assessment!I18="Medium",2,IF(Assessment!I18="Low",1,0)))&gt;=IF($D$3="High",3,IF($D$3="Medium",2,IF($D$3="Low",1,0))))),0,IF(Assessment!M18="Include",Assessment!L18+1000000,Assessment!L18)))))</f>
        <v>0</v>
      </c>
      <c r="N14">
        <v>18</v>
      </c>
      <c r="O14" t="s">
        <v>267</v>
      </c>
    </row>
    <row r="15" spans="1:15" ht="48" customHeight="1">
      <c r="A15" s="104" t="str">
        <f>IF(OR(11&gt;$B$3,LARGE($M$5:$M$52,11)=0),"",11)</f>
        <v/>
      </c>
      <c r="B15" s="104" t="str">
        <f>IF(A15="","",INDEX($L$5:$L$52,MATCH(LARGE($M$5:$M$52,11),$M$5:$M$52,0)))</f>
        <v/>
      </c>
      <c r="C15" s="104" t="str">
        <f>IF(B15="","",INDEX($O$5:$O$52,MATCH(LARGE($M$5:$M$52,11),$M$5:$M$52,0)))</f>
        <v/>
      </c>
      <c r="D15" s="104" t="str">
        <f>IF(B15="","",INDEX(Assessment!$B$1:$B$75,INDEX($N$5:$N$52,MATCH(LARGE($M$5:$M$52,11),$M$5:$M$52,0))))</f>
        <v/>
      </c>
      <c r="E15" s="104" t="str">
        <f>IF(B15="","",INDEX(Assessment!$D$1:$D$75,INDEX($N$5:$N$52,MATCH(LARGE($M$5:$M$52,11),$M$5:$M$52,0))))</f>
        <v/>
      </c>
      <c r="F15" s="104" t="str">
        <f>IF(B15="","",INDEX(Assessment!$I$1:$I$75,INDEX($N$5:$N$52,MATCH(LARGE($M$5:$M$52,11),$M$5:$M$52,0))))</f>
        <v/>
      </c>
      <c r="G15" s="104" t="str">
        <f>IF(B15="","",INDEX(Assessment!$E$1:$E$75,INDEX($N$5:$N$52,MATCH(LARGE($M$5:$M$52,11),$M$5:$M$52,0))))</f>
        <v/>
      </c>
      <c r="H15" s="104" t="str">
        <f>IF(B15="","",INDEX(Assessment!$F$1:$F$75,INDEX($N$5:$N$52,MATCH(LARGE($M$5:$M$52,11),$M$5:$M$52,0))))</f>
        <v/>
      </c>
      <c r="I15" s="104"/>
      <c r="J15" s="104"/>
      <c r="L15" t="s">
        <v>131</v>
      </c>
      <c r="M15">
        <f>IF(Assessment!L19=0,0,IF(Assessment!M19="Exclude",0,IF(NOT(OR($F$3="All",$F$3=$O15)),0,IF(NOT(OR($D$3="All",IF(Assessment!I19="High",3,IF(Assessment!I19="Medium",2,IF(Assessment!I19="Low",1,0)))&gt;=IF($D$3="High",3,IF($D$3="Medium",2,IF($D$3="Low",1,0))))),0,IF(Assessment!M19="Include",Assessment!L19+1000000,Assessment!L19)))))</f>
        <v>0</v>
      </c>
      <c r="N15">
        <v>19</v>
      </c>
      <c r="O15" t="s">
        <v>267</v>
      </c>
    </row>
    <row r="16" spans="1:15" ht="48" customHeight="1">
      <c r="A16" s="104" t="str">
        <f>IF(OR(12&gt;$B$3,LARGE($M$5:$M$52,12)=0),"",12)</f>
        <v/>
      </c>
      <c r="B16" s="104" t="str">
        <f>IF(A16="","",INDEX($L$5:$L$52,MATCH(LARGE($M$5:$M$52,12),$M$5:$M$52,0)))</f>
        <v/>
      </c>
      <c r="C16" s="104" t="str">
        <f>IF(B16="","",INDEX($O$5:$O$52,MATCH(LARGE($M$5:$M$52,12),$M$5:$M$52,0)))</f>
        <v/>
      </c>
      <c r="D16" s="104" t="str">
        <f>IF(B16="","",INDEX(Assessment!$B$1:$B$75,INDEX($N$5:$N$52,MATCH(LARGE($M$5:$M$52,12),$M$5:$M$52,0))))</f>
        <v/>
      </c>
      <c r="E16" s="104" t="str">
        <f>IF(B16="","",INDEX(Assessment!$D$1:$D$75,INDEX($N$5:$N$52,MATCH(LARGE($M$5:$M$52,12),$M$5:$M$52,0))))</f>
        <v/>
      </c>
      <c r="F16" s="104" t="str">
        <f>IF(B16="","",INDEX(Assessment!$I$1:$I$75,INDEX($N$5:$N$52,MATCH(LARGE($M$5:$M$52,12),$M$5:$M$52,0))))</f>
        <v/>
      </c>
      <c r="G16" s="104" t="str">
        <f>IF(B16="","",INDEX(Assessment!$E$1:$E$75,INDEX($N$5:$N$52,MATCH(LARGE($M$5:$M$52,12),$M$5:$M$52,0))))</f>
        <v/>
      </c>
      <c r="H16" s="104" t="str">
        <f>IF(B16="","",INDEX(Assessment!$F$1:$F$75,INDEX($N$5:$N$52,MATCH(LARGE($M$5:$M$52,12),$M$5:$M$52,0))))</f>
        <v/>
      </c>
      <c r="I16" s="104"/>
      <c r="J16" s="104"/>
      <c r="L16" t="s">
        <v>135</v>
      </c>
      <c r="M16">
        <f>IF(Assessment!L20=0,0,IF(Assessment!M20="Exclude",0,IF(NOT(OR($F$3="All",$F$3=$O16)),0,IF(NOT(OR($D$3="All",IF(Assessment!I20="High",3,IF(Assessment!I20="Medium",2,IF(Assessment!I20="Low",1,0)))&gt;=IF($D$3="High",3,IF($D$3="Medium",2,IF($D$3="Low",1,0))))),0,IF(Assessment!M20="Include",Assessment!L20+1000000,Assessment!L20)))))</f>
        <v>0</v>
      </c>
      <c r="N16">
        <v>20</v>
      </c>
      <c r="O16" t="s">
        <v>267</v>
      </c>
    </row>
    <row r="17" spans="1:15" ht="48" customHeight="1">
      <c r="A17" s="104" t="str">
        <f>IF(OR(13&gt;$B$3,LARGE($M$5:$M$52,13)=0),"",13)</f>
        <v/>
      </c>
      <c r="B17" s="104" t="str">
        <f>IF(A17="","",INDEX($L$5:$L$52,MATCH(LARGE($M$5:$M$52,13),$M$5:$M$52,0)))</f>
        <v/>
      </c>
      <c r="C17" s="104" t="str">
        <f>IF(B17="","",INDEX($O$5:$O$52,MATCH(LARGE($M$5:$M$52,13),$M$5:$M$52,0)))</f>
        <v/>
      </c>
      <c r="D17" s="104" t="str">
        <f>IF(B17="","",INDEX(Assessment!$B$1:$B$75,INDEX($N$5:$N$52,MATCH(LARGE($M$5:$M$52,13),$M$5:$M$52,0))))</f>
        <v/>
      </c>
      <c r="E17" s="104" t="str">
        <f>IF(B17="","",INDEX(Assessment!$D$1:$D$75,INDEX($N$5:$N$52,MATCH(LARGE($M$5:$M$52,13),$M$5:$M$52,0))))</f>
        <v/>
      </c>
      <c r="F17" s="104" t="str">
        <f>IF(B17="","",INDEX(Assessment!$I$1:$I$75,INDEX($N$5:$N$52,MATCH(LARGE($M$5:$M$52,13),$M$5:$M$52,0))))</f>
        <v/>
      </c>
      <c r="G17" s="104" t="str">
        <f>IF(B17="","",INDEX(Assessment!$E$1:$E$75,INDEX($N$5:$N$52,MATCH(LARGE($M$5:$M$52,13),$M$5:$M$52,0))))</f>
        <v/>
      </c>
      <c r="H17" s="104" t="str">
        <f>IF(B17="","",INDEX(Assessment!$F$1:$F$75,INDEX($N$5:$N$52,MATCH(LARGE($M$5:$M$52,13),$M$5:$M$52,0))))</f>
        <v/>
      </c>
      <c r="I17" s="104"/>
      <c r="J17" s="104"/>
      <c r="L17" t="s">
        <v>139</v>
      </c>
      <c r="M17">
        <f>IF(Assessment!L24=0,0,IF(Assessment!M24="Exclude",0,IF(NOT(OR($F$3="All",$F$3=$O17)),0,IF(NOT(OR($D$3="All",IF(Assessment!I24="High",3,IF(Assessment!I24="Medium",2,IF(Assessment!I24="Low",1,0)))&gt;=IF($D$3="High",3,IF($D$3="Medium",2,IF($D$3="Low",1,0))))),0,IF(Assessment!M24="Include",Assessment!L24+1000000,Assessment!L24)))))</f>
        <v>0</v>
      </c>
      <c r="N17">
        <v>24</v>
      </c>
      <c r="O17" t="s">
        <v>268</v>
      </c>
    </row>
    <row r="18" spans="1:15" ht="48" customHeight="1">
      <c r="A18" s="104" t="str">
        <f>IF(OR(14&gt;$B$3,LARGE($M$5:$M$52,14)=0),"",14)</f>
        <v/>
      </c>
      <c r="B18" s="104" t="str">
        <f>IF(A18="","",INDEX($L$5:$L$52,MATCH(LARGE($M$5:$M$52,14),$M$5:$M$52,0)))</f>
        <v/>
      </c>
      <c r="C18" s="104" t="str">
        <f>IF(B18="","",INDEX($O$5:$O$52,MATCH(LARGE($M$5:$M$52,14),$M$5:$M$52,0)))</f>
        <v/>
      </c>
      <c r="D18" s="104" t="str">
        <f>IF(B18="","",INDEX(Assessment!$B$1:$B$75,INDEX($N$5:$N$52,MATCH(LARGE($M$5:$M$52,14),$M$5:$M$52,0))))</f>
        <v/>
      </c>
      <c r="E18" s="104" t="str">
        <f>IF(B18="","",INDEX(Assessment!$D$1:$D$75,INDEX($N$5:$N$52,MATCH(LARGE($M$5:$M$52,14),$M$5:$M$52,0))))</f>
        <v/>
      </c>
      <c r="F18" s="104" t="str">
        <f>IF(B18="","",INDEX(Assessment!$I$1:$I$75,INDEX($N$5:$N$52,MATCH(LARGE($M$5:$M$52,14),$M$5:$M$52,0))))</f>
        <v/>
      </c>
      <c r="G18" s="104" t="str">
        <f>IF(B18="","",INDEX(Assessment!$E$1:$E$75,INDEX($N$5:$N$52,MATCH(LARGE($M$5:$M$52,14),$M$5:$M$52,0))))</f>
        <v/>
      </c>
      <c r="H18" s="104" t="str">
        <f>IF(B18="","",INDEX(Assessment!$F$1:$F$75,INDEX($N$5:$N$52,MATCH(LARGE($M$5:$M$52,14),$M$5:$M$52,0))))</f>
        <v/>
      </c>
      <c r="I18" s="104"/>
      <c r="J18" s="104"/>
      <c r="L18" t="s">
        <v>143</v>
      </c>
      <c r="M18">
        <f>IF(Assessment!L25=0,0,IF(Assessment!M25="Exclude",0,IF(NOT(OR($F$3="All",$F$3=$O18)),0,IF(NOT(OR($D$3="All",IF(Assessment!I25="High",3,IF(Assessment!I25="Medium",2,IF(Assessment!I25="Low",1,0)))&gt;=IF($D$3="High",3,IF($D$3="Medium",2,IF($D$3="Low",1,0))))),0,IF(Assessment!M25="Include",Assessment!L25+1000000,Assessment!L25)))))</f>
        <v>0</v>
      </c>
      <c r="N18">
        <v>25</v>
      </c>
      <c r="O18" t="s">
        <v>268</v>
      </c>
    </row>
    <row r="19" spans="1:15" ht="48" customHeight="1">
      <c r="A19" s="104" t="str">
        <f>IF(OR(15&gt;$B$3,LARGE($M$5:$M$52,15)=0),"",15)</f>
        <v/>
      </c>
      <c r="B19" s="104" t="str">
        <f>IF(A19="","",INDEX($L$5:$L$52,MATCH(LARGE($M$5:$M$52,15),$M$5:$M$52,0)))</f>
        <v/>
      </c>
      <c r="C19" s="104" t="str">
        <f>IF(B19="","",INDEX($O$5:$O$52,MATCH(LARGE($M$5:$M$52,15),$M$5:$M$52,0)))</f>
        <v/>
      </c>
      <c r="D19" s="104" t="str">
        <f>IF(B19="","",INDEX(Assessment!$B$1:$B$75,INDEX($N$5:$N$52,MATCH(LARGE($M$5:$M$52,15),$M$5:$M$52,0))))</f>
        <v/>
      </c>
      <c r="E19" s="104" t="str">
        <f>IF(B19="","",INDEX(Assessment!$D$1:$D$75,INDEX($N$5:$N$52,MATCH(LARGE($M$5:$M$52,15),$M$5:$M$52,0))))</f>
        <v/>
      </c>
      <c r="F19" s="104" t="str">
        <f>IF(B19="","",INDEX(Assessment!$I$1:$I$75,INDEX($N$5:$N$52,MATCH(LARGE($M$5:$M$52,15),$M$5:$M$52,0))))</f>
        <v/>
      </c>
      <c r="G19" s="104" t="str">
        <f>IF(B19="","",INDEX(Assessment!$E$1:$E$75,INDEX($N$5:$N$52,MATCH(LARGE($M$5:$M$52,15),$M$5:$M$52,0))))</f>
        <v/>
      </c>
      <c r="H19" s="104" t="str">
        <f>IF(B19="","",INDEX(Assessment!$F$1:$F$75,INDEX($N$5:$N$52,MATCH(LARGE($M$5:$M$52,15),$M$5:$M$52,0))))</f>
        <v/>
      </c>
      <c r="I19" s="104"/>
      <c r="J19" s="104"/>
      <c r="L19" t="s">
        <v>147</v>
      </c>
      <c r="M19">
        <f>IF(Assessment!L26=0,0,IF(Assessment!M26="Exclude",0,IF(NOT(OR($F$3="All",$F$3=$O19)),0,IF(NOT(OR($D$3="All",IF(Assessment!I26="High",3,IF(Assessment!I26="Medium",2,IF(Assessment!I26="Low",1,0)))&gt;=IF($D$3="High",3,IF($D$3="Medium",2,IF($D$3="Low",1,0))))),0,IF(Assessment!M26="Include",Assessment!L26+1000000,Assessment!L26)))))</f>
        <v>0</v>
      </c>
      <c r="N19">
        <v>26</v>
      </c>
      <c r="O19" t="s">
        <v>268</v>
      </c>
    </row>
    <row r="20" spans="1:15" ht="48" customHeight="1">
      <c r="A20" s="104" t="str">
        <f>IF(OR(16&gt;$B$3,LARGE($M$5:$M$52,16)=0),"",16)</f>
        <v/>
      </c>
      <c r="B20" s="104" t="str">
        <f>IF(A20="","",INDEX($L$5:$L$52,MATCH(LARGE($M$5:$M$52,16),$M$5:$M$52,0)))</f>
        <v/>
      </c>
      <c r="C20" s="104" t="str">
        <f>IF(B20="","",INDEX($O$5:$O$52,MATCH(LARGE($M$5:$M$52,16),$M$5:$M$52,0)))</f>
        <v/>
      </c>
      <c r="D20" s="104" t="str">
        <f>IF(B20="","",INDEX(Assessment!$B$1:$B$75,INDEX($N$5:$N$52,MATCH(LARGE($M$5:$M$52,16),$M$5:$M$52,0))))</f>
        <v/>
      </c>
      <c r="E20" s="104" t="str">
        <f>IF(B20="","",INDEX(Assessment!$D$1:$D$75,INDEX($N$5:$N$52,MATCH(LARGE($M$5:$M$52,16),$M$5:$M$52,0))))</f>
        <v/>
      </c>
      <c r="F20" s="104" t="str">
        <f>IF(B20="","",INDEX(Assessment!$I$1:$I$75,INDEX($N$5:$N$52,MATCH(LARGE($M$5:$M$52,16),$M$5:$M$52,0))))</f>
        <v/>
      </c>
      <c r="G20" s="104" t="str">
        <f>IF(B20="","",INDEX(Assessment!$E$1:$E$75,INDEX($N$5:$N$52,MATCH(LARGE($M$5:$M$52,16),$M$5:$M$52,0))))</f>
        <v/>
      </c>
      <c r="H20" s="104" t="str">
        <f>IF(B20="","",INDEX(Assessment!$F$1:$F$75,INDEX($N$5:$N$52,MATCH(LARGE($M$5:$M$52,16),$M$5:$M$52,0))))</f>
        <v/>
      </c>
      <c r="I20" s="104"/>
      <c r="J20" s="104"/>
      <c r="L20" t="s">
        <v>150</v>
      </c>
      <c r="M20">
        <f>IF(Assessment!L27=0,0,IF(Assessment!M27="Exclude",0,IF(NOT(OR($F$3="All",$F$3=$O20)),0,IF(NOT(OR($D$3="All",IF(Assessment!I27="High",3,IF(Assessment!I27="Medium",2,IF(Assessment!I27="Low",1,0)))&gt;=IF($D$3="High",3,IF($D$3="Medium",2,IF($D$3="Low",1,0))))),0,IF(Assessment!M27="Include",Assessment!L27+1000000,Assessment!L27)))))</f>
        <v>0</v>
      </c>
      <c r="N20">
        <v>27</v>
      </c>
      <c r="O20" t="s">
        <v>268</v>
      </c>
    </row>
    <row r="21" spans="1:15" ht="48" customHeight="1">
      <c r="A21" s="104" t="str">
        <f>IF(OR(17&gt;$B$3,LARGE($M$5:$M$52,17)=0),"",17)</f>
        <v/>
      </c>
      <c r="B21" s="104" t="str">
        <f>IF(A21="","",INDEX($L$5:$L$52,MATCH(LARGE($M$5:$M$52,17),$M$5:$M$52,0)))</f>
        <v/>
      </c>
      <c r="C21" s="104" t="str">
        <f>IF(B21="","",INDEX($O$5:$O$52,MATCH(LARGE($M$5:$M$52,17),$M$5:$M$52,0)))</f>
        <v/>
      </c>
      <c r="D21" s="104" t="str">
        <f>IF(B21="","",INDEX(Assessment!$B$1:$B$75,INDEX($N$5:$N$52,MATCH(LARGE($M$5:$M$52,17),$M$5:$M$52,0))))</f>
        <v/>
      </c>
      <c r="E21" s="104" t="str">
        <f>IF(B21="","",INDEX(Assessment!$D$1:$D$75,INDEX($N$5:$N$52,MATCH(LARGE($M$5:$M$52,17),$M$5:$M$52,0))))</f>
        <v/>
      </c>
      <c r="F21" s="104" t="str">
        <f>IF(B21="","",INDEX(Assessment!$I$1:$I$75,INDEX($N$5:$N$52,MATCH(LARGE($M$5:$M$52,17),$M$5:$M$52,0))))</f>
        <v/>
      </c>
      <c r="G21" s="104" t="str">
        <f>IF(B21="","",INDEX(Assessment!$E$1:$E$75,INDEX($N$5:$N$52,MATCH(LARGE($M$5:$M$52,17),$M$5:$M$52,0))))</f>
        <v/>
      </c>
      <c r="H21" s="104" t="str">
        <f>IF(B21="","",INDEX(Assessment!$F$1:$F$75,INDEX($N$5:$N$52,MATCH(LARGE($M$5:$M$52,17),$M$5:$M$52,0))))</f>
        <v/>
      </c>
      <c r="I21" s="104"/>
      <c r="J21" s="104"/>
      <c r="L21" t="s">
        <v>153</v>
      </c>
      <c r="M21">
        <f>IF(Assessment!L28=0,0,IF(Assessment!M28="Exclude",0,IF(NOT(OR($F$3="All",$F$3=$O21)),0,IF(NOT(OR($D$3="All",IF(Assessment!I28="High",3,IF(Assessment!I28="Medium",2,IF(Assessment!I28="Low",1,0)))&gt;=IF($D$3="High",3,IF($D$3="Medium",2,IF($D$3="Low",1,0))))),0,IF(Assessment!M28="Include",Assessment!L28+1000000,Assessment!L28)))))</f>
        <v>0</v>
      </c>
      <c r="N21">
        <v>28</v>
      </c>
      <c r="O21" t="s">
        <v>268</v>
      </c>
    </row>
    <row r="22" spans="1:15" ht="48" customHeight="1">
      <c r="A22" s="104" t="str">
        <f>IF(OR(18&gt;$B$3,LARGE($M$5:$M$52,18)=0),"",18)</f>
        <v/>
      </c>
      <c r="B22" s="104" t="str">
        <f>IF(A22="","",INDEX($L$5:$L$52,MATCH(LARGE($M$5:$M$52,18),$M$5:$M$52,0)))</f>
        <v/>
      </c>
      <c r="C22" s="104" t="str">
        <f>IF(B22="","",INDEX($O$5:$O$52,MATCH(LARGE($M$5:$M$52,18),$M$5:$M$52,0)))</f>
        <v/>
      </c>
      <c r="D22" s="104" t="str">
        <f>IF(B22="","",INDEX(Assessment!$B$1:$B$75,INDEX($N$5:$N$52,MATCH(LARGE($M$5:$M$52,18),$M$5:$M$52,0))))</f>
        <v/>
      </c>
      <c r="E22" s="104" t="str">
        <f>IF(B22="","",INDEX(Assessment!$D$1:$D$75,INDEX($N$5:$N$52,MATCH(LARGE($M$5:$M$52,18),$M$5:$M$52,0))))</f>
        <v/>
      </c>
      <c r="F22" s="104" t="str">
        <f>IF(B22="","",INDEX(Assessment!$I$1:$I$75,INDEX($N$5:$N$52,MATCH(LARGE($M$5:$M$52,18),$M$5:$M$52,0))))</f>
        <v/>
      </c>
      <c r="G22" s="104" t="str">
        <f>IF(B22="","",INDEX(Assessment!$E$1:$E$75,INDEX($N$5:$N$52,MATCH(LARGE($M$5:$M$52,18),$M$5:$M$52,0))))</f>
        <v/>
      </c>
      <c r="H22" s="104" t="str">
        <f>IF(B22="","",INDEX(Assessment!$F$1:$F$75,INDEX($N$5:$N$52,MATCH(LARGE($M$5:$M$52,18),$M$5:$M$52,0))))</f>
        <v/>
      </c>
      <c r="I22" s="104"/>
      <c r="J22" s="104"/>
      <c r="L22" t="s">
        <v>156</v>
      </c>
      <c r="M22">
        <f>IF(Assessment!L29=0,0,IF(Assessment!M29="Exclude",0,IF(NOT(OR($F$3="All",$F$3=$O22)),0,IF(NOT(OR($D$3="All",IF(Assessment!I29="High",3,IF(Assessment!I29="Medium",2,IF(Assessment!I29="Low",1,0)))&gt;=IF($D$3="High",3,IF($D$3="Medium",2,IF($D$3="Low",1,0))))),0,IF(Assessment!M29="Include",Assessment!L29+1000000,Assessment!L29)))))</f>
        <v>0</v>
      </c>
      <c r="N22">
        <v>29</v>
      </c>
      <c r="O22" t="s">
        <v>268</v>
      </c>
    </row>
    <row r="23" spans="1:15" ht="48" customHeight="1">
      <c r="A23" s="104" t="str">
        <f>IF(OR(19&gt;$B$3,LARGE($M$5:$M$52,19)=0),"",19)</f>
        <v/>
      </c>
      <c r="B23" s="104" t="str">
        <f>IF(A23="","",INDEX($L$5:$L$52,MATCH(LARGE($M$5:$M$52,19),$M$5:$M$52,0)))</f>
        <v/>
      </c>
      <c r="C23" s="104" t="str">
        <f>IF(B23="","",INDEX($O$5:$O$52,MATCH(LARGE($M$5:$M$52,19),$M$5:$M$52,0)))</f>
        <v/>
      </c>
      <c r="D23" s="104" t="str">
        <f>IF(B23="","",INDEX(Assessment!$B$1:$B$75,INDEX($N$5:$N$52,MATCH(LARGE($M$5:$M$52,19),$M$5:$M$52,0))))</f>
        <v/>
      </c>
      <c r="E23" s="104" t="str">
        <f>IF(B23="","",INDEX(Assessment!$D$1:$D$75,INDEX($N$5:$N$52,MATCH(LARGE($M$5:$M$52,19),$M$5:$M$52,0))))</f>
        <v/>
      </c>
      <c r="F23" s="104" t="str">
        <f>IF(B23="","",INDEX(Assessment!$I$1:$I$75,INDEX($N$5:$N$52,MATCH(LARGE($M$5:$M$52,19),$M$5:$M$52,0))))</f>
        <v/>
      </c>
      <c r="G23" s="104" t="str">
        <f>IF(B23="","",INDEX(Assessment!$E$1:$E$75,INDEX($N$5:$N$52,MATCH(LARGE($M$5:$M$52,19),$M$5:$M$52,0))))</f>
        <v/>
      </c>
      <c r="H23" s="104" t="str">
        <f>IF(B23="","",INDEX(Assessment!$F$1:$F$75,INDEX($N$5:$N$52,MATCH(LARGE($M$5:$M$52,19),$M$5:$M$52,0))))</f>
        <v/>
      </c>
      <c r="I23" s="104"/>
      <c r="J23" s="104"/>
      <c r="L23" t="s">
        <v>160</v>
      </c>
      <c r="M23">
        <f>IF(Assessment!L33=0,0,IF(Assessment!M33="Exclude",0,IF(NOT(OR($F$3="All",$F$3=$O23)),0,IF(NOT(OR($D$3="All",IF(Assessment!I33="High",3,IF(Assessment!I33="Medium",2,IF(Assessment!I33="Low",1,0)))&gt;=IF($D$3="High",3,IF($D$3="Medium",2,IF($D$3="Low",1,0))))),0,IF(Assessment!M33="Include",Assessment!L33+1000000,Assessment!L33)))))</f>
        <v>0</v>
      </c>
      <c r="N23">
        <v>33</v>
      </c>
      <c r="O23" t="s">
        <v>269</v>
      </c>
    </row>
    <row r="24" spans="1:15" ht="48" customHeight="1">
      <c r="A24" s="104" t="str">
        <f>IF(OR(20&gt;$B$3,LARGE($M$5:$M$52,20)=0),"",20)</f>
        <v/>
      </c>
      <c r="B24" s="104" t="str">
        <f>IF(A24="","",INDEX($L$5:$L$52,MATCH(LARGE($M$5:$M$52,20),$M$5:$M$52,0)))</f>
        <v/>
      </c>
      <c r="C24" s="104" t="str">
        <f>IF(B24="","",INDEX($O$5:$O$52,MATCH(LARGE($M$5:$M$52,20),$M$5:$M$52,0)))</f>
        <v/>
      </c>
      <c r="D24" s="104" t="str">
        <f>IF(B24="","",INDEX(Assessment!$B$1:$B$75,INDEX($N$5:$N$52,MATCH(LARGE($M$5:$M$52,20),$M$5:$M$52,0))))</f>
        <v/>
      </c>
      <c r="E24" s="104" t="str">
        <f>IF(B24="","",INDEX(Assessment!$D$1:$D$75,INDEX($N$5:$N$52,MATCH(LARGE($M$5:$M$52,20),$M$5:$M$52,0))))</f>
        <v/>
      </c>
      <c r="F24" s="104" t="str">
        <f>IF(B24="","",INDEX(Assessment!$I$1:$I$75,INDEX($N$5:$N$52,MATCH(LARGE($M$5:$M$52,20),$M$5:$M$52,0))))</f>
        <v/>
      </c>
      <c r="G24" s="104" t="str">
        <f>IF(B24="","",INDEX(Assessment!$E$1:$E$75,INDEX($N$5:$N$52,MATCH(LARGE($M$5:$M$52,20),$M$5:$M$52,0))))</f>
        <v/>
      </c>
      <c r="H24" s="104" t="str">
        <f>IF(B24="","",INDEX(Assessment!$F$1:$F$75,INDEX($N$5:$N$52,MATCH(LARGE($M$5:$M$52,20),$M$5:$M$52,0))))</f>
        <v/>
      </c>
      <c r="I24" s="104"/>
      <c r="J24" s="104"/>
      <c r="L24" t="s">
        <v>163</v>
      </c>
      <c r="M24">
        <f>IF(Assessment!L34=0,0,IF(Assessment!M34="Exclude",0,IF(NOT(OR($F$3="All",$F$3=$O24)),0,IF(NOT(OR($D$3="All",IF(Assessment!I34="High",3,IF(Assessment!I34="Medium",2,IF(Assessment!I34="Low",1,0)))&gt;=IF($D$3="High",3,IF($D$3="Medium",2,IF($D$3="Low",1,0))))),0,IF(Assessment!M34="Include",Assessment!L34+1000000,Assessment!L34)))))</f>
        <v>0</v>
      </c>
      <c r="N24">
        <v>34</v>
      </c>
      <c r="O24" t="s">
        <v>269</v>
      </c>
    </row>
    <row r="25" spans="1:15" ht="48" customHeight="1">
      <c r="A25" s="104" t="str">
        <f>IF(OR(21&gt;$B$3,LARGE($M$5:$M$52,21)=0),"",21)</f>
        <v/>
      </c>
      <c r="B25" s="104" t="str">
        <f>IF(A25="","",INDEX($L$5:$L$52,MATCH(LARGE($M$5:$M$52,21),$M$5:$M$52,0)))</f>
        <v/>
      </c>
      <c r="C25" s="104" t="str">
        <f>IF(B25="","",INDEX($O$5:$O$52,MATCH(LARGE($M$5:$M$52,21),$M$5:$M$52,0)))</f>
        <v/>
      </c>
      <c r="D25" s="104" t="str">
        <f>IF(B25="","",INDEX(Assessment!$B$1:$B$75,INDEX($N$5:$N$52,MATCH(LARGE($M$5:$M$52,21),$M$5:$M$52,0))))</f>
        <v/>
      </c>
      <c r="E25" s="104" t="str">
        <f>IF(B25="","",INDEX(Assessment!$D$1:$D$75,INDEX($N$5:$N$52,MATCH(LARGE($M$5:$M$52,21),$M$5:$M$52,0))))</f>
        <v/>
      </c>
      <c r="F25" s="104" t="str">
        <f>IF(B25="","",INDEX(Assessment!$I$1:$I$75,INDEX($N$5:$N$52,MATCH(LARGE($M$5:$M$52,21),$M$5:$M$52,0))))</f>
        <v/>
      </c>
      <c r="G25" s="104" t="str">
        <f>IF(B25="","",INDEX(Assessment!$E$1:$E$75,INDEX($N$5:$N$52,MATCH(LARGE($M$5:$M$52,21),$M$5:$M$52,0))))</f>
        <v/>
      </c>
      <c r="H25" s="104" t="str">
        <f>IF(B25="","",INDEX(Assessment!$F$1:$F$75,INDEX($N$5:$N$52,MATCH(LARGE($M$5:$M$52,21),$M$5:$M$52,0))))</f>
        <v/>
      </c>
      <c r="I25" s="104"/>
      <c r="J25" s="104"/>
      <c r="L25" t="s">
        <v>166</v>
      </c>
      <c r="M25">
        <f>IF(Assessment!L35=0,0,IF(Assessment!M35="Exclude",0,IF(NOT(OR($F$3="All",$F$3=$O25)),0,IF(NOT(OR($D$3="All",IF(Assessment!I35="High",3,IF(Assessment!I35="Medium",2,IF(Assessment!I35="Low",1,0)))&gt;=IF($D$3="High",3,IF($D$3="Medium",2,IF($D$3="Low",1,0))))),0,IF(Assessment!M35="Include",Assessment!L35+1000000,Assessment!L35)))))</f>
        <v>0</v>
      </c>
      <c r="N25">
        <v>35</v>
      </c>
      <c r="O25" t="s">
        <v>269</v>
      </c>
    </row>
    <row r="26" spans="1:15" ht="48" customHeight="1">
      <c r="A26" s="104" t="str">
        <f>IF(OR(22&gt;$B$3,LARGE($M$5:$M$52,22)=0),"",22)</f>
        <v/>
      </c>
      <c r="B26" s="104" t="str">
        <f>IF(A26="","",INDEX($L$5:$L$52,MATCH(LARGE($M$5:$M$52,22),$M$5:$M$52,0)))</f>
        <v/>
      </c>
      <c r="C26" s="104" t="str">
        <f>IF(B26="","",INDEX($O$5:$O$52,MATCH(LARGE($M$5:$M$52,22),$M$5:$M$52,0)))</f>
        <v/>
      </c>
      <c r="D26" s="104" t="str">
        <f>IF(B26="","",INDEX(Assessment!$B$1:$B$75,INDEX($N$5:$N$52,MATCH(LARGE($M$5:$M$52,22),$M$5:$M$52,0))))</f>
        <v/>
      </c>
      <c r="E26" s="104" t="str">
        <f>IF(B26="","",INDEX(Assessment!$D$1:$D$75,INDEX($N$5:$N$52,MATCH(LARGE($M$5:$M$52,22),$M$5:$M$52,0))))</f>
        <v/>
      </c>
      <c r="F26" s="104" t="str">
        <f>IF(B26="","",INDEX(Assessment!$I$1:$I$75,INDEX($N$5:$N$52,MATCH(LARGE($M$5:$M$52,22),$M$5:$M$52,0))))</f>
        <v/>
      </c>
      <c r="G26" s="104" t="str">
        <f>IF(B26="","",INDEX(Assessment!$E$1:$E$75,INDEX($N$5:$N$52,MATCH(LARGE($M$5:$M$52,22),$M$5:$M$52,0))))</f>
        <v/>
      </c>
      <c r="H26" s="104" t="str">
        <f>IF(B26="","",INDEX(Assessment!$F$1:$F$75,INDEX($N$5:$N$52,MATCH(LARGE($M$5:$M$52,22),$M$5:$M$52,0))))</f>
        <v/>
      </c>
      <c r="I26" s="104"/>
      <c r="J26" s="104"/>
      <c r="L26" t="s">
        <v>169</v>
      </c>
      <c r="M26">
        <f>IF(Assessment!L36=0,0,IF(Assessment!M36="Exclude",0,IF(NOT(OR($F$3="All",$F$3=$O26)),0,IF(NOT(OR($D$3="All",IF(Assessment!I36="High",3,IF(Assessment!I36="Medium",2,IF(Assessment!I36="Low",1,0)))&gt;=IF($D$3="High",3,IF($D$3="Medium",2,IF($D$3="Low",1,0))))),0,IF(Assessment!M36="Include",Assessment!L36+1000000,Assessment!L36)))))</f>
        <v>0</v>
      </c>
      <c r="N26">
        <v>36</v>
      </c>
      <c r="O26" t="s">
        <v>269</v>
      </c>
    </row>
    <row r="27" spans="1:15" ht="48" customHeight="1">
      <c r="A27" s="104" t="str">
        <f>IF(OR(23&gt;$B$3,LARGE($M$5:$M$52,23)=0),"",23)</f>
        <v/>
      </c>
      <c r="B27" s="104" t="str">
        <f>IF(A27="","",INDEX($L$5:$L$52,MATCH(LARGE($M$5:$M$52,23),$M$5:$M$52,0)))</f>
        <v/>
      </c>
      <c r="C27" s="104" t="str">
        <f>IF(B27="","",INDEX($O$5:$O$52,MATCH(LARGE($M$5:$M$52,23),$M$5:$M$52,0)))</f>
        <v/>
      </c>
      <c r="D27" s="104" t="str">
        <f>IF(B27="","",INDEX(Assessment!$B$1:$B$75,INDEX($N$5:$N$52,MATCH(LARGE($M$5:$M$52,23),$M$5:$M$52,0))))</f>
        <v/>
      </c>
      <c r="E27" s="104" t="str">
        <f>IF(B27="","",INDEX(Assessment!$D$1:$D$75,INDEX($N$5:$N$52,MATCH(LARGE($M$5:$M$52,23),$M$5:$M$52,0))))</f>
        <v/>
      </c>
      <c r="F27" s="104" t="str">
        <f>IF(B27="","",INDEX(Assessment!$I$1:$I$75,INDEX($N$5:$N$52,MATCH(LARGE($M$5:$M$52,23),$M$5:$M$52,0))))</f>
        <v/>
      </c>
      <c r="G27" s="104" t="str">
        <f>IF(B27="","",INDEX(Assessment!$E$1:$E$75,INDEX($N$5:$N$52,MATCH(LARGE($M$5:$M$52,23),$M$5:$M$52,0))))</f>
        <v/>
      </c>
      <c r="H27" s="104" t="str">
        <f>IF(B27="","",INDEX(Assessment!$F$1:$F$75,INDEX($N$5:$N$52,MATCH(LARGE($M$5:$M$52,23),$M$5:$M$52,0))))</f>
        <v/>
      </c>
      <c r="I27" s="104"/>
      <c r="J27" s="104"/>
      <c r="L27" t="s">
        <v>172</v>
      </c>
      <c r="M27">
        <f>IF(Assessment!L37=0,0,IF(Assessment!M37="Exclude",0,IF(NOT(OR($F$3="All",$F$3=$O27)),0,IF(NOT(OR($D$3="All",IF(Assessment!I37="High",3,IF(Assessment!I37="Medium",2,IF(Assessment!I37="Low",1,0)))&gt;=IF($D$3="High",3,IF($D$3="Medium",2,IF($D$3="Low",1,0))))),0,IF(Assessment!M37="Include",Assessment!L37+1000000,Assessment!L37)))))</f>
        <v>0</v>
      </c>
      <c r="N27">
        <v>37</v>
      </c>
      <c r="O27" t="s">
        <v>269</v>
      </c>
    </row>
    <row r="28" spans="1:15" ht="48" customHeight="1">
      <c r="A28" s="104" t="str">
        <f>IF(OR(24&gt;$B$3,LARGE($M$5:$M$52,24)=0),"",24)</f>
        <v/>
      </c>
      <c r="B28" s="104" t="str">
        <f>IF(A28="","",INDEX($L$5:$L$52,MATCH(LARGE($M$5:$M$52,24),$M$5:$M$52,0)))</f>
        <v/>
      </c>
      <c r="C28" s="104" t="str">
        <f>IF(B28="","",INDEX($O$5:$O$52,MATCH(LARGE($M$5:$M$52,24),$M$5:$M$52,0)))</f>
        <v/>
      </c>
      <c r="D28" s="104" t="str">
        <f>IF(B28="","",INDEX(Assessment!$B$1:$B$75,INDEX($N$5:$N$52,MATCH(LARGE($M$5:$M$52,24),$M$5:$M$52,0))))</f>
        <v/>
      </c>
      <c r="E28" s="104" t="str">
        <f>IF(B28="","",INDEX(Assessment!$D$1:$D$75,INDEX($N$5:$N$52,MATCH(LARGE($M$5:$M$52,24),$M$5:$M$52,0))))</f>
        <v/>
      </c>
      <c r="F28" s="104" t="str">
        <f>IF(B28="","",INDEX(Assessment!$I$1:$I$75,INDEX($N$5:$N$52,MATCH(LARGE($M$5:$M$52,24),$M$5:$M$52,0))))</f>
        <v/>
      </c>
      <c r="G28" s="104" t="str">
        <f>IF(B28="","",INDEX(Assessment!$E$1:$E$75,INDEX($N$5:$N$52,MATCH(LARGE($M$5:$M$52,24),$M$5:$M$52,0))))</f>
        <v/>
      </c>
      <c r="H28" s="104" t="str">
        <f>IF(B28="","",INDEX(Assessment!$F$1:$F$75,INDEX($N$5:$N$52,MATCH(LARGE($M$5:$M$52,24),$M$5:$M$52,0))))</f>
        <v/>
      </c>
      <c r="I28" s="104"/>
      <c r="J28" s="104"/>
      <c r="L28" t="s">
        <v>175</v>
      </c>
      <c r="M28">
        <f>IF(Assessment!L38=0,0,IF(Assessment!M38="Exclude",0,IF(NOT(OR($F$3="All",$F$3=$O28)),0,IF(NOT(OR($D$3="All",IF(Assessment!I38="High",3,IF(Assessment!I38="Medium",2,IF(Assessment!I38="Low",1,0)))&gt;=IF($D$3="High",3,IF($D$3="Medium",2,IF($D$3="Low",1,0))))),0,IF(Assessment!M38="Include",Assessment!L38+1000000,Assessment!L38)))))</f>
        <v>0</v>
      </c>
      <c r="N28">
        <v>38</v>
      </c>
      <c r="O28" t="s">
        <v>269</v>
      </c>
    </row>
    <row r="29" spans="1:15" ht="48" customHeight="1">
      <c r="A29" s="104" t="str">
        <f>IF(OR(25&gt;$B$3,LARGE($M$5:$M$52,25)=0),"",25)</f>
        <v/>
      </c>
      <c r="B29" s="104" t="str">
        <f>IF(A29="","",INDEX($L$5:$L$52,MATCH(LARGE($M$5:$M$52,25),$M$5:$M$52,0)))</f>
        <v/>
      </c>
      <c r="C29" s="104" t="str">
        <f>IF(B29="","",INDEX($O$5:$O$52,MATCH(LARGE($M$5:$M$52,25),$M$5:$M$52,0)))</f>
        <v/>
      </c>
      <c r="D29" s="104" t="str">
        <f>IF(B29="","",INDEX(Assessment!$B$1:$B$75,INDEX($N$5:$N$52,MATCH(LARGE($M$5:$M$52,25),$M$5:$M$52,0))))</f>
        <v/>
      </c>
      <c r="E29" s="104" t="str">
        <f>IF(B29="","",INDEX(Assessment!$D$1:$D$75,INDEX($N$5:$N$52,MATCH(LARGE($M$5:$M$52,25),$M$5:$M$52,0))))</f>
        <v/>
      </c>
      <c r="F29" s="104" t="str">
        <f>IF(B29="","",INDEX(Assessment!$I$1:$I$75,INDEX($N$5:$N$52,MATCH(LARGE($M$5:$M$52,25),$M$5:$M$52,0))))</f>
        <v/>
      </c>
      <c r="G29" s="104" t="str">
        <f>IF(B29="","",INDEX(Assessment!$E$1:$E$75,INDEX($N$5:$N$52,MATCH(LARGE($M$5:$M$52,25),$M$5:$M$52,0))))</f>
        <v/>
      </c>
      <c r="H29" s="104" t="str">
        <f>IF(B29="","",INDEX(Assessment!$F$1:$F$75,INDEX($N$5:$N$52,MATCH(LARGE($M$5:$M$52,25),$M$5:$M$52,0))))</f>
        <v/>
      </c>
      <c r="I29" s="104"/>
      <c r="J29" s="104"/>
      <c r="L29" t="s">
        <v>179</v>
      </c>
      <c r="M29">
        <f>IF(Assessment!L42=0,0,IF(Assessment!M42="Exclude",0,IF(NOT(OR($F$3="All",$F$3=$O29)),0,IF(NOT(OR($D$3="All",IF(Assessment!I42="High",3,IF(Assessment!I42="Medium",2,IF(Assessment!I42="Low",1,0)))&gt;=IF($D$3="High",3,IF($D$3="Medium",2,IF($D$3="Low",1,0))))),0,IF(Assessment!M42="Include",Assessment!L42+1000000,Assessment!L42)))))</f>
        <v>0</v>
      </c>
      <c r="N29">
        <v>42</v>
      </c>
      <c r="O29" t="s">
        <v>270</v>
      </c>
    </row>
    <row r="30" spans="1:15" ht="48" customHeight="1">
      <c r="A30" s="104" t="str">
        <f>IF(OR(26&gt;$B$3,LARGE($M$5:$M$52,26)=0),"",26)</f>
        <v/>
      </c>
      <c r="B30" s="104" t="str">
        <f>IF(A30="","",INDEX($L$5:$L$52,MATCH(LARGE($M$5:$M$52,26),$M$5:$M$52,0)))</f>
        <v/>
      </c>
      <c r="C30" s="104" t="str">
        <f>IF(B30="","",INDEX($O$5:$O$52,MATCH(LARGE($M$5:$M$52,26),$M$5:$M$52,0)))</f>
        <v/>
      </c>
      <c r="D30" s="104" t="str">
        <f>IF(B30="","",INDEX(Assessment!$B$1:$B$75,INDEX($N$5:$N$52,MATCH(LARGE($M$5:$M$52,26),$M$5:$M$52,0))))</f>
        <v/>
      </c>
      <c r="E30" s="104" t="str">
        <f>IF(B30="","",INDEX(Assessment!$D$1:$D$75,INDEX($N$5:$N$52,MATCH(LARGE($M$5:$M$52,26),$M$5:$M$52,0))))</f>
        <v/>
      </c>
      <c r="F30" s="104" t="str">
        <f>IF(B30="","",INDEX(Assessment!$I$1:$I$75,INDEX($N$5:$N$52,MATCH(LARGE($M$5:$M$52,26),$M$5:$M$52,0))))</f>
        <v/>
      </c>
      <c r="G30" s="104" t="str">
        <f>IF(B30="","",INDEX(Assessment!$E$1:$E$75,INDEX($N$5:$N$52,MATCH(LARGE($M$5:$M$52,26),$M$5:$M$52,0))))</f>
        <v/>
      </c>
      <c r="H30" s="104" t="str">
        <f>IF(B30="","",INDEX(Assessment!$F$1:$F$75,INDEX($N$5:$N$52,MATCH(LARGE($M$5:$M$52,26),$M$5:$M$52,0))))</f>
        <v/>
      </c>
      <c r="I30" s="104"/>
      <c r="J30" s="104"/>
      <c r="L30" t="s">
        <v>182</v>
      </c>
      <c r="M30">
        <f>IF(Assessment!L43=0,0,IF(Assessment!M43="Exclude",0,IF(NOT(OR($F$3="All",$F$3=$O30)),0,IF(NOT(OR($D$3="All",IF(Assessment!I43="High",3,IF(Assessment!I43="Medium",2,IF(Assessment!I43="Low",1,0)))&gt;=IF($D$3="High",3,IF($D$3="Medium",2,IF($D$3="Low",1,0))))),0,IF(Assessment!M43="Include",Assessment!L43+1000000,Assessment!L43)))))</f>
        <v>0</v>
      </c>
      <c r="N30">
        <v>43</v>
      </c>
      <c r="O30" t="s">
        <v>270</v>
      </c>
    </row>
    <row r="31" spans="1:15" ht="48" customHeight="1">
      <c r="A31" s="104" t="str">
        <f>IF(OR(27&gt;$B$3,LARGE($M$5:$M$52,27)=0),"",27)</f>
        <v/>
      </c>
      <c r="B31" s="104" t="str">
        <f>IF(A31="","",INDEX($L$5:$L$52,MATCH(LARGE($M$5:$M$52,27),$M$5:$M$52,0)))</f>
        <v/>
      </c>
      <c r="C31" s="104" t="str">
        <f>IF(B31="","",INDEX($O$5:$O$52,MATCH(LARGE($M$5:$M$52,27),$M$5:$M$52,0)))</f>
        <v/>
      </c>
      <c r="D31" s="104" t="str">
        <f>IF(B31="","",INDEX(Assessment!$B$1:$B$75,INDEX($N$5:$N$52,MATCH(LARGE($M$5:$M$52,27),$M$5:$M$52,0))))</f>
        <v/>
      </c>
      <c r="E31" s="104" t="str">
        <f>IF(B31="","",INDEX(Assessment!$D$1:$D$75,INDEX($N$5:$N$52,MATCH(LARGE($M$5:$M$52,27),$M$5:$M$52,0))))</f>
        <v/>
      </c>
      <c r="F31" s="104" t="str">
        <f>IF(B31="","",INDEX(Assessment!$I$1:$I$75,INDEX($N$5:$N$52,MATCH(LARGE($M$5:$M$52,27),$M$5:$M$52,0))))</f>
        <v/>
      </c>
      <c r="G31" s="104" t="str">
        <f>IF(B31="","",INDEX(Assessment!$E$1:$E$75,INDEX($N$5:$N$52,MATCH(LARGE($M$5:$M$52,27),$M$5:$M$52,0))))</f>
        <v/>
      </c>
      <c r="H31" s="104" t="str">
        <f>IF(B31="","",INDEX(Assessment!$F$1:$F$75,INDEX($N$5:$N$52,MATCH(LARGE($M$5:$M$52,27),$M$5:$M$52,0))))</f>
        <v/>
      </c>
      <c r="I31" s="104"/>
      <c r="J31" s="104"/>
      <c r="L31" t="s">
        <v>185</v>
      </c>
      <c r="M31">
        <f>IF(Assessment!L44=0,0,IF(Assessment!M44="Exclude",0,IF(NOT(OR($F$3="All",$F$3=$O31)),0,IF(NOT(OR($D$3="All",IF(Assessment!I44="High",3,IF(Assessment!I44="Medium",2,IF(Assessment!I44="Low",1,0)))&gt;=IF($D$3="High",3,IF($D$3="Medium",2,IF($D$3="Low",1,0))))),0,IF(Assessment!M44="Include",Assessment!L44+1000000,Assessment!L44)))))</f>
        <v>0</v>
      </c>
      <c r="N31">
        <v>44</v>
      </c>
      <c r="O31" t="s">
        <v>270</v>
      </c>
    </row>
    <row r="32" spans="1:15" ht="48" customHeight="1">
      <c r="A32" s="104" t="str">
        <f>IF(OR(28&gt;$B$3,LARGE($M$5:$M$52,28)=0),"",28)</f>
        <v/>
      </c>
      <c r="B32" s="104" t="str">
        <f>IF(A32="","",INDEX($L$5:$L$52,MATCH(LARGE($M$5:$M$52,28),$M$5:$M$52,0)))</f>
        <v/>
      </c>
      <c r="C32" s="104" t="str">
        <f>IF(B32="","",INDEX($O$5:$O$52,MATCH(LARGE($M$5:$M$52,28),$M$5:$M$52,0)))</f>
        <v/>
      </c>
      <c r="D32" s="104" t="str">
        <f>IF(B32="","",INDEX(Assessment!$B$1:$B$75,INDEX($N$5:$N$52,MATCH(LARGE($M$5:$M$52,28),$M$5:$M$52,0))))</f>
        <v/>
      </c>
      <c r="E32" s="104" t="str">
        <f>IF(B32="","",INDEX(Assessment!$D$1:$D$75,INDEX($N$5:$N$52,MATCH(LARGE($M$5:$M$52,28),$M$5:$M$52,0))))</f>
        <v/>
      </c>
      <c r="F32" s="104" t="str">
        <f>IF(B32="","",INDEX(Assessment!$I$1:$I$75,INDEX($N$5:$N$52,MATCH(LARGE($M$5:$M$52,28),$M$5:$M$52,0))))</f>
        <v/>
      </c>
      <c r="G32" s="104" t="str">
        <f>IF(B32="","",INDEX(Assessment!$E$1:$E$75,INDEX($N$5:$N$52,MATCH(LARGE($M$5:$M$52,28),$M$5:$M$52,0))))</f>
        <v/>
      </c>
      <c r="H32" s="104" t="str">
        <f>IF(B32="","",INDEX(Assessment!$F$1:$F$75,INDEX($N$5:$N$52,MATCH(LARGE($M$5:$M$52,28),$M$5:$M$52,0))))</f>
        <v/>
      </c>
      <c r="I32" s="104"/>
      <c r="J32" s="104"/>
      <c r="L32" t="s">
        <v>188</v>
      </c>
      <c r="M32">
        <f>IF(Assessment!L45=0,0,IF(Assessment!M45="Exclude",0,IF(NOT(OR($F$3="All",$F$3=$O32)),0,IF(NOT(OR($D$3="All",IF(Assessment!I45="High",3,IF(Assessment!I45="Medium",2,IF(Assessment!I45="Low",1,0)))&gt;=IF($D$3="High",3,IF($D$3="Medium",2,IF($D$3="Low",1,0))))),0,IF(Assessment!M45="Include",Assessment!L45+1000000,Assessment!L45)))))</f>
        <v>0</v>
      </c>
      <c r="N32">
        <v>45</v>
      </c>
      <c r="O32" t="s">
        <v>270</v>
      </c>
    </row>
    <row r="33" spans="1:15" ht="48" customHeight="1">
      <c r="A33" s="104" t="str">
        <f>IF(OR(29&gt;$B$3,LARGE($M$5:$M$52,29)=0),"",29)</f>
        <v/>
      </c>
      <c r="B33" s="104" t="str">
        <f>IF(A33="","",INDEX($L$5:$L$52,MATCH(LARGE($M$5:$M$52,29),$M$5:$M$52,0)))</f>
        <v/>
      </c>
      <c r="C33" s="104" t="str">
        <f>IF(B33="","",INDEX($O$5:$O$52,MATCH(LARGE($M$5:$M$52,29),$M$5:$M$52,0)))</f>
        <v/>
      </c>
      <c r="D33" s="104" t="str">
        <f>IF(B33="","",INDEX(Assessment!$B$1:$B$75,INDEX($N$5:$N$52,MATCH(LARGE($M$5:$M$52,29),$M$5:$M$52,0))))</f>
        <v/>
      </c>
      <c r="E33" s="104" t="str">
        <f>IF(B33="","",INDEX(Assessment!$D$1:$D$75,INDEX($N$5:$N$52,MATCH(LARGE($M$5:$M$52,29),$M$5:$M$52,0))))</f>
        <v/>
      </c>
      <c r="F33" s="104" t="str">
        <f>IF(B33="","",INDEX(Assessment!$I$1:$I$75,INDEX($N$5:$N$52,MATCH(LARGE($M$5:$M$52,29),$M$5:$M$52,0))))</f>
        <v/>
      </c>
      <c r="G33" s="104" t="str">
        <f>IF(B33="","",INDEX(Assessment!$E$1:$E$75,INDEX($N$5:$N$52,MATCH(LARGE($M$5:$M$52,29),$M$5:$M$52,0))))</f>
        <v/>
      </c>
      <c r="H33" s="104" t="str">
        <f>IF(B33="","",INDEX(Assessment!$F$1:$F$75,INDEX($N$5:$N$52,MATCH(LARGE($M$5:$M$52,29),$M$5:$M$52,0))))</f>
        <v/>
      </c>
      <c r="I33" s="104"/>
      <c r="J33" s="104"/>
      <c r="L33" t="s">
        <v>191</v>
      </c>
      <c r="M33">
        <f>IF(Assessment!L46=0,0,IF(Assessment!M46="Exclude",0,IF(NOT(OR($F$3="All",$F$3=$O33)),0,IF(NOT(OR($D$3="All",IF(Assessment!I46="High",3,IF(Assessment!I46="Medium",2,IF(Assessment!I46="Low",1,0)))&gt;=IF($D$3="High",3,IF($D$3="Medium",2,IF($D$3="Low",1,0))))),0,IF(Assessment!M46="Include",Assessment!L46+1000000,Assessment!L46)))))</f>
        <v>0</v>
      </c>
      <c r="N33">
        <v>46</v>
      </c>
      <c r="O33" t="s">
        <v>270</v>
      </c>
    </row>
    <row r="34" spans="1:15" ht="48" customHeight="1">
      <c r="A34" s="104" t="str">
        <f>IF(OR(30&gt;$B$3,LARGE($M$5:$M$52,30)=0),"",30)</f>
        <v/>
      </c>
      <c r="B34" s="104" t="str">
        <f>IF(A34="","",INDEX($L$5:$L$52,MATCH(LARGE($M$5:$M$52,30),$M$5:$M$52,0)))</f>
        <v/>
      </c>
      <c r="C34" s="104" t="str">
        <f>IF(B34="","",INDEX($O$5:$O$52,MATCH(LARGE($M$5:$M$52,30),$M$5:$M$52,0)))</f>
        <v/>
      </c>
      <c r="D34" s="104" t="str">
        <f>IF(B34="","",INDEX(Assessment!$B$1:$B$75,INDEX($N$5:$N$52,MATCH(LARGE($M$5:$M$52,30),$M$5:$M$52,0))))</f>
        <v/>
      </c>
      <c r="E34" s="104" t="str">
        <f>IF(B34="","",INDEX(Assessment!$D$1:$D$75,INDEX($N$5:$N$52,MATCH(LARGE($M$5:$M$52,30),$M$5:$M$52,0))))</f>
        <v/>
      </c>
      <c r="F34" s="104" t="str">
        <f>IF(B34="","",INDEX(Assessment!$I$1:$I$75,INDEX($N$5:$N$52,MATCH(LARGE($M$5:$M$52,30),$M$5:$M$52,0))))</f>
        <v/>
      </c>
      <c r="G34" s="104" t="str">
        <f>IF(B34="","",INDEX(Assessment!$E$1:$E$75,INDEX($N$5:$N$52,MATCH(LARGE($M$5:$M$52,30),$M$5:$M$52,0))))</f>
        <v/>
      </c>
      <c r="H34" s="104" t="str">
        <f>IF(B34="","",INDEX(Assessment!$F$1:$F$75,INDEX($N$5:$N$52,MATCH(LARGE($M$5:$M$52,30),$M$5:$M$52,0))))</f>
        <v/>
      </c>
      <c r="I34" s="104"/>
      <c r="J34" s="104"/>
      <c r="L34" t="s">
        <v>194</v>
      </c>
      <c r="M34">
        <f>IF(Assessment!L47=0,0,IF(Assessment!M47="Exclude",0,IF(NOT(OR($F$3="All",$F$3=$O34)),0,IF(NOT(OR($D$3="All",IF(Assessment!I47="High",3,IF(Assessment!I47="Medium",2,IF(Assessment!I47="Low",1,0)))&gt;=IF($D$3="High",3,IF($D$3="Medium",2,IF($D$3="Low",1,0))))),0,IF(Assessment!M47="Include",Assessment!L47+1000000,Assessment!L47)))))</f>
        <v>0</v>
      </c>
      <c r="N34">
        <v>47</v>
      </c>
      <c r="O34" t="s">
        <v>270</v>
      </c>
    </row>
    <row r="35" spans="1:15" ht="48" customHeight="1">
      <c r="A35" s="104" t="str">
        <f>IF(OR(31&gt;$B$3,LARGE($M$5:$M$52,31)=0),"",31)</f>
        <v/>
      </c>
      <c r="B35" s="104" t="str">
        <f>IF(A35="","",INDEX($L$5:$L$52,MATCH(LARGE($M$5:$M$52,31),$M$5:$M$52,0)))</f>
        <v/>
      </c>
      <c r="C35" s="104" t="str">
        <f>IF(B35="","",INDEX($O$5:$O$52,MATCH(LARGE($M$5:$M$52,31),$M$5:$M$52,0)))</f>
        <v/>
      </c>
      <c r="D35" s="104" t="str">
        <f>IF(B35="","",INDEX(Assessment!$B$1:$B$75,INDEX($N$5:$N$52,MATCH(LARGE($M$5:$M$52,31),$M$5:$M$52,0))))</f>
        <v/>
      </c>
      <c r="E35" s="104" t="str">
        <f>IF(B35="","",INDEX(Assessment!$D$1:$D$75,INDEX($N$5:$N$52,MATCH(LARGE($M$5:$M$52,31),$M$5:$M$52,0))))</f>
        <v/>
      </c>
      <c r="F35" s="104" t="str">
        <f>IF(B35="","",INDEX(Assessment!$I$1:$I$75,INDEX($N$5:$N$52,MATCH(LARGE($M$5:$M$52,31),$M$5:$M$52,0))))</f>
        <v/>
      </c>
      <c r="G35" s="104" t="str">
        <f>IF(B35="","",INDEX(Assessment!$E$1:$E$75,INDEX($N$5:$N$52,MATCH(LARGE($M$5:$M$52,31),$M$5:$M$52,0))))</f>
        <v/>
      </c>
      <c r="H35" s="104" t="str">
        <f>IF(B35="","",INDEX(Assessment!$F$1:$F$75,INDEX($N$5:$N$52,MATCH(LARGE($M$5:$M$52,31),$M$5:$M$52,0))))</f>
        <v/>
      </c>
      <c r="I35" s="104"/>
      <c r="J35" s="104"/>
      <c r="L35" t="s">
        <v>198</v>
      </c>
      <c r="M35">
        <f>IF(Assessment!L51=0,0,IF(Assessment!M51="Exclude",0,IF(NOT(OR($F$3="All",$F$3=$O35)),0,IF(NOT(OR($D$3="All",IF(Assessment!I51="High",3,IF(Assessment!I51="Medium",2,IF(Assessment!I51="Low",1,0)))&gt;=IF($D$3="High",3,IF($D$3="Medium",2,IF($D$3="Low",1,0))))),0,IF(Assessment!M51="Include",Assessment!L51+1000000,Assessment!L51)))))</f>
        <v>0</v>
      </c>
      <c r="N35">
        <v>51</v>
      </c>
      <c r="O35" t="s">
        <v>271</v>
      </c>
    </row>
    <row r="36" spans="1:15" ht="48" customHeight="1">
      <c r="A36" s="104" t="str">
        <f>IF(OR(32&gt;$B$3,LARGE($M$5:$M$52,32)=0),"",32)</f>
        <v/>
      </c>
      <c r="B36" s="104" t="str">
        <f>IF(A36="","",INDEX($L$5:$L$52,MATCH(LARGE($M$5:$M$52,32),$M$5:$M$52,0)))</f>
        <v/>
      </c>
      <c r="C36" s="104" t="str">
        <f>IF(B36="","",INDEX($O$5:$O$52,MATCH(LARGE($M$5:$M$52,32),$M$5:$M$52,0)))</f>
        <v/>
      </c>
      <c r="D36" s="104" t="str">
        <f>IF(B36="","",INDEX(Assessment!$B$1:$B$75,INDEX($N$5:$N$52,MATCH(LARGE($M$5:$M$52,32),$M$5:$M$52,0))))</f>
        <v/>
      </c>
      <c r="E36" s="104" t="str">
        <f>IF(B36="","",INDEX(Assessment!$D$1:$D$75,INDEX($N$5:$N$52,MATCH(LARGE($M$5:$M$52,32),$M$5:$M$52,0))))</f>
        <v/>
      </c>
      <c r="F36" s="104" t="str">
        <f>IF(B36="","",INDEX(Assessment!$I$1:$I$75,INDEX($N$5:$N$52,MATCH(LARGE($M$5:$M$52,32),$M$5:$M$52,0))))</f>
        <v/>
      </c>
      <c r="G36" s="104" t="str">
        <f>IF(B36="","",INDEX(Assessment!$E$1:$E$75,INDEX($N$5:$N$52,MATCH(LARGE($M$5:$M$52,32),$M$5:$M$52,0))))</f>
        <v/>
      </c>
      <c r="H36" s="104" t="str">
        <f>IF(B36="","",INDEX(Assessment!$F$1:$F$75,INDEX($N$5:$N$52,MATCH(LARGE($M$5:$M$52,32),$M$5:$M$52,0))))</f>
        <v/>
      </c>
      <c r="I36" s="104"/>
      <c r="J36" s="104"/>
      <c r="L36" t="s">
        <v>201</v>
      </c>
      <c r="M36">
        <f>IF(Assessment!L52=0,0,IF(Assessment!M52="Exclude",0,IF(NOT(OR($F$3="All",$F$3=$O36)),0,IF(NOT(OR($D$3="All",IF(Assessment!I52="High",3,IF(Assessment!I52="Medium",2,IF(Assessment!I52="Low",1,0)))&gt;=IF($D$3="High",3,IF($D$3="Medium",2,IF($D$3="Low",1,0))))),0,IF(Assessment!M52="Include",Assessment!L52+1000000,Assessment!L52)))))</f>
        <v>0</v>
      </c>
      <c r="N36">
        <v>52</v>
      </c>
      <c r="O36" t="s">
        <v>271</v>
      </c>
    </row>
    <row r="37" spans="1:15" ht="48" customHeight="1">
      <c r="A37" s="104" t="str">
        <f>IF(OR(33&gt;$B$3,LARGE($M$5:$M$52,33)=0),"",33)</f>
        <v/>
      </c>
      <c r="B37" s="104" t="str">
        <f>IF(A37="","",INDEX($L$5:$L$52,MATCH(LARGE($M$5:$M$52,33),$M$5:$M$52,0)))</f>
        <v/>
      </c>
      <c r="C37" s="104" t="str">
        <f>IF(B37="","",INDEX($O$5:$O$52,MATCH(LARGE($M$5:$M$52,33),$M$5:$M$52,0)))</f>
        <v/>
      </c>
      <c r="D37" s="104" t="str">
        <f>IF(B37="","",INDEX(Assessment!$B$1:$B$75,INDEX($N$5:$N$52,MATCH(LARGE($M$5:$M$52,33),$M$5:$M$52,0))))</f>
        <v/>
      </c>
      <c r="E37" s="104" t="str">
        <f>IF(B37="","",INDEX(Assessment!$D$1:$D$75,INDEX($N$5:$N$52,MATCH(LARGE($M$5:$M$52,33),$M$5:$M$52,0))))</f>
        <v/>
      </c>
      <c r="F37" s="104" t="str">
        <f>IF(B37="","",INDEX(Assessment!$I$1:$I$75,INDEX($N$5:$N$52,MATCH(LARGE($M$5:$M$52,33),$M$5:$M$52,0))))</f>
        <v/>
      </c>
      <c r="G37" s="104" t="str">
        <f>IF(B37="","",INDEX(Assessment!$E$1:$E$75,INDEX($N$5:$N$52,MATCH(LARGE($M$5:$M$52,33),$M$5:$M$52,0))))</f>
        <v/>
      </c>
      <c r="H37" s="104" t="str">
        <f>IF(B37="","",INDEX(Assessment!$F$1:$F$75,INDEX($N$5:$N$52,MATCH(LARGE($M$5:$M$52,33),$M$5:$M$52,0))))</f>
        <v/>
      </c>
      <c r="I37" s="104"/>
      <c r="J37" s="104"/>
      <c r="L37" t="s">
        <v>204</v>
      </c>
      <c r="M37">
        <f>IF(Assessment!L53=0,0,IF(Assessment!M53="Exclude",0,IF(NOT(OR($F$3="All",$F$3=$O37)),0,IF(NOT(OR($D$3="All",IF(Assessment!I53="High",3,IF(Assessment!I53="Medium",2,IF(Assessment!I53="Low",1,0)))&gt;=IF($D$3="High",3,IF($D$3="Medium",2,IF($D$3="Low",1,0))))),0,IF(Assessment!M53="Include",Assessment!L53+1000000,Assessment!L53)))))</f>
        <v>0</v>
      </c>
      <c r="N37">
        <v>53</v>
      </c>
      <c r="O37" t="s">
        <v>271</v>
      </c>
    </row>
    <row r="38" spans="1:15" ht="48" customHeight="1">
      <c r="A38" s="104" t="str">
        <f>IF(OR(34&gt;$B$3,LARGE($M$5:$M$52,34)=0),"",34)</f>
        <v/>
      </c>
      <c r="B38" s="104" t="str">
        <f>IF(A38="","",INDEX($L$5:$L$52,MATCH(LARGE($M$5:$M$52,34),$M$5:$M$52,0)))</f>
        <v/>
      </c>
      <c r="C38" s="104" t="str">
        <f>IF(B38="","",INDEX($O$5:$O$52,MATCH(LARGE($M$5:$M$52,34),$M$5:$M$52,0)))</f>
        <v/>
      </c>
      <c r="D38" s="104" t="str">
        <f>IF(B38="","",INDEX(Assessment!$B$1:$B$75,INDEX($N$5:$N$52,MATCH(LARGE($M$5:$M$52,34),$M$5:$M$52,0))))</f>
        <v/>
      </c>
      <c r="E38" s="104" t="str">
        <f>IF(B38="","",INDEX(Assessment!$D$1:$D$75,INDEX($N$5:$N$52,MATCH(LARGE($M$5:$M$52,34),$M$5:$M$52,0))))</f>
        <v/>
      </c>
      <c r="F38" s="104" t="str">
        <f>IF(B38="","",INDEX(Assessment!$I$1:$I$75,INDEX($N$5:$N$52,MATCH(LARGE($M$5:$M$52,34),$M$5:$M$52,0))))</f>
        <v/>
      </c>
      <c r="G38" s="104" t="str">
        <f>IF(B38="","",INDEX(Assessment!$E$1:$E$75,INDEX($N$5:$N$52,MATCH(LARGE($M$5:$M$52,34),$M$5:$M$52,0))))</f>
        <v/>
      </c>
      <c r="H38" s="104" t="str">
        <f>IF(B38="","",INDEX(Assessment!$F$1:$F$75,INDEX($N$5:$N$52,MATCH(LARGE($M$5:$M$52,34),$M$5:$M$52,0))))</f>
        <v/>
      </c>
      <c r="I38" s="104"/>
      <c r="J38" s="104"/>
      <c r="L38" t="s">
        <v>207</v>
      </c>
      <c r="M38">
        <f>IF(Assessment!L54=0,0,IF(Assessment!M54="Exclude",0,IF(NOT(OR($F$3="All",$F$3=$O38)),0,IF(NOT(OR($D$3="All",IF(Assessment!I54="High",3,IF(Assessment!I54="Medium",2,IF(Assessment!I54="Low",1,0)))&gt;=IF($D$3="High",3,IF($D$3="Medium",2,IF($D$3="Low",1,0))))),0,IF(Assessment!M54="Include",Assessment!L54+1000000,Assessment!L54)))))</f>
        <v>0</v>
      </c>
      <c r="N38">
        <v>54</v>
      </c>
      <c r="O38" t="s">
        <v>271</v>
      </c>
    </row>
    <row r="39" spans="1:15" ht="48" customHeight="1">
      <c r="A39" s="104" t="str">
        <f>IF(OR(35&gt;$B$3,LARGE($M$5:$M$52,35)=0),"",35)</f>
        <v/>
      </c>
      <c r="B39" s="104" t="str">
        <f>IF(A39="","",INDEX($L$5:$L$52,MATCH(LARGE($M$5:$M$52,35),$M$5:$M$52,0)))</f>
        <v/>
      </c>
      <c r="C39" s="104" t="str">
        <f>IF(B39="","",INDEX($O$5:$O$52,MATCH(LARGE($M$5:$M$52,35),$M$5:$M$52,0)))</f>
        <v/>
      </c>
      <c r="D39" s="104" t="str">
        <f>IF(B39="","",INDEX(Assessment!$B$1:$B$75,INDEX($N$5:$N$52,MATCH(LARGE($M$5:$M$52,35),$M$5:$M$52,0))))</f>
        <v/>
      </c>
      <c r="E39" s="104" t="str">
        <f>IF(B39="","",INDEX(Assessment!$D$1:$D$75,INDEX($N$5:$N$52,MATCH(LARGE($M$5:$M$52,35),$M$5:$M$52,0))))</f>
        <v/>
      </c>
      <c r="F39" s="104" t="str">
        <f>IF(B39="","",INDEX(Assessment!$I$1:$I$75,INDEX($N$5:$N$52,MATCH(LARGE($M$5:$M$52,35),$M$5:$M$52,0))))</f>
        <v/>
      </c>
      <c r="G39" s="104" t="str">
        <f>IF(B39="","",INDEX(Assessment!$E$1:$E$75,INDEX($N$5:$N$52,MATCH(LARGE($M$5:$M$52,35),$M$5:$M$52,0))))</f>
        <v/>
      </c>
      <c r="H39" s="104" t="str">
        <f>IF(B39="","",INDEX(Assessment!$F$1:$F$75,INDEX($N$5:$N$52,MATCH(LARGE($M$5:$M$52,35),$M$5:$M$52,0))))</f>
        <v/>
      </c>
      <c r="I39" s="104"/>
      <c r="J39" s="104"/>
      <c r="L39" t="s">
        <v>210</v>
      </c>
      <c r="M39">
        <f>IF(Assessment!L55=0,0,IF(Assessment!M55="Exclude",0,IF(NOT(OR($F$3="All",$F$3=$O39)),0,IF(NOT(OR($D$3="All",IF(Assessment!I55="High",3,IF(Assessment!I55="Medium",2,IF(Assessment!I55="Low",1,0)))&gt;=IF($D$3="High",3,IF($D$3="Medium",2,IF($D$3="Low",1,0))))),0,IF(Assessment!M55="Include",Assessment!L55+1000000,Assessment!L55)))))</f>
        <v>0</v>
      </c>
      <c r="N39">
        <v>55</v>
      </c>
      <c r="O39" t="s">
        <v>271</v>
      </c>
    </row>
    <row r="40" spans="1:15" ht="48" customHeight="1">
      <c r="A40" s="104" t="str">
        <f>IF(OR(36&gt;$B$3,LARGE($M$5:$M$52,36)=0),"",36)</f>
        <v/>
      </c>
      <c r="B40" s="104" t="str">
        <f>IF(A40="","",INDEX($L$5:$L$52,MATCH(LARGE($M$5:$M$52,36),$M$5:$M$52,0)))</f>
        <v/>
      </c>
      <c r="C40" s="104" t="str">
        <f>IF(B40="","",INDEX($O$5:$O$52,MATCH(LARGE($M$5:$M$52,36),$M$5:$M$52,0)))</f>
        <v/>
      </c>
      <c r="D40" s="104" t="str">
        <f>IF(B40="","",INDEX(Assessment!$B$1:$B$75,INDEX($N$5:$N$52,MATCH(LARGE($M$5:$M$52,36),$M$5:$M$52,0))))</f>
        <v/>
      </c>
      <c r="E40" s="104" t="str">
        <f>IF(B40="","",INDEX(Assessment!$D$1:$D$75,INDEX($N$5:$N$52,MATCH(LARGE($M$5:$M$52,36),$M$5:$M$52,0))))</f>
        <v/>
      </c>
      <c r="F40" s="104" t="str">
        <f>IF(B40="","",INDEX(Assessment!$I$1:$I$75,INDEX($N$5:$N$52,MATCH(LARGE($M$5:$M$52,36),$M$5:$M$52,0))))</f>
        <v/>
      </c>
      <c r="G40" s="104" t="str">
        <f>IF(B40="","",INDEX(Assessment!$E$1:$E$75,INDEX($N$5:$N$52,MATCH(LARGE($M$5:$M$52,36),$M$5:$M$52,0))))</f>
        <v/>
      </c>
      <c r="H40" s="104" t="str">
        <f>IF(B40="","",INDEX(Assessment!$F$1:$F$75,INDEX($N$5:$N$52,MATCH(LARGE($M$5:$M$52,36),$M$5:$M$52,0))))</f>
        <v/>
      </c>
      <c r="I40" s="104"/>
      <c r="J40" s="104"/>
      <c r="L40" t="s">
        <v>213</v>
      </c>
      <c r="M40">
        <f>IF(Assessment!L56=0,0,IF(Assessment!M56="Exclude",0,IF(NOT(OR($F$3="All",$F$3=$O40)),0,IF(NOT(OR($D$3="All",IF(Assessment!I56="High",3,IF(Assessment!I56="Medium",2,IF(Assessment!I56="Low",1,0)))&gt;=IF($D$3="High",3,IF($D$3="Medium",2,IF($D$3="Low",1,0))))),0,IF(Assessment!M56="Include",Assessment!L56+1000000,Assessment!L56)))))</f>
        <v>0</v>
      </c>
      <c r="N40">
        <v>56</v>
      </c>
      <c r="O40" t="s">
        <v>271</v>
      </c>
    </row>
    <row r="41" spans="1:15" ht="48" customHeight="1">
      <c r="A41" s="104" t="str">
        <f>IF(OR(37&gt;$B$3,LARGE($M$5:$M$52,37)=0),"",37)</f>
        <v/>
      </c>
      <c r="B41" s="104" t="str">
        <f>IF(A41="","",INDEX($L$5:$L$52,MATCH(LARGE($M$5:$M$52,37),$M$5:$M$52,0)))</f>
        <v/>
      </c>
      <c r="C41" s="104" t="str">
        <f>IF(B41="","",INDEX($O$5:$O$52,MATCH(LARGE($M$5:$M$52,37),$M$5:$M$52,0)))</f>
        <v/>
      </c>
      <c r="D41" s="104" t="str">
        <f>IF(B41="","",INDEX(Assessment!$B$1:$B$75,INDEX($N$5:$N$52,MATCH(LARGE($M$5:$M$52,37),$M$5:$M$52,0))))</f>
        <v/>
      </c>
      <c r="E41" s="104" t="str">
        <f>IF(B41="","",INDEX(Assessment!$D$1:$D$75,INDEX($N$5:$N$52,MATCH(LARGE($M$5:$M$52,37),$M$5:$M$52,0))))</f>
        <v/>
      </c>
      <c r="F41" s="104" t="str">
        <f>IF(B41="","",INDEX(Assessment!$I$1:$I$75,INDEX($N$5:$N$52,MATCH(LARGE($M$5:$M$52,37),$M$5:$M$52,0))))</f>
        <v/>
      </c>
      <c r="G41" s="104" t="str">
        <f>IF(B41="","",INDEX(Assessment!$E$1:$E$75,INDEX($N$5:$N$52,MATCH(LARGE($M$5:$M$52,37),$M$5:$M$52,0))))</f>
        <v/>
      </c>
      <c r="H41" s="104" t="str">
        <f>IF(B41="","",INDEX(Assessment!$F$1:$F$75,INDEX($N$5:$N$52,MATCH(LARGE($M$5:$M$52,37),$M$5:$M$52,0))))</f>
        <v/>
      </c>
      <c r="I41" s="104"/>
      <c r="J41" s="104"/>
      <c r="L41" t="s">
        <v>217</v>
      </c>
      <c r="M41">
        <f>IF(Assessment!L60=0,0,IF(Assessment!M60="Exclude",0,IF(NOT(OR($F$3="All",$F$3=$O41)),0,IF(NOT(OR($D$3="All",IF(Assessment!I60="High",3,IF(Assessment!I60="Medium",2,IF(Assessment!I60="Low",1,0)))&gt;=IF($D$3="High",3,IF($D$3="Medium",2,IF($D$3="Low",1,0))))),0,IF(Assessment!M60="Include",Assessment!L60+1000000,Assessment!L60)))))</f>
        <v>0</v>
      </c>
      <c r="N41">
        <v>60</v>
      </c>
      <c r="O41" t="s">
        <v>273</v>
      </c>
    </row>
    <row r="42" spans="1:15" ht="48" customHeight="1">
      <c r="A42" s="104" t="str">
        <f>IF(OR(38&gt;$B$3,LARGE($M$5:$M$52,38)=0),"",38)</f>
        <v/>
      </c>
      <c r="B42" s="104" t="str">
        <f>IF(A42="","",INDEX($L$5:$L$52,MATCH(LARGE($M$5:$M$52,38),$M$5:$M$52,0)))</f>
        <v/>
      </c>
      <c r="C42" s="104" t="str">
        <f>IF(B42="","",INDEX($O$5:$O$52,MATCH(LARGE($M$5:$M$52,38),$M$5:$M$52,0)))</f>
        <v/>
      </c>
      <c r="D42" s="104" t="str">
        <f>IF(B42="","",INDEX(Assessment!$B$1:$B$75,INDEX($N$5:$N$52,MATCH(LARGE($M$5:$M$52,38),$M$5:$M$52,0))))</f>
        <v/>
      </c>
      <c r="E42" s="104" t="str">
        <f>IF(B42="","",INDEX(Assessment!$D$1:$D$75,INDEX($N$5:$N$52,MATCH(LARGE($M$5:$M$52,38),$M$5:$M$52,0))))</f>
        <v/>
      </c>
      <c r="F42" s="104" t="str">
        <f>IF(B42="","",INDEX(Assessment!$I$1:$I$75,INDEX($N$5:$N$52,MATCH(LARGE($M$5:$M$52,38),$M$5:$M$52,0))))</f>
        <v/>
      </c>
      <c r="G42" s="104" t="str">
        <f>IF(B42="","",INDEX(Assessment!$E$1:$E$75,INDEX($N$5:$N$52,MATCH(LARGE($M$5:$M$52,38),$M$5:$M$52,0))))</f>
        <v/>
      </c>
      <c r="H42" s="104" t="str">
        <f>IF(B42="","",INDEX(Assessment!$F$1:$F$75,INDEX($N$5:$N$52,MATCH(LARGE($M$5:$M$52,38),$M$5:$M$52,0))))</f>
        <v/>
      </c>
      <c r="I42" s="104"/>
      <c r="J42" s="104"/>
      <c r="L42" t="s">
        <v>220</v>
      </c>
      <c r="M42">
        <f>IF(Assessment!L61=0,0,IF(Assessment!M61="Exclude",0,IF(NOT(OR($F$3="All",$F$3=$O42)),0,IF(NOT(OR($D$3="All",IF(Assessment!I61="High",3,IF(Assessment!I61="Medium",2,IF(Assessment!I61="Low",1,0)))&gt;=IF($D$3="High",3,IF($D$3="Medium",2,IF($D$3="Low",1,0))))),0,IF(Assessment!M61="Include",Assessment!L61+1000000,Assessment!L61)))))</f>
        <v>0</v>
      </c>
      <c r="N42">
        <v>61</v>
      </c>
      <c r="O42" t="s">
        <v>273</v>
      </c>
    </row>
    <row r="43" spans="1:15" ht="48" customHeight="1">
      <c r="A43" s="104" t="str">
        <f>IF(OR(39&gt;$B$3,LARGE($M$5:$M$52,39)=0),"",39)</f>
        <v/>
      </c>
      <c r="B43" s="104" t="str">
        <f>IF(A43="","",INDEX($L$5:$L$52,MATCH(LARGE($M$5:$M$52,39),$M$5:$M$52,0)))</f>
        <v/>
      </c>
      <c r="C43" s="104" t="str">
        <f>IF(B43="","",INDEX($O$5:$O$52,MATCH(LARGE($M$5:$M$52,39),$M$5:$M$52,0)))</f>
        <v/>
      </c>
      <c r="D43" s="104" t="str">
        <f>IF(B43="","",INDEX(Assessment!$B$1:$B$75,INDEX($N$5:$N$52,MATCH(LARGE($M$5:$M$52,39),$M$5:$M$52,0))))</f>
        <v/>
      </c>
      <c r="E43" s="104" t="str">
        <f>IF(B43="","",INDEX(Assessment!$D$1:$D$75,INDEX($N$5:$N$52,MATCH(LARGE($M$5:$M$52,39),$M$5:$M$52,0))))</f>
        <v/>
      </c>
      <c r="F43" s="104" t="str">
        <f>IF(B43="","",INDEX(Assessment!$I$1:$I$75,INDEX($N$5:$N$52,MATCH(LARGE($M$5:$M$52,39),$M$5:$M$52,0))))</f>
        <v/>
      </c>
      <c r="G43" s="104" t="str">
        <f>IF(B43="","",INDEX(Assessment!$E$1:$E$75,INDEX($N$5:$N$52,MATCH(LARGE($M$5:$M$52,39),$M$5:$M$52,0))))</f>
        <v/>
      </c>
      <c r="H43" s="104" t="str">
        <f>IF(B43="","",INDEX(Assessment!$F$1:$F$75,INDEX($N$5:$N$52,MATCH(LARGE($M$5:$M$52,39),$M$5:$M$52,0))))</f>
        <v/>
      </c>
      <c r="I43" s="104"/>
      <c r="J43" s="104"/>
      <c r="L43" t="s">
        <v>223</v>
      </c>
      <c r="M43">
        <f>IF(Assessment!L62=0,0,IF(Assessment!M62="Exclude",0,IF(NOT(OR($F$3="All",$F$3=$O43)),0,IF(NOT(OR($D$3="All",IF(Assessment!I62="High",3,IF(Assessment!I62="Medium",2,IF(Assessment!I62="Low",1,0)))&gt;=IF($D$3="High",3,IF($D$3="Medium",2,IF($D$3="Low",1,0))))),0,IF(Assessment!M62="Include",Assessment!L62+1000000,Assessment!L62)))))</f>
        <v>0</v>
      </c>
      <c r="N43">
        <v>62</v>
      </c>
      <c r="O43" t="s">
        <v>273</v>
      </c>
    </row>
    <row r="44" spans="1:15" ht="48" customHeight="1">
      <c r="A44" s="104" t="str">
        <f>IF(OR(40&gt;$B$3,LARGE($M$5:$M$52,40)=0),"",40)</f>
        <v/>
      </c>
      <c r="B44" s="104" t="str">
        <f>IF(A44="","",INDEX($L$5:$L$52,MATCH(LARGE($M$5:$M$52,40),$M$5:$M$52,0)))</f>
        <v/>
      </c>
      <c r="C44" s="104" t="str">
        <f>IF(B44="","",INDEX($O$5:$O$52,MATCH(LARGE($M$5:$M$52,40),$M$5:$M$52,0)))</f>
        <v/>
      </c>
      <c r="D44" s="104" t="str">
        <f>IF(B44="","",INDEX(Assessment!$B$1:$B$75,INDEX($N$5:$N$52,MATCH(LARGE($M$5:$M$52,40),$M$5:$M$52,0))))</f>
        <v/>
      </c>
      <c r="E44" s="104" t="str">
        <f>IF(B44="","",INDEX(Assessment!$D$1:$D$75,INDEX($N$5:$N$52,MATCH(LARGE($M$5:$M$52,40),$M$5:$M$52,0))))</f>
        <v/>
      </c>
      <c r="F44" s="104" t="str">
        <f>IF(B44="","",INDEX(Assessment!$I$1:$I$75,INDEX($N$5:$N$52,MATCH(LARGE($M$5:$M$52,40),$M$5:$M$52,0))))</f>
        <v/>
      </c>
      <c r="G44" s="104" t="str">
        <f>IF(B44="","",INDEX(Assessment!$E$1:$E$75,INDEX($N$5:$N$52,MATCH(LARGE($M$5:$M$52,40),$M$5:$M$52,0))))</f>
        <v/>
      </c>
      <c r="H44" s="104" t="str">
        <f>IF(B44="","",INDEX(Assessment!$F$1:$F$75,INDEX($N$5:$N$52,MATCH(LARGE($M$5:$M$52,40),$M$5:$M$52,0))))</f>
        <v/>
      </c>
      <c r="I44" s="104"/>
      <c r="J44" s="104"/>
      <c r="L44" t="s">
        <v>226</v>
      </c>
      <c r="M44">
        <f>IF(Assessment!L63=0,0,IF(Assessment!M63="Exclude",0,IF(NOT(OR($F$3="All",$F$3=$O44)),0,IF(NOT(OR($D$3="All",IF(Assessment!I63="High",3,IF(Assessment!I63="Medium",2,IF(Assessment!I63="Low",1,0)))&gt;=IF($D$3="High",3,IF($D$3="Medium",2,IF($D$3="Low",1,0))))),0,IF(Assessment!M63="Include",Assessment!L63+1000000,Assessment!L63)))))</f>
        <v>0</v>
      </c>
      <c r="N44">
        <v>63</v>
      </c>
      <c r="O44" t="s">
        <v>273</v>
      </c>
    </row>
    <row r="45" spans="1:15" ht="48" customHeight="1">
      <c r="A45" s="104" t="str">
        <f>IF(OR(41&gt;$B$3,LARGE($M$5:$M$52,41)=0),"",41)</f>
        <v/>
      </c>
      <c r="B45" s="104" t="str">
        <f>IF(A45="","",INDEX($L$5:$L$52,MATCH(LARGE($M$5:$M$52,41),$M$5:$M$52,0)))</f>
        <v/>
      </c>
      <c r="C45" s="104" t="str">
        <f>IF(B45="","",INDEX($O$5:$O$52,MATCH(LARGE($M$5:$M$52,41),$M$5:$M$52,0)))</f>
        <v/>
      </c>
      <c r="D45" s="104" t="str">
        <f>IF(B45="","",INDEX(Assessment!$B$1:$B$75,INDEX($N$5:$N$52,MATCH(LARGE($M$5:$M$52,41),$M$5:$M$52,0))))</f>
        <v/>
      </c>
      <c r="E45" s="104" t="str">
        <f>IF(B45="","",INDEX(Assessment!$D$1:$D$75,INDEX($N$5:$N$52,MATCH(LARGE($M$5:$M$52,41),$M$5:$M$52,0))))</f>
        <v/>
      </c>
      <c r="F45" s="104" t="str">
        <f>IF(B45="","",INDEX(Assessment!$I$1:$I$75,INDEX($N$5:$N$52,MATCH(LARGE($M$5:$M$52,41),$M$5:$M$52,0))))</f>
        <v/>
      </c>
      <c r="G45" s="104" t="str">
        <f>IF(B45="","",INDEX(Assessment!$E$1:$E$75,INDEX($N$5:$N$52,MATCH(LARGE($M$5:$M$52,41),$M$5:$M$52,0))))</f>
        <v/>
      </c>
      <c r="H45" s="104" t="str">
        <f>IF(B45="","",INDEX(Assessment!$F$1:$F$75,INDEX($N$5:$N$52,MATCH(LARGE($M$5:$M$52,41),$M$5:$M$52,0))))</f>
        <v/>
      </c>
      <c r="I45" s="104"/>
      <c r="J45" s="104"/>
      <c r="L45" t="s">
        <v>229</v>
      </c>
      <c r="M45">
        <f>IF(Assessment!L64=0,0,IF(Assessment!M64="Exclude",0,IF(NOT(OR($F$3="All",$F$3=$O45)),0,IF(NOT(OR($D$3="All",IF(Assessment!I64="High",3,IF(Assessment!I64="Medium",2,IF(Assessment!I64="Low",1,0)))&gt;=IF($D$3="High",3,IF($D$3="Medium",2,IF($D$3="Low",1,0))))),0,IF(Assessment!M64="Include",Assessment!L64+1000000,Assessment!L64)))))</f>
        <v>0</v>
      </c>
      <c r="N45">
        <v>64</v>
      </c>
      <c r="O45" t="s">
        <v>273</v>
      </c>
    </row>
    <row r="46" spans="1:15" ht="48" customHeight="1">
      <c r="A46" s="104" t="str">
        <f>IF(OR(42&gt;$B$3,LARGE($M$5:$M$52,42)=0),"",42)</f>
        <v/>
      </c>
      <c r="B46" s="104" t="str">
        <f>IF(A46="","",INDEX($L$5:$L$52,MATCH(LARGE($M$5:$M$52,42),$M$5:$M$52,0)))</f>
        <v/>
      </c>
      <c r="C46" s="104" t="str">
        <f>IF(B46="","",INDEX($O$5:$O$52,MATCH(LARGE($M$5:$M$52,42),$M$5:$M$52,0)))</f>
        <v/>
      </c>
      <c r="D46" s="104" t="str">
        <f>IF(B46="","",INDEX(Assessment!$B$1:$B$75,INDEX($N$5:$N$52,MATCH(LARGE($M$5:$M$52,42),$M$5:$M$52,0))))</f>
        <v/>
      </c>
      <c r="E46" s="104" t="str">
        <f>IF(B46="","",INDEX(Assessment!$D$1:$D$75,INDEX($N$5:$N$52,MATCH(LARGE($M$5:$M$52,42),$M$5:$M$52,0))))</f>
        <v/>
      </c>
      <c r="F46" s="104" t="str">
        <f>IF(B46="","",INDEX(Assessment!$I$1:$I$75,INDEX($N$5:$N$52,MATCH(LARGE($M$5:$M$52,42),$M$5:$M$52,0))))</f>
        <v/>
      </c>
      <c r="G46" s="104" t="str">
        <f>IF(B46="","",INDEX(Assessment!$E$1:$E$75,INDEX($N$5:$N$52,MATCH(LARGE($M$5:$M$52,42),$M$5:$M$52,0))))</f>
        <v/>
      </c>
      <c r="H46" s="104" t="str">
        <f>IF(B46="","",INDEX(Assessment!$F$1:$F$75,INDEX($N$5:$N$52,MATCH(LARGE($M$5:$M$52,42),$M$5:$M$52,0))))</f>
        <v/>
      </c>
      <c r="I46" s="104"/>
      <c r="J46" s="104"/>
      <c r="L46" t="s">
        <v>232</v>
      </c>
      <c r="M46">
        <f>IF(Assessment!L65=0,0,IF(Assessment!M65="Exclude",0,IF(NOT(OR($F$3="All",$F$3=$O46)),0,IF(NOT(OR($D$3="All",IF(Assessment!I65="High",3,IF(Assessment!I65="Medium",2,IF(Assessment!I65="Low",1,0)))&gt;=IF($D$3="High",3,IF($D$3="Medium",2,IF($D$3="Low",1,0))))),0,IF(Assessment!M65="Include",Assessment!L65+1000000,Assessment!L65)))))</f>
        <v>0</v>
      </c>
      <c r="N46">
        <v>65</v>
      </c>
      <c r="O46" t="s">
        <v>273</v>
      </c>
    </row>
    <row r="47" spans="1:15" ht="48" customHeight="1">
      <c r="A47" s="104" t="str">
        <f>IF(OR(43&gt;$B$3,LARGE($M$5:$M$52,43)=0),"",43)</f>
        <v/>
      </c>
      <c r="B47" s="104" t="str">
        <f>IF(A47="","",INDEX($L$5:$L$52,MATCH(LARGE($M$5:$M$52,43),$M$5:$M$52,0)))</f>
        <v/>
      </c>
      <c r="C47" s="104" t="str">
        <f>IF(B47="","",INDEX($O$5:$O$52,MATCH(LARGE($M$5:$M$52,43),$M$5:$M$52,0)))</f>
        <v/>
      </c>
      <c r="D47" s="104" t="str">
        <f>IF(B47="","",INDEX(Assessment!$B$1:$B$75,INDEX($N$5:$N$52,MATCH(LARGE($M$5:$M$52,43),$M$5:$M$52,0))))</f>
        <v/>
      </c>
      <c r="E47" s="104" t="str">
        <f>IF(B47="","",INDEX(Assessment!$D$1:$D$75,INDEX($N$5:$N$52,MATCH(LARGE($M$5:$M$52,43),$M$5:$M$52,0))))</f>
        <v/>
      </c>
      <c r="F47" s="104" t="str">
        <f>IF(B47="","",INDEX(Assessment!$I$1:$I$75,INDEX($N$5:$N$52,MATCH(LARGE($M$5:$M$52,43),$M$5:$M$52,0))))</f>
        <v/>
      </c>
      <c r="G47" s="104" t="str">
        <f>IF(B47="","",INDEX(Assessment!$E$1:$E$75,INDEX($N$5:$N$52,MATCH(LARGE($M$5:$M$52,43),$M$5:$M$52,0))))</f>
        <v/>
      </c>
      <c r="H47" s="104" t="str">
        <f>IF(B47="","",INDEX(Assessment!$F$1:$F$75,INDEX($N$5:$N$52,MATCH(LARGE($M$5:$M$52,43),$M$5:$M$52,0))))</f>
        <v/>
      </c>
      <c r="I47" s="104"/>
      <c r="J47" s="104"/>
      <c r="L47" t="s">
        <v>236</v>
      </c>
      <c r="M47">
        <f>IF(Assessment!L69=0,0,IF(Assessment!M69="Exclude",0,IF(NOT(OR($F$3="All",$F$3=$O47)),0,IF(NOT(OR($D$3="All",IF(Assessment!I69="High",3,IF(Assessment!I69="Medium",2,IF(Assessment!I69="Low",1,0)))&gt;=IF($D$3="High",3,IF($D$3="Medium",2,IF($D$3="Low",1,0))))),0,IF(Assessment!M69="Include",Assessment!L69+1000000,Assessment!L69)))))</f>
        <v>0</v>
      </c>
      <c r="N47">
        <v>69</v>
      </c>
      <c r="O47" t="s">
        <v>274</v>
      </c>
    </row>
    <row r="48" spans="1:15" ht="48" customHeight="1">
      <c r="A48" s="104" t="str">
        <f>IF(OR(44&gt;$B$3,LARGE($M$5:$M$52,44)=0),"",44)</f>
        <v/>
      </c>
      <c r="B48" s="104" t="str">
        <f>IF(A48="","",INDEX($L$5:$L$52,MATCH(LARGE($M$5:$M$52,44),$M$5:$M$52,0)))</f>
        <v/>
      </c>
      <c r="C48" s="104" t="str">
        <f>IF(B48="","",INDEX($O$5:$O$52,MATCH(LARGE($M$5:$M$52,44),$M$5:$M$52,0)))</f>
        <v/>
      </c>
      <c r="D48" s="104" t="str">
        <f>IF(B48="","",INDEX(Assessment!$B$1:$B$75,INDEX($N$5:$N$52,MATCH(LARGE($M$5:$M$52,44),$M$5:$M$52,0))))</f>
        <v/>
      </c>
      <c r="E48" s="104" t="str">
        <f>IF(B48="","",INDEX(Assessment!$D$1:$D$75,INDEX($N$5:$N$52,MATCH(LARGE($M$5:$M$52,44),$M$5:$M$52,0))))</f>
        <v/>
      </c>
      <c r="F48" s="104" t="str">
        <f>IF(B48="","",INDEX(Assessment!$I$1:$I$75,INDEX($N$5:$N$52,MATCH(LARGE($M$5:$M$52,44),$M$5:$M$52,0))))</f>
        <v/>
      </c>
      <c r="G48" s="104" t="str">
        <f>IF(B48="","",INDEX(Assessment!$E$1:$E$75,INDEX($N$5:$N$52,MATCH(LARGE($M$5:$M$52,44),$M$5:$M$52,0))))</f>
        <v/>
      </c>
      <c r="H48" s="104" t="str">
        <f>IF(B48="","",INDEX(Assessment!$F$1:$F$75,INDEX($N$5:$N$52,MATCH(LARGE($M$5:$M$52,44),$M$5:$M$52,0))))</f>
        <v/>
      </c>
      <c r="I48" s="104"/>
      <c r="J48" s="104"/>
      <c r="L48" t="s">
        <v>239</v>
      </c>
      <c r="M48">
        <f>IF(Assessment!L70=0,0,IF(Assessment!M70="Exclude",0,IF(NOT(OR($F$3="All",$F$3=$O48)),0,IF(NOT(OR($D$3="All",IF(Assessment!I70="High",3,IF(Assessment!I70="Medium",2,IF(Assessment!I70="Low",1,0)))&gt;=IF($D$3="High",3,IF($D$3="Medium",2,IF($D$3="Low",1,0))))),0,IF(Assessment!M70="Include",Assessment!L70+1000000,Assessment!L70)))))</f>
        <v>0</v>
      </c>
      <c r="N48">
        <v>70</v>
      </c>
      <c r="O48" t="s">
        <v>274</v>
      </c>
    </row>
    <row r="49" spans="1:15" ht="48" customHeight="1">
      <c r="A49" s="104" t="str">
        <f>IF(OR(45&gt;$B$3,LARGE($M$5:$M$52,45)=0),"",45)</f>
        <v/>
      </c>
      <c r="B49" s="104" t="str">
        <f>IF(A49="","",INDEX($L$5:$L$52,MATCH(LARGE($M$5:$M$52,45),$M$5:$M$52,0)))</f>
        <v/>
      </c>
      <c r="C49" s="104" t="str">
        <f>IF(B49="","",INDEX($O$5:$O$52,MATCH(LARGE($M$5:$M$52,45),$M$5:$M$52,0)))</f>
        <v/>
      </c>
      <c r="D49" s="104" t="str">
        <f>IF(B49="","",INDEX(Assessment!$B$1:$B$75,INDEX($N$5:$N$52,MATCH(LARGE($M$5:$M$52,45),$M$5:$M$52,0))))</f>
        <v/>
      </c>
      <c r="E49" s="104" t="str">
        <f>IF(B49="","",INDEX(Assessment!$D$1:$D$75,INDEX($N$5:$N$52,MATCH(LARGE($M$5:$M$52,45),$M$5:$M$52,0))))</f>
        <v/>
      </c>
      <c r="F49" s="104" t="str">
        <f>IF(B49="","",INDEX(Assessment!$I$1:$I$75,INDEX($N$5:$N$52,MATCH(LARGE($M$5:$M$52,45),$M$5:$M$52,0))))</f>
        <v/>
      </c>
      <c r="G49" s="104" t="str">
        <f>IF(B49="","",INDEX(Assessment!$E$1:$E$75,INDEX($N$5:$N$52,MATCH(LARGE($M$5:$M$52,45),$M$5:$M$52,0))))</f>
        <v/>
      </c>
      <c r="H49" s="104" t="str">
        <f>IF(B49="","",INDEX(Assessment!$F$1:$F$75,INDEX($N$5:$N$52,MATCH(LARGE($M$5:$M$52,45),$M$5:$M$52,0))))</f>
        <v/>
      </c>
      <c r="I49" s="104"/>
      <c r="J49" s="104"/>
      <c r="L49" t="s">
        <v>242</v>
      </c>
      <c r="M49">
        <f>IF(Assessment!L71=0,0,IF(Assessment!M71="Exclude",0,IF(NOT(OR($F$3="All",$F$3=$O49)),0,IF(NOT(OR($D$3="All",IF(Assessment!I71="High",3,IF(Assessment!I71="Medium",2,IF(Assessment!I71="Low",1,0)))&gt;=IF($D$3="High",3,IF($D$3="Medium",2,IF($D$3="Low",1,0))))),0,IF(Assessment!M71="Include",Assessment!L71+1000000,Assessment!L71)))))</f>
        <v>0</v>
      </c>
      <c r="N49">
        <v>71</v>
      </c>
      <c r="O49" t="s">
        <v>274</v>
      </c>
    </row>
    <row r="50" spans="1:15" ht="48" customHeight="1">
      <c r="A50" s="104" t="str">
        <f>IF(OR(46&gt;$B$3,LARGE($M$5:$M$52,46)=0),"",46)</f>
        <v/>
      </c>
      <c r="B50" s="104" t="str">
        <f>IF(A50="","",INDEX($L$5:$L$52,MATCH(LARGE($M$5:$M$52,46),$M$5:$M$52,0)))</f>
        <v/>
      </c>
      <c r="C50" s="104" t="str">
        <f>IF(B50="","",INDEX($O$5:$O$52,MATCH(LARGE($M$5:$M$52,46),$M$5:$M$52,0)))</f>
        <v/>
      </c>
      <c r="D50" s="104" t="str">
        <f>IF(B50="","",INDEX(Assessment!$B$1:$B$75,INDEX($N$5:$N$52,MATCH(LARGE($M$5:$M$52,46),$M$5:$M$52,0))))</f>
        <v/>
      </c>
      <c r="E50" s="104" t="str">
        <f>IF(B50="","",INDEX(Assessment!$D$1:$D$75,INDEX($N$5:$N$52,MATCH(LARGE($M$5:$M$52,46),$M$5:$M$52,0))))</f>
        <v/>
      </c>
      <c r="F50" s="104" t="str">
        <f>IF(B50="","",INDEX(Assessment!$I$1:$I$75,INDEX($N$5:$N$52,MATCH(LARGE($M$5:$M$52,46),$M$5:$M$52,0))))</f>
        <v/>
      </c>
      <c r="G50" s="104" t="str">
        <f>IF(B50="","",INDEX(Assessment!$E$1:$E$75,INDEX($N$5:$N$52,MATCH(LARGE($M$5:$M$52,46),$M$5:$M$52,0))))</f>
        <v/>
      </c>
      <c r="H50" s="104" t="str">
        <f>IF(B50="","",INDEX(Assessment!$F$1:$F$75,INDEX($N$5:$N$52,MATCH(LARGE($M$5:$M$52,46),$M$5:$M$52,0))))</f>
        <v/>
      </c>
      <c r="I50" s="104"/>
      <c r="J50" s="104"/>
      <c r="L50" t="s">
        <v>245</v>
      </c>
      <c r="M50">
        <f>IF(Assessment!L72=0,0,IF(Assessment!M72="Exclude",0,IF(NOT(OR($F$3="All",$F$3=$O50)),0,IF(NOT(OR($D$3="All",IF(Assessment!I72="High",3,IF(Assessment!I72="Medium",2,IF(Assessment!I72="Low",1,0)))&gt;=IF($D$3="High",3,IF($D$3="Medium",2,IF($D$3="Low",1,0))))),0,IF(Assessment!M72="Include",Assessment!L72+1000000,Assessment!L72)))))</f>
        <v>0</v>
      </c>
      <c r="N50">
        <v>72</v>
      </c>
      <c r="O50" t="s">
        <v>274</v>
      </c>
    </row>
    <row r="51" spans="1:15" ht="48" customHeight="1">
      <c r="A51" s="104" t="str">
        <f>IF(OR(47&gt;$B$3,LARGE($M$5:$M$52,47)=0),"",47)</f>
        <v/>
      </c>
      <c r="B51" s="104" t="str">
        <f>IF(A51="","",INDEX($L$5:$L$52,MATCH(LARGE($M$5:$M$52,47),$M$5:$M$52,0)))</f>
        <v/>
      </c>
      <c r="C51" s="104" t="str">
        <f>IF(B51="","",INDEX($O$5:$O$52,MATCH(LARGE($M$5:$M$52,47),$M$5:$M$52,0)))</f>
        <v/>
      </c>
      <c r="D51" s="104" t="str">
        <f>IF(B51="","",INDEX(Assessment!$B$1:$B$75,INDEX($N$5:$N$52,MATCH(LARGE($M$5:$M$52,47),$M$5:$M$52,0))))</f>
        <v/>
      </c>
      <c r="E51" s="104" t="str">
        <f>IF(B51="","",INDEX(Assessment!$D$1:$D$75,INDEX($N$5:$N$52,MATCH(LARGE($M$5:$M$52,47),$M$5:$M$52,0))))</f>
        <v/>
      </c>
      <c r="F51" s="104" t="str">
        <f>IF(B51="","",INDEX(Assessment!$I$1:$I$75,INDEX($N$5:$N$52,MATCH(LARGE($M$5:$M$52,47),$M$5:$M$52,0))))</f>
        <v/>
      </c>
      <c r="G51" s="104" t="str">
        <f>IF(B51="","",INDEX(Assessment!$E$1:$E$75,INDEX($N$5:$N$52,MATCH(LARGE($M$5:$M$52,47),$M$5:$M$52,0))))</f>
        <v/>
      </c>
      <c r="H51" s="104" t="str">
        <f>IF(B51="","",INDEX(Assessment!$F$1:$F$75,INDEX($N$5:$N$52,MATCH(LARGE($M$5:$M$52,47),$M$5:$M$52,0))))</f>
        <v/>
      </c>
      <c r="I51" s="104"/>
      <c r="J51" s="104"/>
      <c r="L51" t="s">
        <v>248</v>
      </c>
      <c r="M51">
        <f>IF(Assessment!L73=0,0,IF(Assessment!M73="Exclude",0,IF(NOT(OR($F$3="All",$F$3=$O51)),0,IF(NOT(OR($D$3="All",IF(Assessment!I73="High",3,IF(Assessment!I73="Medium",2,IF(Assessment!I73="Low",1,0)))&gt;=IF($D$3="High",3,IF($D$3="Medium",2,IF($D$3="Low",1,0))))),0,IF(Assessment!M73="Include",Assessment!L73+1000000,Assessment!L73)))))</f>
        <v>0</v>
      </c>
      <c r="N51">
        <v>73</v>
      </c>
      <c r="O51" t="s">
        <v>274</v>
      </c>
    </row>
    <row r="52" spans="1:15" ht="48" customHeight="1">
      <c r="A52" s="104" t="str">
        <f>IF(OR(48&gt;$B$3,LARGE($M$5:$M$52,48)=0),"",48)</f>
        <v/>
      </c>
      <c r="B52" s="104" t="str">
        <f>IF(A52="","",INDEX($L$5:$L$52,MATCH(LARGE($M$5:$M$52,48),$M$5:$M$52,0)))</f>
        <v/>
      </c>
      <c r="C52" s="104" t="str">
        <f>IF(B52="","",INDEX($O$5:$O$52,MATCH(LARGE($M$5:$M$52,48),$M$5:$M$52,0)))</f>
        <v/>
      </c>
      <c r="D52" s="104" t="str">
        <f>IF(B52="","",INDEX(Assessment!$B$1:$B$75,INDEX($N$5:$N$52,MATCH(LARGE($M$5:$M$52,48),$M$5:$M$52,0))))</f>
        <v/>
      </c>
      <c r="E52" s="104" t="str">
        <f>IF(B52="","",INDEX(Assessment!$D$1:$D$75,INDEX($N$5:$N$52,MATCH(LARGE($M$5:$M$52,48),$M$5:$M$52,0))))</f>
        <v/>
      </c>
      <c r="F52" s="104" t="str">
        <f>IF(B52="","",INDEX(Assessment!$I$1:$I$75,INDEX($N$5:$N$52,MATCH(LARGE($M$5:$M$52,48),$M$5:$M$52,0))))</f>
        <v/>
      </c>
      <c r="G52" s="104" t="str">
        <f>IF(B52="","",INDEX(Assessment!$E$1:$E$75,INDEX($N$5:$N$52,MATCH(LARGE($M$5:$M$52,48),$M$5:$M$52,0))))</f>
        <v/>
      </c>
      <c r="H52" s="104" t="str">
        <f>IF(B52="","",INDEX(Assessment!$F$1:$F$75,INDEX($N$5:$N$52,MATCH(LARGE($M$5:$M$52,48),$M$5:$M$52,0))))</f>
        <v/>
      </c>
      <c r="I52" s="104"/>
      <c r="J52" s="104"/>
      <c r="L52" t="s">
        <v>251</v>
      </c>
      <c r="M52">
        <f>IF(Assessment!L74=0,0,IF(Assessment!M74="Exclude",0,IF(NOT(OR($F$3="All",$F$3=$O52)),0,IF(NOT(OR($D$3="All",IF(Assessment!I74="High",3,IF(Assessment!I74="Medium",2,IF(Assessment!I74="Low",1,0)))&gt;=IF($D$3="High",3,IF($D$3="Medium",2,IF($D$3="Low",1,0))))),0,IF(Assessment!M74="Include",Assessment!L74+1000000,Assessment!L74)))))</f>
        <v>0</v>
      </c>
      <c r="N52">
        <v>74</v>
      </c>
      <c r="O52" t="s">
        <v>274</v>
      </c>
    </row>
  </sheetData>
  <mergeCells count="3">
    <mergeCell ref="A1:J1"/>
    <mergeCell ref="A2:J2"/>
    <mergeCell ref="G3:J3"/>
  </mergeCells>
  <conditionalFormatting sqref="E5:E9">
    <cfRule type="colorScale" priority="1">
      <colorScale>
        <cfvo type="min"/>
        <cfvo type="percentile" val="50"/>
        <cfvo type="max"/>
        <color rgb="FFF4CCCC"/>
        <color rgb="FFFCE4D6"/>
        <color rgb="FFE2F0D9"/>
      </colorScale>
    </cfRule>
  </conditionalFormatting>
  <dataValidations count="4">
    <dataValidation type="list" sqref="I5:I52" xr:uid="{00000000-0002-0000-0400-000000000000}">
      <formula1>"High,Medium,Low,Not Yet Rated"</formula1>
    </dataValidation>
    <dataValidation type="list" sqref="B3" xr:uid="{00000000-0002-0000-0400-000001000000}">
      <formula1>"1,2,3,4,5,6,7,8,9,10,11,12,13,14,15,16,17,18,19,20,21,22,23,24,25,26,27,28,29,30,31,32,33,34,35,36,37,38,39,40,41,42,43,44,45,46,47,48"</formula1>
    </dataValidation>
    <dataValidation type="list" sqref="D3" xr:uid="{00000000-0002-0000-0400-000003000000}">
      <formula1>"All,Low,Medium,High"</formula1>
    </dataValidation>
    <dataValidation type="list" sqref="F3" xr:uid="{00000000-0002-0000-0400-000004000000}">
      <formula1>"All,Governance,Management,Physical Resources,Human Resources,Financial Management &amp; Controls,Communications &amp; Marketing,Sport Activity,Values"</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workbookViewId="0">
      <selection sqref="A1:F1"/>
    </sheetView>
  </sheetViews>
  <sheetFormatPr defaultRowHeight="14.25"/>
  <cols>
    <col min="1" max="2" width="28" customWidth="1"/>
    <col min="3" max="3" width="46" customWidth="1"/>
    <col min="4" max="4" width="52" customWidth="1"/>
    <col min="5" max="5" width="48" customWidth="1"/>
    <col min="6" max="6" width="30" customWidth="1"/>
  </cols>
  <sheetData>
    <row r="1" spans="1:6" ht="20.25">
      <c r="A1" s="123" t="s">
        <v>275</v>
      </c>
      <c r="B1" s="123"/>
      <c r="C1" s="123"/>
      <c r="D1" s="123"/>
      <c r="E1" s="123"/>
      <c r="F1" s="123"/>
    </row>
    <row r="2" spans="1:6">
      <c r="A2" s="124" t="s">
        <v>276</v>
      </c>
      <c r="B2" s="125"/>
      <c r="C2" s="125"/>
      <c r="D2" s="125"/>
      <c r="E2" s="125"/>
      <c r="F2" s="126"/>
    </row>
    <row r="4" spans="1:6">
      <c r="A4" s="1" t="s">
        <v>277</v>
      </c>
      <c r="B4" s="2" t="s">
        <v>278</v>
      </c>
      <c r="C4" s="2" t="s">
        <v>279</v>
      </c>
      <c r="D4" s="2" t="s">
        <v>280</v>
      </c>
      <c r="E4" s="2" t="s">
        <v>281</v>
      </c>
      <c r="F4" s="3" t="s">
        <v>282</v>
      </c>
    </row>
    <row r="5" spans="1:6">
      <c r="A5" s="4" t="s">
        <v>283</v>
      </c>
      <c r="B5" s="5" t="s">
        <v>284</v>
      </c>
      <c r="C5" s="5" t="s">
        <v>285</v>
      </c>
      <c r="D5" s="5" t="s">
        <v>286</v>
      </c>
      <c r="E5" s="5" t="s">
        <v>287</v>
      </c>
      <c r="F5" s="6" t="s">
        <v>288</v>
      </c>
    </row>
    <row r="6" spans="1:6" ht="42.75">
      <c r="A6" s="7" t="s">
        <v>289</v>
      </c>
      <c r="B6" s="8" t="s">
        <v>290</v>
      </c>
      <c r="C6" s="8" t="s">
        <v>291</v>
      </c>
      <c r="D6" s="8" t="s">
        <v>292</v>
      </c>
      <c r="E6" s="8" t="s">
        <v>293</v>
      </c>
      <c r="F6" s="9" t="s">
        <v>294</v>
      </c>
    </row>
    <row r="7" spans="1:6" ht="28.5">
      <c r="A7" s="7" t="s">
        <v>295</v>
      </c>
      <c r="B7" s="8" t="s">
        <v>296</v>
      </c>
      <c r="C7" s="8" t="s">
        <v>297</v>
      </c>
      <c r="D7" s="8" t="s">
        <v>298</v>
      </c>
      <c r="E7" s="8" t="s">
        <v>299</v>
      </c>
      <c r="F7" s="9" t="s">
        <v>300</v>
      </c>
    </row>
    <row r="8" spans="1:6" ht="28.5">
      <c r="A8" s="7" t="s">
        <v>301</v>
      </c>
      <c r="B8" s="8" t="s">
        <v>302</v>
      </c>
      <c r="C8" s="8" t="s">
        <v>303</v>
      </c>
      <c r="D8" s="8" t="s">
        <v>304</v>
      </c>
      <c r="E8" s="8" t="s">
        <v>37</v>
      </c>
      <c r="F8" s="9" t="s">
        <v>305</v>
      </c>
    </row>
    <row r="9" spans="1:6" ht="28.5">
      <c r="A9" s="7" t="s">
        <v>38</v>
      </c>
      <c r="B9" s="8" t="s">
        <v>306</v>
      </c>
      <c r="C9" s="8" t="s">
        <v>307</v>
      </c>
      <c r="D9" s="8" t="s">
        <v>308</v>
      </c>
      <c r="E9" s="8" t="s">
        <v>309</v>
      </c>
      <c r="F9" s="9" t="s">
        <v>310</v>
      </c>
    </row>
    <row r="10" spans="1:6" ht="28.5">
      <c r="A10" s="10" t="s">
        <v>311</v>
      </c>
      <c r="B10" s="11" t="s">
        <v>312</v>
      </c>
      <c r="C10" s="11" t="s">
        <v>313</v>
      </c>
      <c r="D10" s="11" t="s">
        <v>314</v>
      </c>
      <c r="E10" s="11" t="s">
        <v>315</v>
      </c>
      <c r="F10" s="12" t="s">
        <v>316</v>
      </c>
    </row>
  </sheetData>
  <mergeCells count="2">
    <mergeCell ref="A1:F1"/>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
  <sheetViews>
    <sheetView workbookViewId="0">
      <selection sqref="A1:D1"/>
    </sheetView>
  </sheetViews>
  <sheetFormatPr defaultRowHeight="14.25"/>
  <cols>
    <col min="1" max="1" width="32" customWidth="1"/>
    <col min="2" max="4" width="18" customWidth="1"/>
  </cols>
  <sheetData>
    <row r="1" spans="1:4" ht="20.25">
      <c r="A1" s="123" t="s">
        <v>317</v>
      </c>
      <c r="B1" s="123"/>
      <c r="C1" s="123"/>
      <c r="D1" s="123"/>
    </row>
    <row r="3" spans="1:4">
      <c r="A3" s="1" t="s">
        <v>79</v>
      </c>
      <c r="B3" s="2" t="s">
        <v>85</v>
      </c>
      <c r="C3" s="2" t="s">
        <v>318</v>
      </c>
      <c r="D3" s="3" t="s">
        <v>319</v>
      </c>
    </row>
    <row r="4" spans="1:4">
      <c r="A4" s="4" t="s">
        <v>13</v>
      </c>
      <c r="B4" s="5" t="s">
        <v>56</v>
      </c>
      <c r="C4" s="5" t="s">
        <v>54</v>
      </c>
      <c r="D4" s="6" t="s">
        <v>56</v>
      </c>
    </row>
    <row r="5" spans="1:4">
      <c r="A5" s="7" t="s">
        <v>15</v>
      </c>
      <c r="B5" s="8" t="s">
        <v>90</v>
      </c>
      <c r="C5" s="8" t="s">
        <v>56</v>
      </c>
      <c r="D5" s="9" t="s">
        <v>90</v>
      </c>
    </row>
    <row r="6" spans="1:4">
      <c r="A6" s="7" t="s">
        <v>17</v>
      </c>
      <c r="B6" s="8" t="s">
        <v>60</v>
      </c>
      <c r="C6" s="8" t="s">
        <v>58</v>
      </c>
      <c r="D6" s="9" t="s">
        <v>60</v>
      </c>
    </row>
    <row r="7" spans="1:4">
      <c r="A7" s="7" t="s">
        <v>19</v>
      </c>
      <c r="B7" s="8" t="s">
        <v>99</v>
      </c>
      <c r="C7" s="8" t="s">
        <v>60</v>
      </c>
      <c r="D7" s="9" t="s">
        <v>320</v>
      </c>
    </row>
    <row r="8" spans="1:4">
      <c r="A8" s="10" t="s">
        <v>21</v>
      </c>
      <c r="B8" s="11"/>
      <c r="C8" s="11" t="s">
        <v>62</v>
      </c>
      <c r="D8" s="12"/>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National Context</vt:lpstr>
      <vt:lpstr>Assessment</vt:lpstr>
      <vt:lpstr>Dashboard</vt:lpstr>
      <vt:lpstr>Improvement Priorities</vt:lpstr>
      <vt:lpstr>Methodology &amp; Sources</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Brian Minikin</cp:lastModifiedBy>
  <dcterms:created xsi:type="dcterms:W3CDTF">2026-08-31T08:08:39Z</dcterms:created>
  <dcterms:modified xsi:type="dcterms:W3CDTF">2026-08-31T08:08:39Z</dcterms:modified>
</cp:coreProperties>
</file>