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My Projects\Excel Draw Sheets\Finalised Draws\"/>
    </mc:Choice>
  </mc:AlternateContent>
  <xr:revisionPtr revIDLastSave="0" documentId="13_ncr:1_{8AC014FA-6181-4A6F-8D78-991572A3A0DB}" xr6:coauthVersionLast="47" xr6:coauthVersionMax="47" xr10:uidLastSave="{00000000-0000-0000-0000-000000000000}"/>
  <bookViews>
    <workbookView xWindow="-120" yWindow="-120" windowWidth="20730" windowHeight="11160" activeTab="5" xr2:uid="{00000000-000D-0000-FFFF-FFFF00000000}"/>
  </bookViews>
  <sheets>
    <sheet name="HOME" sheetId="1" r:id="rId1"/>
    <sheet name="Setup" sheetId="2" r:id="rId2"/>
    <sheet name="Teams" sheetId="3" r:id="rId3"/>
    <sheet name="Scores" sheetId="4" r:id="rId4"/>
    <sheet name="Calculations" sheetId="5" state="hidden" r:id="rId5"/>
    <sheet name="Pool Tables" sheetId="6" r:id="rId6"/>
    <sheet name="Finals" sheetId="7" r:id="rId7"/>
    <sheet name="Fixture Library" sheetId="8" r:id="rId8"/>
    <sheet name="Finals Bracket" sheetId="9" r:id="rId9"/>
    <sheet name="Competition Summary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4" i="10" l="1"/>
  <c r="N24" i="10"/>
  <c r="M24" i="10"/>
  <c r="K24" i="10"/>
  <c r="J24" i="10"/>
  <c r="I24" i="10"/>
  <c r="G24" i="10"/>
  <c r="F24" i="10"/>
  <c r="E24" i="10"/>
  <c r="C24" i="10"/>
  <c r="B24" i="10"/>
  <c r="A24" i="10"/>
  <c r="M23" i="10"/>
  <c r="I23" i="10"/>
  <c r="E23" i="10"/>
  <c r="A23" i="10"/>
  <c r="O13" i="10"/>
  <c r="N13" i="10"/>
  <c r="M13" i="10"/>
  <c r="K13" i="10"/>
  <c r="J13" i="10"/>
  <c r="I13" i="10"/>
  <c r="G13" i="10"/>
  <c r="F13" i="10"/>
  <c r="E13" i="10"/>
  <c r="C13" i="10"/>
  <c r="B13" i="10"/>
  <c r="A13" i="10"/>
  <c r="M12" i="10"/>
  <c r="I12" i="10"/>
  <c r="E12" i="10"/>
  <c r="A12" i="10"/>
  <c r="K6" i="10"/>
  <c r="C4" i="10"/>
  <c r="B2" i="10"/>
  <c r="J38" i="9"/>
  <c r="H38" i="9"/>
  <c r="J37" i="9"/>
  <c r="H37" i="9"/>
  <c r="H36" i="9"/>
  <c r="A2" i="7"/>
  <c r="A81" i="6"/>
  <c r="A70" i="6"/>
  <c r="A59" i="6"/>
  <c r="A48" i="6"/>
  <c r="A37" i="6"/>
  <c r="A26" i="6"/>
  <c r="A15" i="6"/>
  <c r="A4" i="6"/>
  <c r="A1" i="6"/>
  <c r="B1" i="4"/>
  <c r="F67" i="3"/>
  <c r="D67" i="5" s="1"/>
  <c r="F66" i="3"/>
  <c r="D66" i="5" s="1"/>
  <c r="F65" i="3"/>
  <c r="D65" i="5" s="1"/>
  <c r="F64" i="3"/>
  <c r="D64" i="5" s="1"/>
  <c r="F63" i="3"/>
  <c r="D63" i="5" s="1"/>
  <c r="F62" i="3"/>
  <c r="D62" i="5" s="1"/>
  <c r="F61" i="3"/>
  <c r="D61" i="5" s="1"/>
  <c r="F60" i="3"/>
  <c r="D60" i="5" s="1"/>
  <c r="F59" i="3"/>
  <c r="D59" i="5" s="1"/>
  <c r="F58" i="3"/>
  <c r="D58" i="5" s="1"/>
  <c r="F57" i="3"/>
  <c r="D57" i="5" s="1"/>
  <c r="F56" i="3"/>
  <c r="D56" i="5" s="1"/>
  <c r="F55" i="3"/>
  <c r="D55" i="5" s="1"/>
  <c r="F54" i="3"/>
  <c r="D54" i="5" s="1"/>
  <c r="F53" i="3"/>
  <c r="D53" i="5" s="1"/>
  <c r="F52" i="3"/>
  <c r="D52" i="5" s="1"/>
  <c r="F51" i="3"/>
  <c r="D51" i="5" s="1"/>
  <c r="F50" i="3"/>
  <c r="D50" i="5" s="1"/>
  <c r="F49" i="3"/>
  <c r="D49" i="5" s="1"/>
  <c r="F48" i="3"/>
  <c r="D48" i="5" s="1"/>
  <c r="F47" i="3"/>
  <c r="D47" i="5" s="1"/>
  <c r="F46" i="3"/>
  <c r="D46" i="5" s="1"/>
  <c r="F45" i="3"/>
  <c r="D45" i="5" s="1"/>
  <c r="F44" i="3"/>
  <c r="D44" i="5" s="1"/>
  <c r="F43" i="3"/>
  <c r="D43" i="5" s="1"/>
  <c r="F42" i="3"/>
  <c r="D42" i="5" s="1"/>
  <c r="F41" i="3"/>
  <c r="D41" i="5" s="1"/>
  <c r="F40" i="3"/>
  <c r="D40" i="5" s="1"/>
  <c r="F39" i="3"/>
  <c r="D39" i="5" s="1"/>
  <c r="F38" i="3"/>
  <c r="D38" i="5" s="1"/>
  <c r="F37" i="3"/>
  <c r="D37" i="5" s="1"/>
  <c r="F36" i="3"/>
  <c r="D36" i="5" s="1"/>
  <c r="F35" i="3"/>
  <c r="D35" i="5" s="1"/>
  <c r="F34" i="3"/>
  <c r="D34" i="5" s="1"/>
  <c r="F33" i="3"/>
  <c r="D33" i="5" s="1"/>
  <c r="F32" i="3"/>
  <c r="D32" i="5" s="1"/>
  <c r="F31" i="3"/>
  <c r="D31" i="5" s="1"/>
  <c r="F30" i="3"/>
  <c r="D30" i="5" s="1"/>
  <c r="F29" i="3"/>
  <c r="D29" i="5" s="1"/>
  <c r="F28" i="3"/>
  <c r="D28" i="5" s="1"/>
  <c r="F27" i="3"/>
  <c r="D27" i="5" s="1"/>
  <c r="F26" i="3"/>
  <c r="D26" i="5" s="1"/>
  <c r="F25" i="3"/>
  <c r="D25" i="5" s="1"/>
  <c r="F24" i="3"/>
  <c r="D24" i="5" s="1"/>
  <c r="F23" i="3"/>
  <c r="D23" i="5" s="1"/>
  <c r="F22" i="3"/>
  <c r="D22" i="5" s="1"/>
  <c r="F21" i="3"/>
  <c r="D21" i="5" s="1"/>
  <c r="F20" i="3"/>
  <c r="D20" i="5" s="1"/>
  <c r="F19" i="3"/>
  <c r="D19" i="5" s="1"/>
  <c r="F18" i="3"/>
  <c r="D18" i="5" s="1"/>
  <c r="F17" i="3"/>
  <c r="D17" i="5" s="1"/>
  <c r="F16" i="3"/>
  <c r="D16" i="5" s="1"/>
  <c r="F15" i="3"/>
  <c r="D15" i="5" s="1"/>
  <c r="F14" i="3"/>
  <c r="D14" i="5" s="1"/>
  <c r="F13" i="3"/>
  <c r="D13" i="5" s="1"/>
  <c r="F12" i="3"/>
  <c r="D12" i="5" s="1"/>
  <c r="F11" i="3"/>
  <c r="D11" i="5" s="1"/>
  <c r="F10" i="3"/>
  <c r="D10" i="5" s="1"/>
  <c r="F9" i="3"/>
  <c r="D9" i="5" s="1"/>
  <c r="F8" i="3"/>
  <c r="D8" i="5" s="1"/>
  <c r="F7" i="3"/>
  <c r="D7" i="5" s="1"/>
  <c r="F6" i="3"/>
  <c r="D6" i="5" s="1"/>
  <c r="F5" i="3"/>
  <c r="D5" i="5" s="1"/>
  <c r="F4" i="3"/>
  <c r="D4" i="5" s="1"/>
  <c r="A1" i="3"/>
  <c r="C28" i="2"/>
  <c r="C27" i="2"/>
  <c r="C26" i="2"/>
  <c r="C25" i="2"/>
  <c r="C24" i="2"/>
  <c r="C23" i="2"/>
  <c r="C22" i="2"/>
  <c r="C21" i="2"/>
  <c r="B15" i="2"/>
  <c r="B158" i="4" s="1"/>
  <c r="E4" i="2"/>
  <c r="E5" i="2" s="1"/>
  <c r="D18" i="1"/>
  <c r="C6" i="1"/>
  <c r="A6" i="1"/>
  <c r="B10" i="4" l="1"/>
  <c r="B42" i="4"/>
  <c r="B126" i="4"/>
  <c r="C126" i="4" s="1"/>
  <c r="R126" i="4" s="1"/>
  <c r="E126" i="4" s="1"/>
  <c r="B14" i="4"/>
  <c r="C14" i="4" s="1"/>
  <c r="S14" i="4" s="1"/>
  <c r="K14" i="4" s="1"/>
  <c r="B46" i="4"/>
  <c r="B190" i="4"/>
  <c r="B18" i="4"/>
  <c r="C18" i="4" s="1"/>
  <c r="S18" i="4" s="1"/>
  <c r="K18" i="4" s="1"/>
  <c r="B34" i="4"/>
  <c r="B50" i="4"/>
  <c r="B105" i="4"/>
  <c r="B26" i="4"/>
  <c r="C26" i="4" s="1"/>
  <c r="S26" i="4" s="1"/>
  <c r="K26" i="4" s="1"/>
  <c r="B73" i="4"/>
  <c r="E6" i="1"/>
  <c r="B30" i="4"/>
  <c r="B89" i="4"/>
  <c r="C89" i="4" s="1"/>
  <c r="B6" i="4"/>
  <c r="C6" i="4" s="1"/>
  <c r="D6" i="4" s="1"/>
  <c r="B22" i="4"/>
  <c r="B38" i="4"/>
  <c r="B57" i="4"/>
  <c r="C57" i="4" s="1"/>
  <c r="R57" i="4" s="1"/>
  <c r="E57" i="4" s="1"/>
  <c r="B121" i="4"/>
  <c r="C158" i="4"/>
  <c r="S158" i="4" s="1"/>
  <c r="K158" i="4" s="1"/>
  <c r="C11" i="5"/>
  <c r="C23" i="5"/>
  <c r="C35" i="5"/>
  <c r="C47" i="5"/>
  <c r="C59" i="5"/>
  <c r="C190" i="4"/>
  <c r="R190" i="4" s="1"/>
  <c r="E190" i="4" s="1"/>
  <c r="C7" i="10"/>
  <c r="D32" i="9"/>
  <c r="M28" i="9"/>
  <c r="D28" i="9"/>
  <c r="M26" i="9"/>
  <c r="M25" i="9"/>
  <c r="F24" i="9"/>
  <c r="M23" i="9"/>
  <c r="M22" i="9"/>
  <c r="G21" i="9"/>
  <c r="P20" i="9"/>
  <c r="K20" i="9"/>
  <c r="J19" i="9"/>
  <c r="N18" i="9"/>
  <c r="M17" i="9"/>
  <c r="F16" i="9"/>
  <c r="M15" i="9"/>
  <c r="M14" i="9"/>
  <c r="G13" i="9"/>
  <c r="J12" i="9"/>
  <c r="E12" i="9"/>
  <c r="H10" i="9"/>
  <c r="G8" i="9"/>
  <c r="T4" i="9"/>
  <c r="B3" i="9"/>
  <c r="A20" i="7"/>
  <c r="B30" i="9"/>
  <c r="J28" i="9"/>
  <c r="B28" i="9"/>
  <c r="D27" i="9"/>
  <c r="B26" i="9"/>
  <c r="E24" i="9"/>
  <c r="D23" i="9"/>
  <c r="M21" i="9"/>
  <c r="H20" i="9"/>
  <c r="M19" i="9"/>
  <c r="M18" i="9"/>
  <c r="M16" i="9"/>
  <c r="G14" i="9"/>
  <c r="L12" i="9"/>
  <c r="F12" i="9"/>
  <c r="G11" i="9"/>
  <c r="B10" i="9"/>
  <c r="D8" i="9"/>
  <c r="N4" i="9"/>
  <c r="A17" i="7"/>
  <c r="A12" i="7"/>
  <c r="A8" i="7"/>
  <c r="G32" i="9"/>
  <c r="G31" i="9"/>
  <c r="G29" i="9"/>
  <c r="G28" i="9"/>
  <c r="M27" i="9"/>
  <c r="B27" i="9"/>
  <c r="G25" i="9"/>
  <c r="D24" i="9"/>
  <c r="S20" i="9"/>
  <c r="M20" i="9"/>
  <c r="G20" i="9"/>
  <c r="H19" i="9"/>
  <c r="H18" i="9"/>
  <c r="G16" i="9"/>
  <c r="G15" i="9"/>
  <c r="B14" i="9"/>
  <c r="K12" i="9"/>
  <c r="D12" i="9"/>
  <c r="D11" i="9"/>
  <c r="G9" i="9"/>
  <c r="D7" i="9"/>
  <c r="H4" i="9"/>
  <c r="A16" i="7"/>
  <c r="A11" i="7"/>
  <c r="A7" i="7"/>
  <c r="D31" i="9"/>
  <c r="F28" i="9"/>
  <c r="H26" i="9"/>
  <c r="R20" i="9"/>
  <c r="P19" i="9"/>
  <c r="G18" i="9"/>
  <c r="D15" i="9"/>
  <c r="B11" i="9"/>
  <c r="A10" i="7"/>
  <c r="G30" i="9"/>
  <c r="E28" i="9"/>
  <c r="G26" i="9"/>
  <c r="G23" i="9"/>
  <c r="Q20" i="9"/>
  <c r="G17" i="9"/>
  <c r="G12" i="9"/>
  <c r="G10" i="9"/>
  <c r="B6" i="9"/>
  <c r="A24" i="7"/>
  <c r="A14" i="7"/>
  <c r="A5" i="7"/>
  <c r="F32" i="9"/>
  <c r="L28" i="9"/>
  <c r="J27" i="9"/>
  <c r="M24" i="9"/>
  <c r="G22" i="9"/>
  <c r="L20" i="9"/>
  <c r="G19" i="9"/>
  <c r="E16" i="9"/>
  <c r="M13" i="9"/>
  <c r="B12" i="9"/>
  <c r="F8" i="9"/>
  <c r="B4" i="9"/>
  <c r="A15" i="7"/>
  <c r="A6" i="7"/>
  <c r="G24" i="9"/>
  <c r="D16" i="9"/>
  <c r="E32" i="9"/>
  <c r="B22" i="9"/>
  <c r="M12" i="9"/>
  <c r="A22" i="7"/>
  <c r="K28" i="9"/>
  <c r="J20" i="9"/>
  <c r="J11" i="9"/>
  <c r="A19" i="7"/>
  <c r="G27" i="9"/>
  <c r="A9" i="7"/>
  <c r="T18" i="9"/>
  <c r="E8" i="9"/>
  <c r="C4" i="5"/>
  <c r="C8" i="5"/>
  <c r="C12" i="5"/>
  <c r="C16" i="5"/>
  <c r="C20" i="5"/>
  <c r="C24" i="5"/>
  <c r="C28" i="5"/>
  <c r="C32" i="5"/>
  <c r="C36" i="5"/>
  <c r="C40" i="5"/>
  <c r="C44" i="5"/>
  <c r="C48" i="5"/>
  <c r="C52" i="5"/>
  <c r="C56" i="5"/>
  <c r="C60" i="5"/>
  <c r="C64" i="5"/>
  <c r="B5" i="4"/>
  <c r="B9" i="4"/>
  <c r="C10" i="4"/>
  <c r="S10" i="4" s="1"/>
  <c r="K10" i="4" s="1"/>
  <c r="B13" i="4"/>
  <c r="B17" i="4"/>
  <c r="B21" i="4"/>
  <c r="C22" i="4"/>
  <c r="S22" i="4" s="1"/>
  <c r="K22" i="4" s="1"/>
  <c r="B25" i="4"/>
  <c r="B29" i="4"/>
  <c r="C30" i="4"/>
  <c r="S30" i="4" s="1"/>
  <c r="K30" i="4" s="1"/>
  <c r="B33" i="4"/>
  <c r="B37" i="4"/>
  <c r="C38" i="4"/>
  <c r="D38" i="4" s="1"/>
  <c r="B41" i="4"/>
  <c r="C42" i="4"/>
  <c r="S42" i="4" s="1"/>
  <c r="K42" i="4" s="1"/>
  <c r="B45" i="4"/>
  <c r="C46" i="4"/>
  <c r="S46" i="4" s="1"/>
  <c r="K46" i="4" s="1"/>
  <c r="B49" i="4"/>
  <c r="C50" i="4"/>
  <c r="S50" i="4" s="1"/>
  <c r="K50" i="4" s="1"/>
  <c r="B53" i="4"/>
  <c r="B69" i="4"/>
  <c r="B85" i="4"/>
  <c r="B101" i="4"/>
  <c r="B117" i="4"/>
  <c r="B174" i="4"/>
  <c r="C15" i="5"/>
  <c r="C31" i="5"/>
  <c r="C39" i="5"/>
  <c r="C51" i="5"/>
  <c r="C63" i="5"/>
  <c r="C8" i="10"/>
  <c r="A3" i="7"/>
  <c r="B2" i="9"/>
  <c r="C5" i="5"/>
  <c r="C9" i="5"/>
  <c r="C13" i="5"/>
  <c r="C17" i="5"/>
  <c r="C21" i="5"/>
  <c r="C25" i="5"/>
  <c r="C29" i="5"/>
  <c r="C33" i="5"/>
  <c r="C37" i="5"/>
  <c r="C41" i="5"/>
  <c r="C45" i="5"/>
  <c r="C49" i="5"/>
  <c r="C53" i="5"/>
  <c r="C57" i="5"/>
  <c r="C61" i="5"/>
  <c r="C65" i="5"/>
  <c r="B4" i="4"/>
  <c r="B8" i="4"/>
  <c r="D10" i="4"/>
  <c r="B12" i="4"/>
  <c r="B16" i="4"/>
  <c r="B20" i="4"/>
  <c r="B24" i="4"/>
  <c r="B28" i="4"/>
  <c r="B32" i="4"/>
  <c r="B36" i="4"/>
  <c r="B40" i="4"/>
  <c r="B44" i="4"/>
  <c r="B48" i="4"/>
  <c r="B52" i="4"/>
  <c r="B65" i="4"/>
  <c r="B81" i="4"/>
  <c r="B97" i="4"/>
  <c r="B113" i="4"/>
  <c r="C7" i="5"/>
  <c r="C19" i="5"/>
  <c r="C27" i="5"/>
  <c r="C43" i="5"/>
  <c r="C55" i="5"/>
  <c r="C67" i="5"/>
  <c r="C105" i="4"/>
  <c r="R105" i="4" s="1"/>
  <c r="E105" i="4" s="1"/>
  <c r="C5" i="10"/>
  <c r="B226" i="4"/>
  <c r="B222" i="4"/>
  <c r="B218" i="4"/>
  <c r="B214" i="4"/>
  <c r="B210" i="4"/>
  <c r="B206" i="4"/>
  <c r="B202" i="4"/>
  <c r="B227" i="4"/>
  <c r="B223" i="4"/>
  <c r="B219" i="4"/>
  <c r="B215" i="4"/>
  <c r="B211" i="4"/>
  <c r="B207" i="4"/>
  <c r="B224" i="4"/>
  <c r="B220" i="4"/>
  <c r="B216" i="4"/>
  <c r="B212" i="4"/>
  <c r="B208" i="4"/>
  <c r="B204" i="4"/>
  <c r="B213" i="4"/>
  <c r="B199" i="4"/>
  <c r="B195" i="4"/>
  <c r="B191" i="4"/>
  <c r="B187" i="4"/>
  <c r="B183" i="4"/>
  <c r="B179" i="4"/>
  <c r="B175" i="4"/>
  <c r="B171" i="4"/>
  <c r="B167" i="4"/>
  <c r="B163" i="4"/>
  <c r="B159" i="4"/>
  <c r="B155" i="4"/>
  <c r="B151" i="4"/>
  <c r="B147" i="4"/>
  <c r="B143" i="4"/>
  <c r="B139" i="4"/>
  <c r="B135" i="4"/>
  <c r="B131" i="4"/>
  <c r="B127" i="4"/>
  <c r="B123" i="4"/>
  <c r="B217" i="4"/>
  <c r="B200" i="4"/>
  <c r="B196" i="4"/>
  <c r="B192" i="4"/>
  <c r="B188" i="4"/>
  <c r="B184" i="4"/>
  <c r="B180" i="4"/>
  <c r="B176" i="4"/>
  <c r="B172" i="4"/>
  <c r="B168" i="4"/>
  <c r="B164" i="4"/>
  <c r="B160" i="4"/>
  <c r="B156" i="4"/>
  <c r="B152" i="4"/>
  <c r="B148" i="4"/>
  <c r="B144" i="4"/>
  <c r="B140" i="4"/>
  <c r="B136" i="4"/>
  <c r="B132" i="4"/>
  <c r="B128" i="4"/>
  <c r="B124" i="4"/>
  <c r="B221" i="4"/>
  <c r="B205" i="4"/>
  <c r="B201" i="4"/>
  <c r="B197" i="4"/>
  <c r="B193" i="4"/>
  <c r="B189" i="4"/>
  <c r="B185" i="4"/>
  <c r="B181" i="4"/>
  <c r="B177" i="4"/>
  <c r="B173" i="4"/>
  <c r="B169" i="4"/>
  <c r="B165" i="4"/>
  <c r="B161" i="4"/>
  <c r="B157" i="4"/>
  <c r="B153" i="4"/>
  <c r="B149" i="4"/>
  <c r="B145" i="4"/>
  <c r="B141" i="4"/>
  <c r="B137" i="4"/>
  <c r="B133" i="4"/>
  <c r="B129" i="4"/>
  <c r="B125" i="4"/>
  <c r="B209" i="4"/>
  <c r="B194" i="4"/>
  <c r="B178" i="4"/>
  <c r="B162" i="4"/>
  <c r="B146" i="4"/>
  <c r="B130" i="4"/>
  <c r="B118" i="4"/>
  <c r="B114" i="4"/>
  <c r="B110" i="4"/>
  <c r="B106" i="4"/>
  <c r="B102" i="4"/>
  <c r="B98" i="4"/>
  <c r="B94" i="4"/>
  <c r="B90" i="4"/>
  <c r="B86" i="4"/>
  <c r="B82" i="4"/>
  <c r="B78" i="4"/>
  <c r="B74" i="4"/>
  <c r="B70" i="4"/>
  <c r="B66" i="4"/>
  <c r="B62" i="4"/>
  <c r="B58" i="4"/>
  <c r="B54" i="4"/>
  <c r="B225" i="4"/>
  <c r="B198" i="4"/>
  <c r="B182" i="4"/>
  <c r="B166" i="4"/>
  <c r="B150" i="4"/>
  <c r="B134" i="4"/>
  <c r="B122" i="4"/>
  <c r="B119" i="4"/>
  <c r="B115" i="4"/>
  <c r="B111" i="4"/>
  <c r="B107" i="4"/>
  <c r="B103" i="4"/>
  <c r="B99" i="4"/>
  <c r="B95" i="4"/>
  <c r="B91" i="4"/>
  <c r="B87" i="4"/>
  <c r="B83" i="4"/>
  <c r="B79" i="4"/>
  <c r="B75" i="4"/>
  <c r="B71" i="4"/>
  <c r="B67" i="4"/>
  <c r="B63" i="4"/>
  <c r="B59" i="4"/>
  <c r="B55" i="4"/>
  <c r="B186" i="4"/>
  <c r="B170" i="4"/>
  <c r="B154" i="4"/>
  <c r="B138" i="4"/>
  <c r="B120" i="4"/>
  <c r="B116" i="4"/>
  <c r="B112" i="4"/>
  <c r="B108" i="4"/>
  <c r="B104" i="4"/>
  <c r="B100" i="4"/>
  <c r="B96" i="4"/>
  <c r="B92" i="4"/>
  <c r="B88" i="4"/>
  <c r="B84" i="4"/>
  <c r="B80" i="4"/>
  <c r="B76" i="4"/>
  <c r="B72" i="4"/>
  <c r="B68" i="4"/>
  <c r="B64" i="4"/>
  <c r="B60" i="4"/>
  <c r="B56" i="4"/>
  <c r="C6" i="5"/>
  <c r="C10" i="5"/>
  <c r="C14" i="5"/>
  <c r="C18" i="5"/>
  <c r="C22" i="5"/>
  <c r="C26" i="5"/>
  <c r="C30" i="5"/>
  <c r="C34" i="5"/>
  <c r="C38" i="5"/>
  <c r="C42" i="5"/>
  <c r="C46" i="5"/>
  <c r="C50" i="5"/>
  <c r="C54" i="5"/>
  <c r="C58" i="5"/>
  <c r="C62" i="5"/>
  <c r="C66" i="5"/>
  <c r="B7" i="4"/>
  <c r="B11" i="4"/>
  <c r="B15" i="4"/>
  <c r="B19" i="4"/>
  <c r="B23" i="4"/>
  <c r="B27" i="4"/>
  <c r="B31" i="4"/>
  <c r="B35" i="4"/>
  <c r="B39" i="4"/>
  <c r="B43" i="4"/>
  <c r="B47" i="4"/>
  <c r="B51" i="4"/>
  <c r="B61" i="4"/>
  <c r="B77" i="4"/>
  <c r="B93" i="4"/>
  <c r="B109" i="4"/>
  <c r="B142" i="4"/>
  <c r="B203" i="4"/>
  <c r="D26" i="4" l="1"/>
  <c r="D18" i="4"/>
  <c r="S190" i="4"/>
  <c r="K190" i="4" s="1"/>
  <c r="Q190" i="4" s="1"/>
  <c r="R89" i="4"/>
  <c r="E89" i="4" s="1"/>
  <c r="S89" i="4"/>
  <c r="K89" i="4" s="1"/>
  <c r="R14" i="4"/>
  <c r="E14" i="4" s="1"/>
  <c r="C34" i="4"/>
  <c r="S34" i="4" s="1"/>
  <c r="K34" i="4" s="1"/>
  <c r="C73" i="4"/>
  <c r="S73" i="4" s="1"/>
  <c r="K73" i="4" s="1"/>
  <c r="R50" i="4"/>
  <c r="E50" i="4" s="1"/>
  <c r="Q50" i="4" s="1"/>
  <c r="R42" i="4"/>
  <c r="E42" i="4" s="1"/>
  <c r="Q42" i="4" s="1"/>
  <c r="R26" i="4"/>
  <c r="E26" i="4" s="1"/>
  <c r="Q26" i="4" s="1"/>
  <c r="R18" i="4"/>
  <c r="E18" i="4" s="1"/>
  <c r="Q18" i="4" s="1"/>
  <c r="D190" i="4"/>
  <c r="D158" i="4"/>
  <c r="C121" i="4"/>
  <c r="S121" i="4" s="1"/>
  <c r="K121" i="4" s="1"/>
  <c r="D50" i="4"/>
  <c r="D42" i="4"/>
  <c r="R10" i="4"/>
  <c r="E10" i="4" s="1"/>
  <c r="Q10" i="4" s="1"/>
  <c r="R158" i="4"/>
  <c r="E158" i="4" s="1"/>
  <c r="Q158" i="4" s="1"/>
  <c r="S105" i="4"/>
  <c r="K105" i="4" s="1"/>
  <c r="Q105" i="4" s="1"/>
  <c r="R46" i="4"/>
  <c r="S126" i="4"/>
  <c r="K126" i="4" s="1"/>
  <c r="Q126" i="4" s="1"/>
  <c r="S57" i="4"/>
  <c r="K57" i="4" s="1"/>
  <c r="Q57" i="4" s="1"/>
  <c r="O57" i="4" s="1"/>
  <c r="R30" i="4"/>
  <c r="E30" i="4" s="1"/>
  <c r="Q30" i="4" s="1"/>
  <c r="C93" i="4"/>
  <c r="S93" i="4" s="1"/>
  <c r="K93" i="4" s="1"/>
  <c r="C31" i="4"/>
  <c r="S31" i="4" s="1"/>
  <c r="K31" i="4" s="1"/>
  <c r="C92" i="4"/>
  <c r="S92" i="4" s="1"/>
  <c r="K92" i="4" s="1"/>
  <c r="C55" i="4"/>
  <c r="D55" i="4" s="1"/>
  <c r="C87" i="4"/>
  <c r="D87" i="4" s="1"/>
  <c r="R87" i="4"/>
  <c r="E87" i="4" s="1"/>
  <c r="C166" i="4"/>
  <c r="S166" i="4" s="1"/>
  <c r="K166" i="4" s="1"/>
  <c r="C86" i="4"/>
  <c r="S86" i="4" s="1"/>
  <c r="K86" i="4" s="1"/>
  <c r="C178" i="4"/>
  <c r="S178" i="4" s="1"/>
  <c r="K178" i="4" s="1"/>
  <c r="C145" i="4"/>
  <c r="S145" i="4" s="1"/>
  <c r="K145" i="4" s="1"/>
  <c r="C193" i="4"/>
  <c r="S193" i="4" s="1"/>
  <c r="K193" i="4" s="1"/>
  <c r="C152" i="4"/>
  <c r="S152" i="4" s="1"/>
  <c r="K152" i="4" s="1"/>
  <c r="C200" i="4"/>
  <c r="D200" i="4" s="1"/>
  <c r="C163" i="4"/>
  <c r="S163" i="4" s="1"/>
  <c r="K163" i="4" s="1"/>
  <c r="C208" i="4"/>
  <c r="S208" i="4" s="1"/>
  <c r="K208" i="4" s="1"/>
  <c r="C206" i="4"/>
  <c r="S206" i="4" s="1"/>
  <c r="K206" i="4" s="1"/>
  <c r="C113" i="4"/>
  <c r="S113" i="4" s="1"/>
  <c r="K113" i="4" s="1"/>
  <c r="Q14" i="4"/>
  <c r="C174" i="4"/>
  <c r="R174" i="4" s="1"/>
  <c r="E174" i="4" s="1"/>
  <c r="B19" i="7"/>
  <c r="B16" i="7"/>
  <c r="S6" i="4"/>
  <c r="K6" i="4" s="1"/>
  <c r="C11" i="4"/>
  <c r="S11" i="4" s="1"/>
  <c r="K11" i="4" s="1"/>
  <c r="C64" i="4"/>
  <c r="R64" i="4" s="1"/>
  <c r="E64" i="4" s="1"/>
  <c r="C80" i="4"/>
  <c r="R80" i="4" s="1"/>
  <c r="E80" i="4" s="1"/>
  <c r="C96" i="4"/>
  <c r="R96" i="4" s="1"/>
  <c r="E96" i="4" s="1"/>
  <c r="C112" i="4"/>
  <c r="R112" i="4" s="1"/>
  <c r="E112" i="4" s="1"/>
  <c r="C154" i="4"/>
  <c r="S154" i="4" s="1"/>
  <c r="K154" i="4" s="1"/>
  <c r="C59" i="4"/>
  <c r="S59" i="4" s="1"/>
  <c r="K59" i="4" s="1"/>
  <c r="C75" i="4"/>
  <c r="S75" i="4" s="1"/>
  <c r="K75" i="4" s="1"/>
  <c r="C91" i="4"/>
  <c r="S91" i="4" s="1"/>
  <c r="K91" i="4" s="1"/>
  <c r="C107" i="4"/>
  <c r="S107" i="4" s="1"/>
  <c r="K107" i="4" s="1"/>
  <c r="C122" i="4"/>
  <c r="R122" i="4" s="1"/>
  <c r="E122" i="4" s="1"/>
  <c r="C182" i="4"/>
  <c r="S182" i="4" s="1"/>
  <c r="K182" i="4" s="1"/>
  <c r="C58" i="4"/>
  <c r="S58" i="4" s="1"/>
  <c r="K58" i="4" s="1"/>
  <c r="C74" i="4"/>
  <c r="S74" i="4" s="1"/>
  <c r="K74" i="4" s="1"/>
  <c r="C90" i="4"/>
  <c r="S90" i="4" s="1"/>
  <c r="K90" i="4" s="1"/>
  <c r="C106" i="4"/>
  <c r="S106" i="4" s="1"/>
  <c r="K106" i="4" s="1"/>
  <c r="C130" i="4"/>
  <c r="S130" i="4" s="1"/>
  <c r="K130" i="4" s="1"/>
  <c r="C194" i="4"/>
  <c r="S194" i="4" s="1"/>
  <c r="K194" i="4" s="1"/>
  <c r="C133" i="4"/>
  <c r="R133" i="4" s="1"/>
  <c r="E133" i="4" s="1"/>
  <c r="C149" i="4"/>
  <c r="R149" i="4" s="1"/>
  <c r="E149" i="4" s="1"/>
  <c r="C165" i="4"/>
  <c r="R165" i="4" s="1"/>
  <c r="E165" i="4" s="1"/>
  <c r="C181" i="4"/>
  <c r="R181" i="4" s="1"/>
  <c r="E181" i="4" s="1"/>
  <c r="C197" i="4"/>
  <c r="R197" i="4" s="1"/>
  <c r="E197" i="4" s="1"/>
  <c r="C124" i="4"/>
  <c r="S124" i="4" s="1"/>
  <c r="K124" i="4" s="1"/>
  <c r="C140" i="4"/>
  <c r="S140" i="4" s="1"/>
  <c r="K140" i="4" s="1"/>
  <c r="C156" i="4"/>
  <c r="S156" i="4" s="1"/>
  <c r="K156" i="4" s="1"/>
  <c r="C172" i="4"/>
  <c r="S172" i="4" s="1"/>
  <c r="K172" i="4" s="1"/>
  <c r="C188" i="4"/>
  <c r="S188" i="4" s="1"/>
  <c r="K188" i="4" s="1"/>
  <c r="C217" i="4"/>
  <c r="S217" i="4" s="1"/>
  <c r="K217" i="4" s="1"/>
  <c r="C135" i="4"/>
  <c r="S135" i="4" s="1"/>
  <c r="K135" i="4" s="1"/>
  <c r="C151" i="4"/>
  <c r="S151" i="4" s="1"/>
  <c r="K151" i="4" s="1"/>
  <c r="C167" i="4"/>
  <c r="S167" i="4" s="1"/>
  <c r="K167" i="4" s="1"/>
  <c r="C183" i="4"/>
  <c r="S183" i="4" s="1"/>
  <c r="K183" i="4" s="1"/>
  <c r="C199" i="4"/>
  <c r="S199" i="4" s="1"/>
  <c r="K199" i="4" s="1"/>
  <c r="C212" i="4"/>
  <c r="R212" i="4" s="1"/>
  <c r="E212" i="4" s="1"/>
  <c r="C207" i="4"/>
  <c r="S207" i="4" s="1"/>
  <c r="K207" i="4" s="1"/>
  <c r="C223" i="4"/>
  <c r="S223" i="4" s="1"/>
  <c r="K223" i="4" s="1"/>
  <c r="C210" i="4"/>
  <c r="S210" i="4" s="1"/>
  <c r="K210" i="4" s="1"/>
  <c r="C226" i="4"/>
  <c r="S226" i="4" s="1"/>
  <c r="K226" i="4" s="1"/>
  <c r="C97" i="4"/>
  <c r="S97" i="4" s="1"/>
  <c r="K97" i="4" s="1"/>
  <c r="D46" i="4"/>
  <c r="C40" i="4"/>
  <c r="R40" i="4" s="1"/>
  <c r="D30" i="4"/>
  <c r="C24" i="4"/>
  <c r="D24" i="4" s="1"/>
  <c r="D14" i="4"/>
  <c r="C8" i="4"/>
  <c r="R8" i="4" s="1"/>
  <c r="E8" i="4" s="1"/>
  <c r="C117" i="4"/>
  <c r="S117" i="4" s="1"/>
  <c r="K117" i="4" s="1"/>
  <c r="C53" i="4"/>
  <c r="R53" i="4" s="1"/>
  <c r="E53" i="4" s="1"/>
  <c r="C45" i="4"/>
  <c r="R45" i="4" s="1"/>
  <c r="E45" i="4" s="1"/>
  <c r="C37" i="4"/>
  <c r="R37" i="4" s="1"/>
  <c r="E37" i="4" s="1"/>
  <c r="C29" i="4"/>
  <c r="R29" i="4" s="1"/>
  <c r="E29" i="4" s="1"/>
  <c r="C21" i="4"/>
  <c r="R21" i="4" s="1"/>
  <c r="E21" i="4" s="1"/>
  <c r="C13" i="4"/>
  <c r="R13" i="4" s="1"/>
  <c r="E13" i="4" s="1"/>
  <c r="C5" i="4"/>
  <c r="R5" i="4" s="1"/>
  <c r="E5" i="4" s="1"/>
  <c r="B14" i="7"/>
  <c r="B12" i="7"/>
  <c r="B20" i="7"/>
  <c r="C15" i="4"/>
  <c r="R15" i="4" s="1"/>
  <c r="E15" i="4" s="1"/>
  <c r="C76" i="4"/>
  <c r="R76" i="4" s="1"/>
  <c r="E76" i="4" s="1"/>
  <c r="C138" i="4"/>
  <c r="S138" i="4" s="1"/>
  <c r="K138" i="4" s="1"/>
  <c r="C103" i="4"/>
  <c r="S103" i="4" s="1"/>
  <c r="K103" i="4" s="1"/>
  <c r="C54" i="4"/>
  <c r="S54" i="4" s="1"/>
  <c r="K54" i="4" s="1"/>
  <c r="C102" i="4"/>
  <c r="S102" i="4" s="1"/>
  <c r="K102" i="4" s="1"/>
  <c r="C129" i="4"/>
  <c r="R129" i="4" s="1"/>
  <c r="E129" i="4" s="1"/>
  <c r="C177" i="4"/>
  <c r="R177" i="4" s="1"/>
  <c r="E177" i="4" s="1"/>
  <c r="C136" i="4"/>
  <c r="S136" i="4" s="1"/>
  <c r="K136" i="4" s="1"/>
  <c r="C184" i="4"/>
  <c r="S184" i="4" s="1"/>
  <c r="K184" i="4" s="1"/>
  <c r="C147" i="4"/>
  <c r="S147" i="4" s="1"/>
  <c r="K147" i="4" s="1"/>
  <c r="C195" i="4"/>
  <c r="S195" i="4" s="1"/>
  <c r="K195" i="4" s="1"/>
  <c r="C219" i="4"/>
  <c r="S219" i="4" s="1"/>
  <c r="K219" i="4" s="1"/>
  <c r="C20" i="4"/>
  <c r="D20" i="4" s="1"/>
  <c r="C4" i="4"/>
  <c r="R4" i="4" s="1"/>
  <c r="C69" i="4"/>
  <c r="S69" i="4" s="1"/>
  <c r="K69" i="4" s="1"/>
  <c r="C27" i="4"/>
  <c r="S27" i="4" s="1"/>
  <c r="K27" i="4" s="1"/>
  <c r="C142" i="4"/>
  <c r="S142" i="4" s="1"/>
  <c r="K142" i="4" s="1"/>
  <c r="C61" i="4"/>
  <c r="S61" i="4" s="1"/>
  <c r="K61" i="4" s="1"/>
  <c r="C39" i="4"/>
  <c r="S39" i="4" s="1"/>
  <c r="K39" i="4" s="1"/>
  <c r="C23" i="4"/>
  <c r="S23" i="4" s="1"/>
  <c r="K23" i="4" s="1"/>
  <c r="C7" i="4"/>
  <c r="D7" i="4" s="1"/>
  <c r="C68" i="4"/>
  <c r="R68" i="4" s="1"/>
  <c r="E68" i="4" s="1"/>
  <c r="C84" i="4"/>
  <c r="R84" i="4" s="1"/>
  <c r="E84" i="4" s="1"/>
  <c r="C100" i="4"/>
  <c r="R100" i="4" s="1"/>
  <c r="E100" i="4" s="1"/>
  <c r="C116" i="4"/>
  <c r="R116" i="4" s="1"/>
  <c r="E116" i="4" s="1"/>
  <c r="C170" i="4"/>
  <c r="S170" i="4" s="1"/>
  <c r="K170" i="4" s="1"/>
  <c r="C63" i="4"/>
  <c r="S63" i="4" s="1"/>
  <c r="K63" i="4" s="1"/>
  <c r="C79" i="4"/>
  <c r="S79" i="4" s="1"/>
  <c r="K79" i="4" s="1"/>
  <c r="C95" i="4"/>
  <c r="S95" i="4" s="1"/>
  <c r="K95" i="4" s="1"/>
  <c r="C111" i="4"/>
  <c r="S111" i="4" s="1"/>
  <c r="K111" i="4" s="1"/>
  <c r="C134" i="4"/>
  <c r="S134" i="4" s="1"/>
  <c r="K134" i="4" s="1"/>
  <c r="C198" i="4"/>
  <c r="S198" i="4" s="1"/>
  <c r="K198" i="4" s="1"/>
  <c r="C62" i="4"/>
  <c r="S62" i="4" s="1"/>
  <c r="K62" i="4" s="1"/>
  <c r="C78" i="4"/>
  <c r="S78" i="4" s="1"/>
  <c r="K78" i="4" s="1"/>
  <c r="C94" i="4"/>
  <c r="S94" i="4" s="1"/>
  <c r="K94" i="4" s="1"/>
  <c r="C110" i="4"/>
  <c r="S110" i="4" s="1"/>
  <c r="K110" i="4" s="1"/>
  <c r="C146" i="4"/>
  <c r="S146" i="4" s="1"/>
  <c r="K146" i="4" s="1"/>
  <c r="C209" i="4"/>
  <c r="S209" i="4" s="1"/>
  <c r="K209" i="4" s="1"/>
  <c r="C137" i="4"/>
  <c r="R137" i="4" s="1"/>
  <c r="E137" i="4" s="1"/>
  <c r="C153" i="4"/>
  <c r="R153" i="4" s="1"/>
  <c r="E153" i="4" s="1"/>
  <c r="C169" i="4"/>
  <c r="R169" i="4" s="1"/>
  <c r="E169" i="4" s="1"/>
  <c r="C185" i="4"/>
  <c r="R185" i="4" s="1"/>
  <c r="E185" i="4" s="1"/>
  <c r="C201" i="4"/>
  <c r="S201" i="4" s="1"/>
  <c r="K201" i="4" s="1"/>
  <c r="C128" i="4"/>
  <c r="S128" i="4" s="1"/>
  <c r="K128" i="4" s="1"/>
  <c r="C144" i="4"/>
  <c r="S144" i="4" s="1"/>
  <c r="K144" i="4" s="1"/>
  <c r="C160" i="4"/>
  <c r="S160" i="4" s="1"/>
  <c r="K160" i="4" s="1"/>
  <c r="C176" i="4"/>
  <c r="S176" i="4" s="1"/>
  <c r="K176" i="4" s="1"/>
  <c r="C192" i="4"/>
  <c r="S192" i="4" s="1"/>
  <c r="K192" i="4" s="1"/>
  <c r="C123" i="4"/>
  <c r="S123" i="4" s="1"/>
  <c r="K123" i="4" s="1"/>
  <c r="C139" i="4"/>
  <c r="S139" i="4" s="1"/>
  <c r="K139" i="4" s="1"/>
  <c r="C155" i="4"/>
  <c r="S155" i="4" s="1"/>
  <c r="K155" i="4" s="1"/>
  <c r="C171" i="4"/>
  <c r="S171" i="4" s="1"/>
  <c r="K171" i="4" s="1"/>
  <c r="C187" i="4"/>
  <c r="S187" i="4" s="1"/>
  <c r="K187" i="4" s="1"/>
  <c r="C213" i="4"/>
  <c r="S213" i="4" s="1"/>
  <c r="K213" i="4" s="1"/>
  <c r="C216" i="4"/>
  <c r="R216" i="4" s="1"/>
  <c r="E216" i="4" s="1"/>
  <c r="C211" i="4"/>
  <c r="S211" i="4" s="1"/>
  <c r="K211" i="4" s="1"/>
  <c r="C227" i="4"/>
  <c r="S227" i="4" s="1"/>
  <c r="K227" i="4" s="1"/>
  <c r="C214" i="4"/>
  <c r="S214" i="4" s="1"/>
  <c r="K214" i="4" s="1"/>
  <c r="D105" i="4"/>
  <c r="C81" i="4"/>
  <c r="S81" i="4" s="1"/>
  <c r="K81" i="4" s="1"/>
  <c r="C44" i="4"/>
  <c r="R44" i="4" s="1"/>
  <c r="E44" i="4" s="1"/>
  <c r="R38" i="4"/>
  <c r="E38" i="4" s="1"/>
  <c r="C28" i="4"/>
  <c r="R28" i="4" s="1"/>
  <c r="R22" i="4"/>
  <c r="E22" i="4" s="1"/>
  <c r="Q22" i="4" s="1"/>
  <c r="C12" i="4"/>
  <c r="S12" i="4" s="1"/>
  <c r="K12" i="4" s="1"/>
  <c r="R6" i="4"/>
  <c r="E6" i="4" s="1"/>
  <c r="D126" i="4"/>
  <c r="D89" i="4"/>
  <c r="D57" i="4"/>
  <c r="C101" i="4"/>
  <c r="S101" i="4" s="1"/>
  <c r="K101" i="4" s="1"/>
  <c r="B9" i="7"/>
  <c r="B6" i="7"/>
  <c r="C24" i="7"/>
  <c r="G24" i="7"/>
  <c r="E24" i="7"/>
  <c r="B24" i="7"/>
  <c r="B10" i="7"/>
  <c r="B7" i="7"/>
  <c r="B17" i="7"/>
  <c r="S38" i="4"/>
  <c r="K38" i="4" s="1"/>
  <c r="C47" i="4"/>
  <c r="R47" i="4" s="1"/>
  <c r="E47" i="4" s="1"/>
  <c r="C60" i="4"/>
  <c r="R60" i="4" s="1"/>
  <c r="E60" i="4" s="1"/>
  <c r="C108" i="4"/>
  <c r="R108" i="4" s="1"/>
  <c r="E108" i="4" s="1"/>
  <c r="C71" i="4"/>
  <c r="S71" i="4" s="1"/>
  <c r="K71" i="4" s="1"/>
  <c r="C119" i="4"/>
  <c r="S119" i="4" s="1"/>
  <c r="K119" i="4" s="1"/>
  <c r="C70" i="4"/>
  <c r="R70" i="4" s="1"/>
  <c r="E70" i="4" s="1"/>
  <c r="C118" i="4"/>
  <c r="R118" i="4" s="1"/>
  <c r="E118" i="4" s="1"/>
  <c r="C161" i="4"/>
  <c r="S161" i="4" s="1"/>
  <c r="K161" i="4" s="1"/>
  <c r="C221" i="4"/>
  <c r="R221" i="4" s="1"/>
  <c r="E221" i="4" s="1"/>
  <c r="C168" i="4"/>
  <c r="S168" i="4" s="1"/>
  <c r="K168" i="4" s="1"/>
  <c r="C131" i="4"/>
  <c r="R131" i="4" s="1"/>
  <c r="E131" i="4" s="1"/>
  <c r="C179" i="4"/>
  <c r="R179" i="4" s="1"/>
  <c r="E179" i="4" s="1"/>
  <c r="C224" i="4"/>
  <c r="D224" i="4" s="1"/>
  <c r="C222" i="4"/>
  <c r="R222" i="4" s="1"/>
  <c r="E222" i="4" s="1"/>
  <c r="C52" i="4"/>
  <c r="S52" i="4" s="1"/>
  <c r="K52" i="4" s="1"/>
  <c r="C36" i="4"/>
  <c r="R36" i="4" s="1"/>
  <c r="E36" i="4" s="1"/>
  <c r="B22" i="7"/>
  <c r="I37" i="10" a="1"/>
  <c r="I37" i="10" s="1"/>
  <c r="B5" i="7"/>
  <c r="B8" i="7"/>
  <c r="C203" i="4"/>
  <c r="S203" i="4" s="1"/>
  <c r="K203" i="4" s="1"/>
  <c r="C77" i="4"/>
  <c r="S77" i="4" s="1"/>
  <c r="K77" i="4" s="1"/>
  <c r="C43" i="4"/>
  <c r="S43" i="4" s="1"/>
  <c r="K43" i="4" s="1"/>
  <c r="C109" i="4"/>
  <c r="S109" i="4" s="1"/>
  <c r="K109" i="4" s="1"/>
  <c r="C51" i="4"/>
  <c r="S51" i="4" s="1"/>
  <c r="K51" i="4" s="1"/>
  <c r="C35" i="4"/>
  <c r="S35" i="4" s="1"/>
  <c r="K35" i="4" s="1"/>
  <c r="C19" i="4"/>
  <c r="S19" i="4" s="1"/>
  <c r="K19" i="4" s="1"/>
  <c r="C56" i="4"/>
  <c r="R56" i="4" s="1"/>
  <c r="E56" i="4" s="1"/>
  <c r="C72" i="4"/>
  <c r="R72" i="4" s="1"/>
  <c r="E72" i="4" s="1"/>
  <c r="C88" i="4"/>
  <c r="R88" i="4" s="1"/>
  <c r="E88" i="4" s="1"/>
  <c r="C104" i="4"/>
  <c r="R104" i="4" s="1"/>
  <c r="E104" i="4" s="1"/>
  <c r="C120" i="4"/>
  <c r="R120" i="4" s="1"/>
  <c r="E120" i="4" s="1"/>
  <c r="C186" i="4"/>
  <c r="S186" i="4" s="1"/>
  <c r="K186" i="4" s="1"/>
  <c r="C67" i="4"/>
  <c r="S67" i="4" s="1"/>
  <c r="K67" i="4" s="1"/>
  <c r="C83" i="4"/>
  <c r="S83" i="4" s="1"/>
  <c r="K83" i="4" s="1"/>
  <c r="C99" i="4"/>
  <c r="S99" i="4" s="1"/>
  <c r="K99" i="4" s="1"/>
  <c r="C115" i="4"/>
  <c r="S115" i="4" s="1"/>
  <c r="K115" i="4" s="1"/>
  <c r="C150" i="4"/>
  <c r="S150" i="4" s="1"/>
  <c r="K150" i="4" s="1"/>
  <c r="C225" i="4"/>
  <c r="S225" i="4" s="1"/>
  <c r="K225" i="4" s="1"/>
  <c r="C66" i="4"/>
  <c r="S66" i="4" s="1"/>
  <c r="K66" i="4" s="1"/>
  <c r="C82" i="4"/>
  <c r="S82" i="4" s="1"/>
  <c r="K82" i="4" s="1"/>
  <c r="C98" i="4"/>
  <c r="S98" i="4" s="1"/>
  <c r="K98" i="4" s="1"/>
  <c r="C114" i="4"/>
  <c r="S114" i="4" s="1"/>
  <c r="K114" i="4" s="1"/>
  <c r="C162" i="4"/>
  <c r="S162" i="4" s="1"/>
  <c r="K162" i="4" s="1"/>
  <c r="C125" i="4"/>
  <c r="R125" i="4" s="1"/>
  <c r="E125" i="4" s="1"/>
  <c r="C141" i="4"/>
  <c r="R141" i="4" s="1"/>
  <c r="E141" i="4" s="1"/>
  <c r="C157" i="4"/>
  <c r="R157" i="4" s="1"/>
  <c r="E157" i="4" s="1"/>
  <c r="C173" i="4"/>
  <c r="R173" i="4" s="1"/>
  <c r="E173" i="4" s="1"/>
  <c r="C189" i="4"/>
  <c r="R189" i="4" s="1"/>
  <c r="E189" i="4" s="1"/>
  <c r="C205" i="4"/>
  <c r="S205" i="4" s="1"/>
  <c r="K205" i="4" s="1"/>
  <c r="C132" i="4"/>
  <c r="S132" i="4" s="1"/>
  <c r="K132" i="4" s="1"/>
  <c r="C148" i="4"/>
  <c r="S148" i="4" s="1"/>
  <c r="K148" i="4" s="1"/>
  <c r="C164" i="4"/>
  <c r="S164" i="4" s="1"/>
  <c r="K164" i="4" s="1"/>
  <c r="C180" i="4"/>
  <c r="S180" i="4" s="1"/>
  <c r="K180" i="4" s="1"/>
  <c r="C196" i="4"/>
  <c r="S196" i="4" s="1"/>
  <c r="K196" i="4" s="1"/>
  <c r="R196" i="4"/>
  <c r="E196" i="4" s="1"/>
  <c r="C127" i="4"/>
  <c r="S127" i="4" s="1"/>
  <c r="K127" i="4" s="1"/>
  <c r="C143" i="4"/>
  <c r="S143" i="4" s="1"/>
  <c r="K143" i="4" s="1"/>
  <c r="C159" i="4"/>
  <c r="S159" i="4" s="1"/>
  <c r="K159" i="4" s="1"/>
  <c r="C175" i="4"/>
  <c r="S175" i="4" s="1"/>
  <c r="K175" i="4" s="1"/>
  <c r="C191" i="4"/>
  <c r="S191" i="4" s="1"/>
  <c r="K191" i="4" s="1"/>
  <c r="C204" i="4"/>
  <c r="R204" i="4" s="1"/>
  <c r="E204" i="4" s="1"/>
  <c r="C220" i="4"/>
  <c r="R220" i="4" s="1"/>
  <c r="E220" i="4" s="1"/>
  <c r="S220" i="4"/>
  <c r="K220" i="4" s="1"/>
  <c r="C215" i="4"/>
  <c r="S215" i="4" s="1"/>
  <c r="K215" i="4" s="1"/>
  <c r="C202" i="4"/>
  <c r="R202" i="4" s="1"/>
  <c r="E202" i="4" s="1"/>
  <c r="C218" i="4"/>
  <c r="S218" i="4" s="1"/>
  <c r="K218" i="4" s="1"/>
  <c r="C65" i="4"/>
  <c r="S65" i="4" s="1"/>
  <c r="K65" i="4" s="1"/>
  <c r="C48" i="4"/>
  <c r="S48" i="4" s="1"/>
  <c r="K48" i="4" s="1"/>
  <c r="C32" i="4"/>
  <c r="D32" i="4" s="1"/>
  <c r="D22" i="4"/>
  <c r="C16" i="4"/>
  <c r="D16" i="4" s="1"/>
  <c r="C85" i="4"/>
  <c r="S85" i="4" s="1"/>
  <c r="K85" i="4" s="1"/>
  <c r="C49" i="4"/>
  <c r="R49" i="4" s="1"/>
  <c r="E49" i="4" s="1"/>
  <c r="C41" i="4"/>
  <c r="R41" i="4" s="1"/>
  <c r="E41" i="4" s="1"/>
  <c r="C33" i="4"/>
  <c r="R33" i="4" s="1"/>
  <c r="E33" i="4" s="1"/>
  <c r="C25" i="4"/>
  <c r="R25" i="4" s="1"/>
  <c r="C17" i="4"/>
  <c r="R17" i="4" s="1"/>
  <c r="C9" i="4"/>
  <c r="R9" i="4" s="1"/>
  <c r="E9" i="4" s="1"/>
  <c r="B15" i="7"/>
  <c r="B11" i="7"/>
  <c r="D146" i="4" l="1"/>
  <c r="R34" i="4"/>
  <c r="D136" i="4"/>
  <c r="Q89" i="4"/>
  <c r="U89" i="4" s="1"/>
  <c r="D39" i="4"/>
  <c r="S165" i="4"/>
  <c r="K165" i="4" s="1"/>
  <c r="Q165" i="4" s="1"/>
  <c r="R107" i="4"/>
  <c r="E107" i="4" s="1"/>
  <c r="Q107" i="4" s="1"/>
  <c r="D73" i="4"/>
  <c r="S17" i="4"/>
  <c r="K17" i="4" s="1"/>
  <c r="D48" i="4"/>
  <c r="P89" i="4"/>
  <c r="D161" i="4"/>
  <c r="D62" i="4"/>
  <c r="E40" i="4"/>
  <c r="D97" i="4"/>
  <c r="D215" i="4"/>
  <c r="R161" i="4"/>
  <c r="E161" i="4" s="1"/>
  <c r="Q161" i="4" s="1"/>
  <c r="D187" i="4"/>
  <c r="S9" i="4"/>
  <c r="K9" i="4" s="1"/>
  <c r="R203" i="4"/>
  <c r="E203" i="4" s="1"/>
  <c r="R224" i="4"/>
  <c r="E224" i="4" s="1"/>
  <c r="E28" i="4"/>
  <c r="D128" i="4"/>
  <c r="D156" i="4"/>
  <c r="E46" i="4"/>
  <c r="Q46" i="4" s="1"/>
  <c r="T46" i="4" s="1"/>
  <c r="E34" i="4"/>
  <c r="Q34" i="4" s="1"/>
  <c r="V34" i="4" s="1"/>
  <c r="O190" i="4"/>
  <c r="T190" i="4"/>
  <c r="V190" i="4"/>
  <c r="P190" i="4"/>
  <c r="J190" i="4"/>
  <c r="U190" i="4"/>
  <c r="I190" i="4"/>
  <c r="R48" i="4"/>
  <c r="D132" i="4"/>
  <c r="D99" i="4"/>
  <c r="S104" i="4"/>
  <c r="K104" i="4" s="1"/>
  <c r="S72" i="4"/>
  <c r="K72" i="4" s="1"/>
  <c r="Q72" i="4" s="1"/>
  <c r="R43" i="4"/>
  <c r="E43" i="4" s="1"/>
  <c r="Q43" i="4" s="1"/>
  <c r="D123" i="4"/>
  <c r="S4" i="4"/>
  <c r="K4" i="4" s="1"/>
  <c r="R184" i="4"/>
  <c r="E184" i="4" s="1"/>
  <c r="Q184" i="4" s="1"/>
  <c r="R156" i="4"/>
  <c r="E156" i="4" s="1"/>
  <c r="Q156" i="4" s="1"/>
  <c r="D113" i="4"/>
  <c r="D31" i="4"/>
  <c r="D119" i="4"/>
  <c r="Q6" i="4"/>
  <c r="O6" i="4" s="1"/>
  <c r="P6" i="4" s="1"/>
  <c r="D192" i="4"/>
  <c r="D201" i="4"/>
  <c r="R63" i="4"/>
  <c r="E63" i="4" s="1"/>
  <c r="Q63" i="4" s="1"/>
  <c r="D184" i="4"/>
  <c r="D103" i="4"/>
  <c r="S5" i="4"/>
  <c r="K5" i="4" s="1"/>
  <c r="Q5" i="4" s="1"/>
  <c r="R24" i="4"/>
  <c r="E24" i="4" s="1"/>
  <c r="S112" i="4"/>
  <c r="K112" i="4" s="1"/>
  <c r="Q112" i="4" s="1"/>
  <c r="R55" i="4"/>
  <c r="E55" i="4" s="1"/>
  <c r="S49" i="4"/>
  <c r="K49" i="4" s="1"/>
  <c r="Q49" i="4" s="1"/>
  <c r="D83" i="4"/>
  <c r="S120" i="4"/>
  <c r="K120" i="4" s="1"/>
  <c r="Q120" i="4" s="1"/>
  <c r="V120" i="4" s="1"/>
  <c r="S88" i="4"/>
  <c r="K88" i="4" s="1"/>
  <c r="Q88" i="4" s="1"/>
  <c r="S56" i="4"/>
  <c r="K56" i="4" s="1"/>
  <c r="Q56" i="4" s="1"/>
  <c r="R192" i="4"/>
  <c r="E192" i="4" s="1"/>
  <c r="Q192" i="4" s="1"/>
  <c r="R201" i="4"/>
  <c r="E201" i="4" s="1"/>
  <c r="R103" i="4"/>
  <c r="E103" i="4" s="1"/>
  <c r="Q103" i="4" s="1"/>
  <c r="R140" i="4"/>
  <c r="E140" i="4" s="1"/>
  <c r="Q140" i="4" s="1"/>
  <c r="V158" i="4"/>
  <c r="P158" i="4"/>
  <c r="O158" i="4"/>
  <c r="U158" i="4"/>
  <c r="I158" i="4"/>
  <c r="J158" i="4"/>
  <c r="T158" i="4"/>
  <c r="R73" i="4"/>
  <c r="E73" i="4" s="1"/>
  <c r="Q73" i="4" s="1"/>
  <c r="R215" i="4"/>
  <c r="E215" i="4" s="1"/>
  <c r="D196" i="4"/>
  <c r="R132" i="4"/>
  <c r="E132" i="4" s="1"/>
  <c r="S189" i="4"/>
  <c r="K189" i="4" s="1"/>
  <c r="Q189" i="4" s="1"/>
  <c r="S157" i="4"/>
  <c r="K157" i="4" s="1"/>
  <c r="Q157" i="4" s="1"/>
  <c r="S125" i="4"/>
  <c r="K125" i="4" s="1"/>
  <c r="Q125" i="4" s="1"/>
  <c r="R99" i="4"/>
  <c r="E99" i="4" s="1"/>
  <c r="Q99" i="4" s="1"/>
  <c r="R35" i="4"/>
  <c r="D43" i="4"/>
  <c r="D203" i="4"/>
  <c r="S36" i="4"/>
  <c r="K36" i="4" s="1"/>
  <c r="Q36" i="4" s="1"/>
  <c r="P36" i="4" s="1"/>
  <c r="S224" i="4"/>
  <c r="K224" i="4" s="1"/>
  <c r="S108" i="4"/>
  <c r="K108" i="4" s="1"/>
  <c r="D47" i="4"/>
  <c r="R160" i="4"/>
  <c r="E160" i="4" s="1"/>
  <c r="Q160" i="4" s="1"/>
  <c r="R128" i="4"/>
  <c r="E128" i="4" s="1"/>
  <c r="Q128" i="4" s="1"/>
  <c r="D134" i="4"/>
  <c r="D95" i="4"/>
  <c r="D23" i="4"/>
  <c r="R39" i="4"/>
  <c r="E39" i="4" s="1"/>
  <c r="Q39" i="4" s="1"/>
  <c r="D27" i="4"/>
  <c r="D69" i="4"/>
  <c r="S129" i="4"/>
  <c r="K129" i="4" s="1"/>
  <c r="Q129" i="4" s="1"/>
  <c r="S76" i="4"/>
  <c r="K76" i="4" s="1"/>
  <c r="Q76" i="4" s="1"/>
  <c r="J76" i="4" s="1"/>
  <c r="R207" i="4"/>
  <c r="E207" i="4" s="1"/>
  <c r="S133" i="4"/>
  <c r="K133" i="4" s="1"/>
  <c r="Q133" i="4" s="1"/>
  <c r="R152" i="4"/>
  <c r="E152" i="4" s="1"/>
  <c r="Q152" i="4" s="1"/>
  <c r="U152" i="4" s="1"/>
  <c r="D86" i="4"/>
  <c r="S87" i="4"/>
  <c r="K87" i="4" s="1"/>
  <c r="Q87" i="4" s="1"/>
  <c r="S55" i="4"/>
  <c r="K55" i="4" s="1"/>
  <c r="Q55" i="4" s="1"/>
  <c r="O89" i="4"/>
  <c r="D121" i="4"/>
  <c r="R121" i="4"/>
  <c r="E121" i="4" s="1"/>
  <c r="Q121" i="4" s="1"/>
  <c r="R16" i="4"/>
  <c r="E16" i="4" s="1"/>
  <c r="R148" i="4"/>
  <c r="E148" i="4" s="1"/>
  <c r="Q148" i="4" s="1"/>
  <c r="R115" i="4"/>
  <c r="E115" i="4" s="1"/>
  <c r="Q115" i="4" s="1"/>
  <c r="D19" i="4"/>
  <c r="D176" i="4"/>
  <c r="R111" i="4"/>
  <c r="E111" i="4" s="1"/>
  <c r="Q111" i="4" s="1"/>
  <c r="R23" i="4"/>
  <c r="E23" i="4" s="1"/>
  <c r="Q23" i="4" s="1"/>
  <c r="D223" i="4"/>
  <c r="D91" i="4"/>
  <c r="D152" i="4"/>
  <c r="S33" i="4"/>
  <c r="K33" i="4" s="1"/>
  <c r="Q33" i="4" s="1"/>
  <c r="S16" i="4"/>
  <c r="K16" i="4" s="1"/>
  <c r="R32" i="4"/>
  <c r="D180" i="4"/>
  <c r="D148" i="4"/>
  <c r="S173" i="4"/>
  <c r="K173" i="4" s="1"/>
  <c r="Q173" i="4" s="1"/>
  <c r="S141" i="4"/>
  <c r="K141" i="4" s="1"/>
  <c r="Q141" i="4" s="1"/>
  <c r="D115" i="4"/>
  <c r="R19" i="4"/>
  <c r="E19" i="4" s="1"/>
  <c r="Q19" i="4" s="1"/>
  <c r="S60" i="4"/>
  <c r="K60" i="4" s="1"/>
  <c r="Q60" i="4" s="1"/>
  <c r="D211" i="4"/>
  <c r="D155" i="4"/>
  <c r="R176" i="4"/>
  <c r="E176" i="4" s="1"/>
  <c r="D94" i="4"/>
  <c r="D111" i="4"/>
  <c r="D219" i="4"/>
  <c r="R97" i="4"/>
  <c r="E97" i="4" s="1"/>
  <c r="Q97" i="4" s="1"/>
  <c r="R223" i="4"/>
  <c r="E223" i="4" s="1"/>
  <c r="Q223" i="4" s="1"/>
  <c r="D172" i="4"/>
  <c r="S197" i="4"/>
  <c r="K197" i="4" s="1"/>
  <c r="Q197" i="4" s="1"/>
  <c r="J197" i="4" s="1"/>
  <c r="D107" i="4"/>
  <c r="R91" i="4"/>
  <c r="E91" i="4" s="1"/>
  <c r="Q91" i="4" s="1"/>
  <c r="S80" i="4"/>
  <c r="K80" i="4" s="1"/>
  <c r="Q80" i="4" s="1"/>
  <c r="I89" i="4"/>
  <c r="D34" i="4"/>
  <c r="J126" i="4"/>
  <c r="O126" i="4"/>
  <c r="T126" i="4"/>
  <c r="V126" i="4"/>
  <c r="P126" i="4"/>
  <c r="U126" i="4"/>
  <c r="I126" i="4"/>
  <c r="U105" i="4"/>
  <c r="I105" i="4"/>
  <c r="J105" i="4"/>
  <c r="O105" i="4"/>
  <c r="T105" i="4"/>
  <c r="V105" i="4"/>
  <c r="P105" i="4"/>
  <c r="J57" i="4"/>
  <c r="Q9" i="4"/>
  <c r="V9" i="4" s="1"/>
  <c r="Q220" i="4"/>
  <c r="T220" i="4" s="1"/>
  <c r="Q104" i="4"/>
  <c r="U104" i="4" s="1"/>
  <c r="S28" i="4"/>
  <c r="K28" i="4" s="1"/>
  <c r="D214" i="4"/>
  <c r="Q201" i="4"/>
  <c r="J201" i="4" s="1"/>
  <c r="D209" i="4"/>
  <c r="D110" i="4"/>
  <c r="D78" i="4"/>
  <c r="D198" i="4"/>
  <c r="D170" i="4"/>
  <c r="D142" i="4"/>
  <c r="S15" i="4"/>
  <c r="K15" i="4" s="1"/>
  <c r="Q15" i="4" s="1"/>
  <c r="D59" i="4"/>
  <c r="S174" i="4"/>
  <c r="K174" i="4" s="1"/>
  <c r="Q174" i="4" s="1"/>
  <c r="D163" i="4"/>
  <c r="R31" i="4"/>
  <c r="E31" i="4" s="1"/>
  <c r="Q31" i="4" s="1"/>
  <c r="I31" i="4" s="1"/>
  <c r="D93" i="4"/>
  <c r="I57" i="4"/>
  <c r="U57" i="4"/>
  <c r="D65" i="4"/>
  <c r="R65" i="4"/>
  <c r="E65" i="4" s="1"/>
  <c r="R164" i="4"/>
  <c r="E164" i="4" s="1"/>
  <c r="Q164" i="4" s="1"/>
  <c r="R67" i="4"/>
  <c r="E67" i="4" s="1"/>
  <c r="Q67" i="4" s="1"/>
  <c r="D52" i="4"/>
  <c r="D71" i="4"/>
  <c r="D108" i="4"/>
  <c r="D60" i="4"/>
  <c r="S47" i="4"/>
  <c r="K47" i="4" s="1"/>
  <c r="Q47" i="4" s="1"/>
  <c r="D101" i="4"/>
  <c r="D28" i="4"/>
  <c r="D44" i="4"/>
  <c r="D81" i="4"/>
  <c r="D227" i="4"/>
  <c r="R211" i="4"/>
  <c r="E211" i="4" s="1"/>
  <c r="Q211" i="4" s="1"/>
  <c r="D213" i="4"/>
  <c r="D171" i="4"/>
  <c r="D139" i="4"/>
  <c r="D144" i="4"/>
  <c r="R79" i="4"/>
  <c r="E79" i="4" s="1"/>
  <c r="Q79" i="4" s="1"/>
  <c r="D63" i="4"/>
  <c r="D61" i="4"/>
  <c r="R142" i="4"/>
  <c r="E142" i="4" s="1"/>
  <c r="Q142" i="4" s="1"/>
  <c r="S177" i="4"/>
  <c r="K177" i="4" s="1"/>
  <c r="Q177" i="4" s="1"/>
  <c r="D15" i="4"/>
  <c r="S13" i="4"/>
  <c r="K13" i="4" s="1"/>
  <c r="Q13" i="4" s="1"/>
  <c r="S24" i="4"/>
  <c r="K24" i="4" s="1"/>
  <c r="Q24" i="4" s="1"/>
  <c r="S212" i="4"/>
  <c r="K212" i="4" s="1"/>
  <c r="Q212" i="4" s="1"/>
  <c r="D188" i="4"/>
  <c r="R172" i="4"/>
  <c r="D124" i="4"/>
  <c r="S122" i="4"/>
  <c r="K122" i="4" s="1"/>
  <c r="Q122" i="4" s="1"/>
  <c r="D75" i="4"/>
  <c r="R59" i="4"/>
  <c r="E59" i="4" s="1"/>
  <c r="Q59" i="4" s="1"/>
  <c r="D206" i="4"/>
  <c r="D178" i="4"/>
  <c r="D166" i="4"/>
  <c r="P57" i="4"/>
  <c r="V57" i="4"/>
  <c r="R180" i="4"/>
  <c r="E180" i="4" s="1"/>
  <c r="Q180" i="4" s="1"/>
  <c r="D164" i="4"/>
  <c r="R83" i="4"/>
  <c r="E83" i="4" s="1"/>
  <c r="Q83" i="4" s="1"/>
  <c r="D67" i="4"/>
  <c r="D35" i="4"/>
  <c r="R168" i="4"/>
  <c r="E168" i="4" s="1"/>
  <c r="Q168" i="4" s="1"/>
  <c r="S44" i="4"/>
  <c r="K44" i="4" s="1"/>
  <c r="Q44" i="4" s="1"/>
  <c r="R227" i="4"/>
  <c r="E227" i="4" s="1"/>
  <c r="Q227" i="4" s="1"/>
  <c r="D160" i="4"/>
  <c r="R144" i="4"/>
  <c r="R95" i="4"/>
  <c r="E95" i="4" s="1"/>
  <c r="D79" i="4"/>
  <c r="R61" i="4"/>
  <c r="E61" i="4" s="1"/>
  <c r="Q61" i="4" s="1"/>
  <c r="R20" i="4"/>
  <c r="E20" i="4" s="1"/>
  <c r="R219" i="4"/>
  <c r="E219" i="4" s="1"/>
  <c r="Q219" i="4" s="1"/>
  <c r="R136" i="4"/>
  <c r="E136" i="4" s="1"/>
  <c r="Q136" i="4" s="1"/>
  <c r="S45" i="4"/>
  <c r="K45" i="4" s="1"/>
  <c r="Q45" i="4" s="1"/>
  <c r="D207" i="4"/>
  <c r="R188" i="4"/>
  <c r="E188" i="4" s="1"/>
  <c r="Q188" i="4" s="1"/>
  <c r="D140" i="4"/>
  <c r="R124" i="4"/>
  <c r="E124" i="4" s="1"/>
  <c r="Q124" i="4" s="1"/>
  <c r="S181" i="4"/>
  <c r="K181" i="4" s="1"/>
  <c r="Q181" i="4" s="1"/>
  <c r="S149" i="4"/>
  <c r="K149" i="4" s="1"/>
  <c r="Q149" i="4" s="1"/>
  <c r="R75" i="4"/>
  <c r="E75" i="4" s="1"/>
  <c r="S96" i="4"/>
  <c r="K96" i="4" s="1"/>
  <c r="Q96" i="4" s="1"/>
  <c r="S64" i="4"/>
  <c r="K64" i="4" s="1"/>
  <c r="Q64" i="4" s="1"/>
  <c r="T57" i="4"/>
  <c r="E4" i="4"/>
  <c r="Q4" i="4" s="1"/>
  <c r="E17" i="4"/>
  <c r="Q17" i="4" s="1"/>
  <c r="E25" i="4"/>
  <c r="O220" i="4"/>
  <c r="V104" i="4"/>
  <c r="Q215" i="4"/>
  <c r="Q132" i="4"/>
  <c r="S222" i="4"/>
  <c r="K222" i="4" s="1"/>
  <c r="Q222" i="4" s="1"/>
  <c r="S179" i="4"/>
  <c r="K179" i="4" s="1"/>
  <c r="Q179" i="4" s="1"/>
  <c r="S131" i="4"/>
  <c r="K131" i="4" s="1"/>
  <c r="Q131" i="4" s="1"/>
  <c r="S221" i="4"/>
  <c r="K221" i="4" s="1"/>
  <c r="Q221" i="4" s="1"/>
  <c r="S118" i="4"/>
  <c r="K118" i="4" s="1"/>
  <c r="Q118" i="4" s="1"/>
  <c r="S70" i="4"/>
  <c r="K70" i="4" s="1"/>
  <c r="Q70" i="4" s="1"/>
  <c r="Q108" i="4"/>
  <c r="R12" i="4"/>
  <c r="E12" i="4" s="1"/>
  <c r="Q12" i="4" s="1"/>
  <c r="S216" i="4"/>
  <c r="K216" i="4" s="1"/>
  <c r="Q216" i="4" s="1"/>
  <c r="S185" i="4"/>
  <c r="K185" i="4" s="1"/>
  <c r="Q185" i="4" s="1"/>
  <c r="S169" i="4"/>
  <c r="K169" i="4" s="1"/>
  <c r="Q169" i="4" s="1"/>
  <c r="S153" i="4"/>
  <c r="K153" i="4" s="1"/>
  <c r="Q153" i="4" s="1"/>
  <c r="S137" i="4"/>
  <c r="K137" i="4" s="1"/>
  <c r="Q137" i="4" s="1"/>
  <c r="Q95" i="4"/>
  <c r="S116" i="4"/>
  <c r="K116" i="4" s="1"/>
  <c r="Q116" i="4" s="1"/>
  <c r="S100" i="4"/>
  <c r="K100" i="4" s="1"/>
  <c r="Q100" i="4" s="1"/>
  <c r="S84" i="4"/>
  <c r="K84" i="4" s="1"/>
  <c r="Q84" i="4" s="1"/>
  <c r="S68" i="4"/>
  <c r="K68" i="4" s="1"/>
  <c r="Q68" i="4" s="1"/>
  <c r="R7" i="4"/>
  <c r="E7" i="4" s="1"/>
  <c r="I34" i="4"/>
  <c r="J34" i="4"/>
  <c r="V31" i="4"/>
  <c r="D195" i="4"/>
  <c r="D147" i="4"/>
  <c r="D102" i="4"/>
  <c r="D54" i="4"/>
  <c r="D138" i="4"/>
  <c r="S21" i="4"/>
  <c r="K21" i="4" s="1"/>
  <c r="Q21" i="4" s="1"/>
  <c r="S29" i="4"/>
  <c r="K29" i="4" s="1"/>
  <c r="Q29" i="4" s="1"/>
  <c r="S37" i="4"/>
  <c r="K37" i="4" s="1"/>
  <c r="Q37" i="4" s="1"/>
  <c r="D53" i="4"/>
  <c r="D117" i="4"/>
  <c r="S8" i="4"/>
  <c r="K8" i="4" s="1"/>
  <c r="Q8" i="4" s="1"/>
  <c r="S40" i="4"/>
  <c r="K40" i="4" s="1"/>
  <c r="D226" i="4"/>
  <c r="D210" i="4"/>
  <c r="Q207" i="4"/>
  <c r="D199" i="4"/>
  <c r="D183" i="4"/>
  <c r="D167" i="4"/>
  <c r="D151" i="4"/>
  <c r="D135" i="4"/>
  <c r="D217" i="4"/>
  <c r="D194" i="4"/>
  <c r="D130" i="4"/>
  <c r="D106" i="4"/>
  <c r="D90" i="4"/>
  <c r="D74" i="4"/>
  <c r="D58" i="4"/>
  <c r="D182" i="4"/>
  <c r="Q75" i="4"/>
  <c r="D154" i="4"/>
  <c r="D11" i="4"/>
  <c r="R113" i="4"/>
  <c r="E113" i="4" s="1"/>
  <c r="Q113" i="4" s="1"/>
  <c r="R206" i="4"/>
  <c r="E206" i="4" s="1"/>
  <c r="Q206" i="4" s="1"/>
  <c r="D208" i="4"/>
  <c r="R163" i="4"/>
  <c r="E163" i="4" s="1"/>
  <c r="Q163" i="4" s="1"/>
  <c r="S200" i="4"/>
  <c r="K200" i="4" s="1"/>
  <c r="D193" i="4"/>
  <c r="D145" i="4"/>
  <c r="R178" i="4"/>
  <c r="E178" i="4" s="1"/>
  <c r="Q178" i="4" s="1"/>
  <c r="R86" i="4"/>
  <c r="E86" i="4" s="1"/>
  <c r="Q86" i="4" s="1"/>
  <c r="R166" i="4"/>
  <c r="E166" i="4" s="1"/>
  <c r="Q166" i="4" s="1"/>
  <c r="D92" i="4"/>
  <c r="R93" i="4"/>
  <c r="E93" i="4" s="1"/>
  <c r="Q93" i="4" s="1"/>
  <c r="S25" i="4"/>
  <c r="K25" i="4" s="1"/>
  <c r="S41" i="4"/>
  <c r="K41" i="4" s="1"/>
  <c r="Q41" i="4" s="1"/>
  <c r="D85" i="4"/>
  <c r="S204" i="4"/>
  <c r="K204" i="4" s="1"/>
  <c r="Q204" i="4" s="1"/>
  <c r="D159" i="4"/>
  <c r="D127" i="4"/>
  <c r="D205" i="4"/>
  <c r="D98" i="4"/>
  <c r="D66" i="4"/>
  <c r="D150" i="4"/>
  <c r="D186" i="4"/>
  <c r="D51" i="4"/>
  <c r="D109" i="4"/>
  <c r="Q203" i="4"/>
  <c r="U6" i="4"/>
  <c r="Q176" i="4"/>
  <c r="P201" i="4"/>
  <c r="D9" i="4"/>
  <c r="D17" i="4"/>
  <c r="D25" i="4"/>
  <c r="D33" i="4"/>
  <c r="D41" i="4"/>
  <c r="D49" i="4"/>
  <c r="R85" i="4"/>
  <c r="E85" i="4" s="1"/>
  <c r="Q85" i="4" s="1"/>
  <c r="S32" i="4"/>
  <c r="K32" i="4" s="1"/>
  <c r="O42" i="4"/>
  <c r="V42" i="4"/>
  <c r="P42" i="4"/>
  <c r="U42" i="4"/>
  <c r="J42" i="4"/>
  <c r="T42" i="4"/>
  <c r="I42" i="4"/>
  <c r="R218" i="4"/>
  <c r="E218" i="4" s="1"/>
  <c r="Q218" i="4" s="1"/>
  <c r="D202" i="4"/>
  <c r="D220" i="4"/>
  <c r="D204" i="4"/>
  <c r="R191" i="4"/>
  <c r="E191" i="4" s="1"/>
  <c r="Q191" i="4" s="1"/>
  <c r="R175" i="4"/>
  <c r="E175" i="4" s="1"/>
  <c r="Q175" i="4" s="1"/>
  <c r="R159" i="4"/>
  <c r="E159" i="4" s="1"/>
  <c r="Q159" i="4" s="1"/>
  <c r="R143" i="4"/>
  <c r="E143" i="4" s="1"/>
  <c r="Q143" i="4" s="1"/>
  <c r="R127" i="4"/>
  <c r="E127" i="4" s="1"/>
  <c r="Q127" i="4" s="1"/>
  <c r="R205" i="4"/>
  <c r="E205" i="4" s="1"/>
  <c r="Q205" i="4" s="1"/>
  <c r="D189" i="4"/>
  <c r="D173" i="4"/>
  <c r="D157" i="4"/>
  <c r="D141" i="4"/>
  <c r="D125" i="4"/>
  <c r="R162" i="4"/>
  <c r="E162" i="4" s="1"/>
  <c r="Q162" i="4" s="1"/>
  <c r="R114" i="4"/>
  <c r="E114" i="4" s="1"/>
  <c r="Q114" i="4" s="1"/>
  <c r="R98" i="4"/>
  <c r="E98" i="4" s="1"/>
  <c r="Q98" i="4" s="1"/>
  <c r="R82" i="4"/>
  <c r="E82" i="4" s="1"/>
  <c r="Q82" i="4" s="1"/>
  <c r="R66" i="4"/>
  <c r="E66" i="4" s="1"/>
  <c r="Q66" i="4" s="1"/>
  <c r="R225" i="4"/>
  <c r="E225" i="4" s="1"/>
  <c r="Q225" i="4" s="1"/>
  <c r="R150" i="4"/>
  <c r="E150" i="4" s="1"/>
  <c r="Q150" i="4" s="1"/>
  <c r="R186" i="4"/>
  <c r="E186" i="4" s="1"/>
  <c r="Q186" i="4" s="1"/>
  <c r="D120" i="4"/>
  <c r="D104" i="4"/>
  <c r="D88" i="4"/>
  <c r="D72" i="4"/>
  <c r="D56" i="4"/>
  <c r="R51" i="4"/>
  <c r="E51" i="4" s="1"/>
  <c r="Q51" i="4" s="1"/>
  <c r="R109" i="4"/>
  <c r="E109" i="4" s="1"/>
  <c r="Q109" i="4" s="1"/>
  <c r="R77" i="4"/>
  <c r="E77" i="4" s="1"/>
  <c r="Q77" i="4" s="1"/>
  <c r="D36" i="4"/>
  <c r="R52" i="4"/>
  <c r="E52" i="4" s="1"/>
  <c r="Q52" i="4" s="1"/>
  <c r="D222" i="4"/>
  <c r="D179" i="4"/>
  <c r="D131" i="4"/>
  <c r="D168" i="4"/>
  <c r="D221" i="4"/>
  <c r="D118" i="4"/>
  <c r="D70" i="4"/>
  <c r="R119" i="4"/>
  <c r="E119" i="4" s="1"/>
  <c r="Q119" i="4" s="1"/>
  <c r="R71" i="4"/>
  <c r="E71" i="4" s="1"/>
  <c r="Q71" i="4" s="1"/>
  <c r="R101" i="4"/>
  <c r="E101" i="4" s="1"/>
  <c r="Q101" i="4" s="1"/>
  <c r="D12" i="4"/>
  <c r="O22" i="4"/>
  <c r="T22" i="4"/>
  <c r="I22" i="4"/>
  <c r="J22" i="4" s="1"/>
  <c r="V22" i="4"/>
  <c r="U22" i="4"/>
  <c r="P22" i="4"/>
  <c r="R81" i="4"/>
  <c r="E81" i="4" s="1"/>
  <c r="Q81" i="4" s="1"/>
  <c r="R214" i="4"/>
  <c r="E214" i="4" s="1"/>
  <c r="Q214" i="4" s="1"/>
  <c r="D216" i="4"/>
  <c r="R213" i="4"/>
  <c r="E213" i="4" s="1"/>
  <c r="Q213" i="4" s="1"/>
  <c r="R187" i="4"/>
  <c r="E187" i="4" s="1"/>
  <c r="Q187" i="4" s="1"/>
  <c r="R171" i="4"/>
  <c r="E171" i="4" s="1"/>
  <c r="Q171" i="4" s="1"/>
  <c r="R155" i="4"/>
  <c r="E155" i="4" s="1"/>
  <c r="Q155" i="4" s="1"/>
  <c r="R139" i="4"/>
  <c r="E139" i="4" s="1"/>
  <c r="Q139" i="4" s="1"/>
  <c r="R123" i="4"/>
  <c r="E123" i="4" s="1"/>
  <c r="Q123" i="4" s="1"/>
  <c r="D185" i="4"/>
  <c r="D169" i="4"/>
  <c r="D153" i="4"/>
  <c r="D137" i="4"/>
  <c r="R209" i="4"/>
  <c r="E209" i="4" s="1"/>
  <c r="Q209" i="4" s="1"/>
  <c r="R146" i="4"/>
  <c r="E146" i="4" s="1"/>
  <c r="Q146" i="4" s="1"/>
  <c r="R110" i="4"/>
  <c r="E110" i="4" s="1"/>
  <c r="Q110" i="4" s="1"/>
  <c r="R94" i="4"/>
  <c r="E94" i="4" s="1"/>
  <c r="Q94" i="4" s="1"/>
  <c r="R78" i="4"/>
  <c r="E78" i="4" s="1"/>
  <c r="Q78" i="4" s="1"/>
  <c r="R62" i="4"/>
  <c r="E62" i="4" s="1"/>
  <c r="Q62" i="4" s="1"/>
  <c r="R198" i="4"/>
  <c r="E198" i="4" s="1"/>
  <c r="Q198" i="4" s="1"/>
  <c r="R134" i="4"/>
  <c r="E134" i="4" s="1"/>
  <c r="Q134" i="4" s="1"/>
  <c r="R170" i="4"/>
  <c r="E170" i="4" s="1"/>
  <c r="Q170" i="4" s="1"/>
  <c r="D116" i="4"/>
  <c r="D100" i="4"/>
  <c r="D84" i="4"/>
  <c r="D68" i="4"/>
  <c r="S7" i="4"/>
  <c r="K7" i="4" s="1"/>
  <c r="R27" i="4"/>
  <c r="E27" i="4" s="1"/>
  <c r="Q27" i="4" s="1"/>
  <c r="R69" i="4"/>
  <c r="E69" i="4" s="1"/>
  <c r="Q69" i="4" s="1"/>
  <c r="D4" i="4"/>
  <c r="S20" i="4"/>
  <c r="K20" i="4" s="1"/>
  <c r="O30" i="4"/>
  <c r="P30" i="4"/>
  <c r="I30" i="4"/>
  <c r="V30" i="4"/>
  <c r="T30" i="4"/>
  <c r="U30" i="4"/>
  <c r="J30" i="4"/>
  <c r="R195" i="4"/>
  <c r="E195" i="4" s="1"/>
  <c r="Q195" i="4" s="1"/>
  <c r="R147" i="4"/>
  <c r="E147" i="4" s="1"/>
  <c r="Q147" i="4" s="1"/>
  <c r="D177" i="4"/>
  <c r="D129" i="4"/>
  <c r="R102" i="4"/>
  <c r="E102" i="4" s="1"/>
  <c r="Q102" i="4" s="1"/>
  <c r="R54" i="4"/>
  <c r="E54" i="4" s="1"/>
  <c r="Q54" i="4" s="1"/>
  <c r="R138" i="4"/>
  <c r="E138" i="4" s="1"/>
  <c r="Q138" i="4" s="1"/>
  <c r="D76" i="4"/>
  <c r="D5" i="4"/>
  <c r="D13" i="4"/>
  <c r="D21" i="4"/>
  <c r="D29" i="4"/>
  <c r="D37" i="4"/>
  <c r="D45" i="4"/>
  <c r="S53" i="4"/>
  <c r="K53" i="4" s="1"/>
  <c r="Q53" i="4" s="1"/>
  <c r="R117" i="4"/>
  <c r="E117" i="4" s="1"/>
  <c r="Q117" i="4" s="1"/>
  <c r="D8" i="4"/>
  <c r="O18" i="4"/>
  <c r="P18" i="4" s="1"/>
  <c r="T18" i="4"/>
  <c r="I18" i="4"/>
  <c r="J18" i="4" s="1"/>
  <c r="V18" i="4"/>
  <c r="U18" i="4"/>
  <c r="D40" i="4"/>
  <c r="O50" i="4"/>
  <c r="I50" i="4"/>
  <c r="V50" i="4"/>
  <c r="P50" i="4"/>
  <c r="U50" i="4"/>
  <c r="J50" i="4"/>
  <c r="T50" i="4"/>
  <c r="R226" i="4"/>
  <c r="E226" i="4" s="1"/>
  <c r="Q226" i="4" s="1"/>
  <c r="R210" i="4"/>
  <c r="E210" i="4" s="1"/>
  <c r="Q210" i="4" s="1"/>
  <c r="D212" i="4"/>
  <c r="R199" i="4"/>
  <c r="E199" i="4" s="1"/>
  <c r="Q199" i="4" s="1"/>
  <c r="R183" i="4"/>
  <c r="E183" i="4" s="1"/>
  <c r="Q183" i="4" s="1"/>
  <c r="R167" i="4"/>
  <c r="E167" i="4" s="1"/>
  <c r="Q167" i="4" s="1"/>
  <c r="R151" i="4"/>
  <c r="E151" i="4" s="1"/>
  <c r="Q151" i="4" s="1"/>
  <c r="R135" i="4"/>
  <c r="E135" i="4" s="1"/>
  <c r="Q135" i="4" s="1"/>
  <c r="R217" i="4"/>
  <c r="E217" i="4" s="1"/>
  <c r="Q217" i="4" s="1"/>
  <c r="D197" i="4"/>
  <c r="D181" i="4"/>
  <c r="D165" i="4"/>
  <c r="D149" i="4"/>
  <c r="D133" i="4"/>
  <c r="R194" i="4"/>
  <c r="E194" i="4" s="1"/>
  <c r="Q194" i="4" s="1"/>
  <c r="R130" i="4"/>
  <c r="E130" i="4" s="1"/>
  <c r="Q130" i="4" s="1"/>
  <c r="R106" i="4"/>
  <c r="E106" i="4" s="1"/>
  <c r="Q106" i="4" s="1"/>
  <c r="R90" i="4"/>
  <c r="E90" i="4" s="1"/>
  <c r="Q90" i="4" s="1"/>
  <c r="R74" i="4"/>
  <c r="E74" i="4" s="1"/>
  <c r="Q74" i="4" s="1"/>
  <c r="R58" i="4"/>
  <c r="E58" i="4" s="1"/>
  <c r="Q58" i="4" s="1"/>
  <c r="R182" i="4"/>
  <c r="E182" i="4" s="1"/>
  <c r="Q182" i="4" s="1"/>
  <c r="D122" i="4"/>
  <c r="R154" i="4"/>
  <c r="E154" i="4" s="1"/>
  <c r="Q154" i="4" s="1"/>
  <c r="D112" i="4"/>
  <c r="D96" i="4"/>
  <c r="D80" i="4"/>
  <c r="D64" i="4"/>
  <c r="R11" i="4"/>
  <c r="D174" i="4"/>
  <c r="O14" i="4"/>
  <c r="V14" i="4"/>
  <c r="P14" i="4"/>
  <c r="U14" i="4"/>
  <c r="T14" i="4"/>
  <c r="I14" i="4"/>
  <c r="J14" i="4" s="1"/>
  <c r="R208" i="4"/>
  <c r="E208" i="4" s="1"/>
  <c r="Q208" i="4" s="1"/>
  <c r="R200" i="4"/>
  <c r="R193" i="4"/>
  <c r="E193" i="4" s="1"/>
  <c r="Q193" i="4" s="1"/>
  <c r="R145" i="4"/>
  <c r="E145" i="4" s="1"/>
  <c r="Q145" i="4" s="1"/>
  <c r="R92" i="4"/>
  <c r="E92" i="4" s="1"/>
  <c r="Q92" i="4" s="1"/>
  <c r="Q196" i="4"/>
  <c r="O26" i="4"/>
  <c r="T26" i="4"/>
  <c r="P26" i="4"/>
  <c r="V26" i="4"/>
  <c r="U26" i="4"/>
  <c r="I26" i="4"/>
  <c r="J26" i="4" s="1"/>
  <c r="Q65" i="4"/>
  <c r="D218" i="4"/>
  <c r="S202" i="4"/>
  <c r="K202" i="4" s="1"/>
  <c r="Q202" i="4" s="1"/>
  <c r="D191" i="4"/>
  <c r="D175" i="4"/>
  <c r="D143" i="4"/>
  <c r="D162" i="4"/>
  <c r="D114" i="4"/>
  <c r="D82" i="4"/>
  <c r="D225" i="4"/>
  <c r="D77" i="4"/>
  <c r="O10" i="4"/>
  <c r="P10" i="4" s="1"/>
  <c r="T10" i="4"/>
  <c r="V10" i="4"/>
  <c r="I10" i="4"/>
  <c r="J10" i="4" s="1"/>
  <c r="U10" i="4"/>
  <c r="Q38" i="4"/>
  <c r="I46" i="4"/>
  <c r="V46" i="4"/>
  <c r="J46" i="4"/>
  <c r="P46" i="4"/>
  <c r="P152" i="4"/>
  <c r="V56" i="4" l="1"/>
  <c r="T56" i="4"/>
  <c r="U49" i="4"/>
  <c r="T49" i="4"/>
  <c r="T89" i="4"/>
  <c r="V89" i="4"/>
  <c r="J89" i="4"/>
  <c r="Q224" i="4"/>
  <c r="E61" i="5" s="1"/>
  <c r="V141" i="4"/>
  <c r="T141" i="4"/>
  <c r="J165" i="4"/>
  <c r="V165" i="4"/>
  <c r="T165" i="4"/>
  <c r="P165" i="4"/>
  <c r="J80" i="4"/>
  <c r="U80" i="4"/>
  <c r="U129" i="4"/>
  <c r="V129" i="4"/>
  <c r="P129" i="4"/>
  <c r="V152" i="4"/>
  <c r="U34" i="4"/>
  <c r="O34" i="4"/>
  <c r="O152" i="4"/>
  <c r="J152" i="4"/>
  <c r="U46" i="4"/>
  <c r="O46" i="4"/>
  <c r="Q40" i="4"/>
  <c r="I17" i="5" s="1"/>
  <c r="P34" i="4"/>
  <c r="J220" i="4"/>
  <c r="V49" i="4"/>
  <c r="Q28" i="4"/>
  <c r="U28" i="4" s="1"/>
  <c r="T152" i="4"/>
  <c r="I152" i="4"/>
  <c r="T34" i="4"/>
  <c r="I197" i="4"/>
  <c r="U13" i="4"/>
  <c r="I13" i="4"/>
  <c r="J13" i="4" s="1"/>
  <c r="V13" i="4"/>
  <c r="U189" i="4"/>
  <c r="I189" i="4"/>
  <c r="J189" i="4"/>
  <c r="O189" i="4"/>
  <c r="T189" i="4"/>
  <c r="V189" i="4"/>
  <c r="P189" i="4"/>
  <c r="E200" i="4"/>
  <c r="E65" i="5"/>
  <c r="I65" i="5"/>
  <c r="K65" i="5" s="1"/>
  <c r="J65" i="5"/>
  <c r="E66" i="5"/>
  <c r="I66" i="5"/>
  <c r="E64" i="5"/>
  <c r="I64" i="5"/>
  <c r="J66" i="5"/>
  <c r="J64" i="5"/>
  <c r="J53" i="5"/>
  <c r="T36" i="4"/>
  <c r="I165" i="4"/>
  <c r="U165" i="4"/>
  <c r="E172" i="4"/>
  <c r="Q172" i="4" s="1"/>
  <c r="T172" i="4" s="1"/>
  <c r="I58" i="5"/>
  <c r="I56" i="5"/>
  <c r="J58" i="5"/>
  <c r="J56" i="5"/>
  <c r="E57" i="5"/>
  <c r="I57" i="5"/>
  <c r="E56" i="5"/>
  <c r="E58" i="5"/>
  <c r="J57" i="5"/>
  <c r="E43" i="5"/>
  <c r="I42" i="5"/>
  <c r="J33" i="5"/>
  <c r="J32" i="5"/>
  <c r="E9" i="5"/>
  <c r="J10" i="5"/>
  <c r="E42" i="5"/>
  <c r="J35" i="5"/>
  <c r="E26" i="5"/>
  <c r="I24" i="5"/>
  <c r="J26" i="5"/>
  <c r="E30" i="5"/>
  <c r="E35" i="5"/>
  <c r="J41" i="5"/>
  <c r="J25" i="5"/>
  <c r="J24" i="5"/>
  <c r="J11" i="5"/>
  <c r="E33" i="5"/>
  <c r="J42" i="5"/>
  <c r="J27" i="5"/>
  <c r="I25" i="5"/>
  <c r="K25" i="5" s="1"/>
  <c r="E144" i="4"/>
  <c r="Q144" i="4" s="1"/>
  <c r="I51" i="5" s="1"/>
  <c r="I49" i="5"/>
  <c r="E51" i="5"/>
  <c r="I48" i="5"/>
  <c r="E50" i="5"/>
  <c r="J49" i="5"/>
  <c r="E48" i="5"/>
  <c r="J48" i="5"/>
  <c r="I50" i="5"/>
  <c r="J50" i="5"/>
  <c r="E49" i="5"/>
  <c r="J51" i="5"/>
  <c r="I33" i="5"/>
  <c r="J9" i="5"/>
  <c r="I35" i="5"/>
  <c r="K35" i="5" s="1"/>
  <c r="J34" i="5"/>
  <c r="I43" i="5"/>
  <c r="E25" i="5"/>
  <c r="I26" i="5"/>
  <c r="K26" i="5" s="1"/>
  <c r="E24" i="5"/>
  <c r="I27" i="5"/>
  <c r="K27" i="5" s="1"/>
  <c r="I41" i="5"/>
  <c r="I40" i="5"/>
  <c r="I37" i="5"/>
  <c r="P31" i="4"/>
  <c r="V36" i="4"/>
  <c r="T9" i="4"/>
  <c r="F9" i="5" s="1"/>
  <c r="O165" i="4"/>
  <c r="U197" i="4"/>
  <c r="T120" i="4"/>
  <c r="E32" i="4"/>
  <c r="Q32" i="4" s="1"/>
  <c r="I18" i="5"/>
  <c r="J18" i="5"/>
  <c r="E17" i="5"/>
  <c r="E18" i="5"/>
  <c r="J44" i="5"/>
  <c r="E27" i="5"/>
  <c r="E40" i="5"/>
  <c r="J40" i="5"/>
  <c r="I10" i="5"/>
  <c r="E10" i="5"/>
  <c r="J43" i="5"/>
  <c r="I34" i="5"/>
  <c r="K34" i="5" s="1"/>
  <c r="E32" i="5"/>
  <c r="E41" i="5"/>
  <c r="I32" i="5"/>
  <c r="K32" i="5" s="1"/>
  <c r="I11" i="5"/>
  <c r="E34" i="5"/>
  <c r="I9" i="5"/>
  <c r="K9" i="5" s="1"/>
  <c r="E11" i="5"/>
  <c r="T157" i="4"/>
  <c r="J157" i="4"/>
  <c r="O157" i="4"/>
  <c r="U112" i="4"/>
  <c r="I112" i="4"/>
  <c r="J112" i="4"/>
  <c r="O112" i="4"/>
  <c r="V112" i="4"/>
  <c r="T112" i="4"/>
  <c r="P112" i="4"/>
  <c r="U33" i="4"/>
  <c r="P33" i="4"/>
  <c r="O33" i="4"/>
  <c r="E55" i="5"/>
  <c r="J36" i="5"/>
  <c r="U201" i="4"/>
  <c r="I6" i="4"/>
  <c r="I76" i="4"/>
  <c r="O141" i="4"/>
  <c r="J141" i="4"/>
  <c r="E35" i="4"/>
  <c r="Q35" i="4" s="1"/>
  <c r="J45" i="5" s="1"/>
  <c r="E46" i="5"/>
  <c r="J46" i="5"/>
  <c r="J47" i="5"/>
  <c r="I46" i="5"/>
  <c r="I53" i="5"/>
  <c r="E37" i="5"/>
  <c r="I45" i="5"/>
  <c r="E39" i="5"/>
  <c r="E54" i="5"/>
  <c r="E44" i="5"/>
  <c r="I47" i="5"/>
  <c r="K47" i="5" s="1"/>
  <c r="I44" i="5"/>
  <c r="J55" i="5"/>
  <c r="I39" i="5"/>
  <c r="I28" i="5"/>
  <c r="T6" i="4"/>
  <c r="V6" i="4"/>
  <c r="U76" i="4"/>
  <c r="I141" i="4"/>
  <c r="U141" i="4"/>
  <c r="I36" i="5"/>
  <c r="K36" i="5" s="1"/>
  <c r="E48" i="4"/>
  <c r="Q48" i="4" s="1"/>
  <c r="I48" i="4" s="1"/>
  <c r="I63" i="5"/>
  <c r="E63" i="5"/>
  <c r="J38" i="5"/>
  <c r="J63" i="5"/>
  <c r="E38" i="5"/>
  <c r="E45" i="5"/>
  <c r="I54" i="5"/>
  <c r="J39" i="5"/>
  <c r="E53" i="5"/>
  <c r="J37" i="5"/>
  <c r="K37" i="5" s="1"/>
  <c r="I55" i="5"/>
  <c r="J6" i="4"/>
  <c r="P104" i="4"/>
  <c r="P141" i="4"/>
  <c r="E47" i="5"/>
  <c r="E36" i="5"/>
  <c r="J54" i="5"/>
  <c r="I38" i="5"/>
  <c r="E62" i="5"/>
  <c r="T88" i="4"/>
  <c r="V88" i="4"/>
  <c r="P88" i="4"/>
  <c r="O88" i="4"/>
  <c r="U88" i="4"/>
  <c r="I88" i="4"/>
  <c r="J88" i="4"/>
  <c r="U5" i="4"/>
  <c r="V5" i="4"/>
  <c r="I5" i="4"/>
  <c r="J5" i="4" s="1"/>
  <c r="J72" i="4"/>
  <c r="O72" i="4"/>
  <c r="T72" i="4"/>
  <c r="U72" i="4"/>
  <c r="V72" i="4"/>
  <c r="P72" i="4"/>
  <c r="I72" i="4"/>
  <c r="U48" i="4"/>
  <c r="V48" i="4"/>
  <c r="T212" i="4"/>
  <c r="O212" i="4"/>
  <c r="J212" i="4"/>
  <c r="V177" i="4"/>
  <c r="T177" i="4"/>
  <c r="U125" i="4"/>
  <c r="V125" i="4"/>
  <c r="P125" i="4"/>
  <c r="U87" i="4"/>
  <c r="P87" i="4"/>
  <c r="T129" i="4"/>
  <c r="T104" i="4"/>
  <c r="I220" i="4"/>
  <c r="U220" i="4"/>
  <c r="O56" i="4"/>
  <c r="J56" i="4"/>
  <c r="P197" i="4"/>
  <c r="V197" i="4"/>
  <c r="T33" i="4"/>
  <c r="V33" i="4"/>
  <c r="O49" i="4"/>
  <c r="O129" i="4"/>
  <c r="J129" i="4"/>
  <c r="O104" i="4"/>
  <c r="J104" i="4"/>
  <c r="P220" i="4"/>
  <c r="V220" i="4"/>
  <c r="I56" i="4"/>
  <c r="U56" i="4"/>
  <c r="T197" i="4"/>
  <c r="J33" i="4"/>
  <c r="I49" i="4"/>
  <c r="J49" i="4"/>
  <c r="I129" i="4"/>
  <c r="I104" i="4"/>
  <c r="P56" i="4"/>
  <c r="O197" i="4"/>
  <c r="I33" i="4"/>
  <c r="P49" i="4"/>
  <c r="T173" i="4"/>
  <c r="J173" i="4"/>
  <c r="O173" i="4"/>
  <c r="J55" i="4"/>
  <c r="O55" i="4"/>
  <c r="T55" i="4"/>
  <c r="V55" i="4"/>
  <c r="I55" i="4"/>
  <c r="P55" i="4"/>
  <c r="U55" i="4"/>
  <c r="T133" i="4"/>
  <c r="V133" i="4"/>
  <c r="P133" i="4"/>
  <c r="O133" i="4"/>
  <c r="U133" i="4"/>
  <c r="I133" i="4"/>
  <c r="J133" i="4"/>
  <c r="O15" i="4"/>
  <c r="J15" i="4"/>
  <c r="I15" i="4"/>
  <c r="O31" i="4"/>
  <c r="T31" i="4"/>
  <c r="V87" i="4"/>
  <c r="T87" i="4"/>
  <c r="T5" i="4"/>
  <c r="T125" i="4"/>
  <c r="O9" i="4"/>
  <c r="J9" i="4"/>
  <c r="I212" i="4"/>
  <c r="U212" i="4"/>
  <c r="O177" i="4"/>
  <c r="J177" i="4"/>
  <c r="U31" i="4"/>
  <c r="O87" i="4"/>
  <c r="J87" i="4"/>
  <c r="O5" i="4"/>
  <c r="P5" i="4" s="1"/>
  <c r="O125" i="4"/>
  <c r="J125" i="4"/>
  <c r="I9" i="4"/>
  <c r="U9" i="4"/>
  <c r="P212" i="4"/>
  <c r="V212" i="4"/>
  <c r="I177" i="4"/>
  <c r="U177" i="4"/>
  <c r="O73" i="4"/>
  <c r="T73" i="4"/>
  <c r="V73" i="4"/>
  <c r="P73" i="4"/>
  <c r="U73" i="4"/>
  <c r="I73" i="4"/>
  <c r="J73" i="4"/>
  <c r="J121" i="4"/>
  <c r="V121" i="4"/>
  <c r="I121" i="4"/>
  <c r="U121" i="4"/>
  <c r="T121" i="4"/>
  <c r="O121" i="4"/>
  <c r="P121" i="4"/>
  <c r="J31" i="4"/>
  <c r="I87" i="4"/>
  <c r="I125" i="4"/>
  <c r="P9" i="4"/>
  <c r="P177" i="4"/>
  <c r="I80" i="4"/>
  <c r="Q16" i="4"/>
  <c r="I20" i="5" s="1"/>
  <c r="V96" i="4"/>
  <c r="P96" i="4"/>
  <c r="U96" i="4"/>
  <c r="I96" i="4"/>
  <c r="J96" i="4"/>
  <c r="O96" i="4"/>
  <c r="T96" i="4"/>
  <c r="U45" i="4"/>
  <c r="I45" i="4"/>
  <c r="J45" i="4"/>
  <c r="O45" i="4"/>
  <c r="V45" i="4"/>
  <c r="P45" i="4"/>
  <c r="T45" i="4"/>
  <c r="U44" i="4"/>
  <c r="I44" i="4"/>
  <c r="J44" i="4"/>
  <c r="O44" i="4"/>
  <c r="P44" i="4"/>
  <c r="T44" i="4"/>
  <c r="V44" i="4"/>
  <c r="T47" i="4"/>
  <c r="U47" i="4"/>
  <c r="P47" i="4"/>
  <c r="J47" i="4"/>
  <c r="I47" i="4"/>
  <c r="V47" i="4"/>
  <c r="O47" i="4"/>
  <c r="U174" i="4"/>
  <c r="I174" i="4"/>
  <c r="J174" i="4"/>
  <c r="V174" i="4"/>
  <c r="O174" i="4"/>
  <c r="T174" i="4"/>
  <c r="P174" i="4"/>
  <c r="T149" i="4"/>
  <c r="O149" i="4"/>
  <c r="V149" i="4"/>
  <c r="P149" i="4"/>
  <c r="J149" i="4"/>
  <c r="U149" i="4"/>
  <c r="I149" i="4"/>
  <c r="U64" i="4"/>
  <c r="I64" i="4"/>
  <c r="J64" i="4"/>
  <c r="O64" i="4"/>
  <c r="V64" i="4"/>
  <c r="T64" i="4"/>
  <c r="P64" i="4"/>
  <c r="J181" i="4"/>
  <c r="O181" i="4"/>
  <c r="T181" i="4"/>
  <c r="I181" i="4"/>
  <c r="V181" i="4"/>
  <c r="P181" i="4"/>
  <c r="U181" i="4"/>
  <c r="V122" i="4"/>
  <c r="O122" i="4"/>
  <c r="U122" i="4"/>
  <c r="T122" i="4"/>
  <c r="P122" i="4"/>
  <c r="J122" i="4"/>
  <c r="I122" i="4"/>
  <c r="T24" i="4"/>
  <c r="V24" i="4"/>
  <c r="O24" i="4"/>
  <c r="P24" i="4"/>
  <c r="U24" i="4"/>
  <c r="I24" i="4"/>
  <c r="J24" i="4"/>
  <c r="J28" i="4"/>
  <c r="O28" i="4"/>
  <c r="P28" i="4"/>
  <c r="Q200" i="4"/>
  <c r="E67" i="5" s="1"/>
  <c r="I201" i="4"/>
  <c r="O201" i="4"/>
  <c r="V15" i="4"/>
  <c r="P15" i="4"/>
  <c r="P76" i="4"/>
  <c r="V76" i="4"/>
  <c r="O36" i="4"/>
  <c r="J36" i="4"/>
  <c r="I157" i="4"/>
  <c r="U157" i="4"/>
  <c r="P13" i="4"/>
  <c r="P80" i="4"/>
  <c r="V80" i="4"/>
  <c r="O120" i="4"/>
  <c r="J120" i="4"/>
  <c r="I173" i="4"/>
  <c r="U173" i="4"/>
  <c r="T201" i="4"/>
  <c r="U15" i="4"/>
  <c r="T15" i="4"/>
  <c r="T76" i="4"/>
  <c r="I36" i="4"/>
  <c r="U36" i="4"/>
  <c r="P157" i="4"/>
  <c r="V157" i="4"/>
  <c r="T13" i="4"/>
  <c r="T80" i="4"/>
  <c r="I120" i="4"/>
  <c r="U120" i="4"/>
  <c r="P173" i="4"/>
  <c r="V173" i="4"/>
  <c r="Q20" i="4"/>
  <c r="V20" i="4" s="1"/>
  <c r="V201" i="4"/>
  <c r="O76" i="4"/>
  <c r="O13" i="4"/>
  <c r="O80" i="4"/>
  <c r="P120" i="4"/>
  <c r="I21" i="5"/>
  <c r="J20" i="5"/>
  <c r="V21" i="4"/>
  <c r="O21" i="4"/>
  <c r="U21" i="4"/>
  <c r="J21" i="4"/>
  <c r="T21" i="4"/>
  <c r="P21" i="4"/>
  <c r="I21" i="4"/>
  <c r="E22" i="5"/>
  <c r="J22" i="5"/>
  <c r="I22" i="5"/>
  <c r="V100" i="4"/>
  <c r="U100" i="4"/>
  <c r="J100" i="4"/>
  <c r="T100" i="4"/>
  <c r="P100" i="4"/>
  <c r="I100" i="4"/>
  <c r="O100" i="4"/>
  <c r="V169" i="4"/>
  <c r="U169" i="4"/>
  <c r="J169" i="4"/>
  <c r="T169" i="4"/>
  <c r="P169" i="4"/>
  <c r="I169" i="4"/>
  <c r="O169" i="4"/>
  <c r="V116" i="4"/>
  <c r="U116" i="4"/>
  <c r="J116" i="4"/>
  <c r="T116" i="4"/>
  <c r="P116" i="4"/>
  <c r="I116" i="4"/>
  <c r="O116" i="4"/>
  <c r="V185" i="4"/>
  <c r="U185" i="4"/>
  <c r="J185" i="4"/>
  <c r="T185" i="4"/>
  <c r="P185" i="4"/>
  <c r="I185" i="4"/>
  <c r="O185" i="4"/>
  <c r="O221" i="4"/>
  <c r="V221" i="4"/>
  <c r="U221" i="4"/>
  <c r="J221" i="4"/>
  <c r="P221" i="4"/>
  <c r="I221" i="4"/>
  <c r="T221" i="4"/>
  <c r="T222" i="4"/>
  <c r="P222" i="4"/>
  <c r="I222" i="4"/>
  <c r="O222" i="4"/>
  <c r="V222" i="4"/>
  <c r="J222" i="4"/>
  <c r="U222" i="4"/>
  <c r="V53" i="4"/>
  <c r="U53" i="4"/>
  <c r="J53" i="4"/>
  <c r="P53" i="4"/>
  <c r="I53" i="4"/>
  <c r="T53" i="4"/>
  <c r="O53" i="4"/>
  <c r="V204" i="4"/>
  <c r="U204" i="4"/>
  <c r="T204" i="4"/>
  <c r="P204" i="4"/>
  <c r="I204" i="4"/>
  <c r="O204" i="4"/>
  <c r="J204" i="4"/>
  <c r="V37" i="4"/>
  <c r="U37" i="4"/>
  <c r="J37" i="4"/>
  <c r="T37" i="4"/>
  <c r="P37" i="4"/>
  <c r="I37" i="4"/>
  <c r="O37" i="4"/>
  <c r="V68" i="4"/>
  <c r="U68" i="4"/>
  <c r="J68" i="4"/>
  <c r="T68" i="4"/>
  <c r="P68" i="4"/>
  <c r="I68" i="4"/>
  <c r="O68" i="4"/>
  <c r="V137" i="4"/>
  <c r="U137" i="4"/>
  <c r="J137" i="4"/>
  <c r="T137" i="4"/>
  <c r="P137" i="4"/>
  <c r="I137" i="4"/>
  <c r="O137" i="4"/>
  <c r="V216" i="4"/>
  <c r="U216" i="4"/>
  <c r="J216" i="4"/>
  <c r="T216" i="4"/>
  <c r="P216" i="4"/>
  <c r="I216" i="4"/>
  <c r="O216" i="4"/>
  <c r="T70" i="4"/>
  <c r="P70" i="4"/>
  <c r="I70" i="4"/>
  <c r="O70" i="4"/>
  <c r="V70" i="4"/>
  <c r="J70" i="4"/>
  <c r="U70" i="4"/>
  <c r="T131" i="4"/>
  <c r="P131" i="4"/>
  <c r="I131" i="4"/>
  <c r="O131" i="4"/>
  <c r="V131" i="4"/>
  <c r="U131" i="4"/>
  <c r="J131" i="4"/>
  <c r="T202" i="4"/>
  <c r="P202" i="4"/>
  <c r="I202" i="4"/>
  <c r="V202" i="4"/>
  <c r="U202" i="4"/>
  <c r="J202" i="4"/>
  <c r="O202" i="4"/>
  <c r="V41" i="4"/>
  <c r="U41" i="4"/>
  <c r="J41" i="4"/>
  <c r="T41" i="4"/>
  <c r="P41" i="4"/>
  <c r="I41" i="4"/>
  <c r="O41" i="4"/>
  <c r="T40" i="4"/>
  <c r="P40" i="4"/>
  <c r="V40" i="4"/>
  <c r="U8" i="4"/>
  <c r="T8" i="4"/>
  <c r="P8" i="4"/>
  <c r="I8" i="4"/>
  <c r="J8" i="4" s="1"/>
  <c r="O8" i="4"/>
  <c r="V8" i="4"/>
  <c r="V29" i="4"/>
  <c r="U29" i="4"/>
  <c r="J29" i="4"/>
  <c r="T29" i="4"/>
  <c r="P29" i="4"/>
  <c r="I29" i="4"/>
  <c r="O29" i="4"/>
  <c r="V84" i="4"/>
  <c r="U84" i="4"/>
  <c r="J84" i="4"/>
  <c r="T84" i="4"/>
  <c r="P84" i="4"/>
  <c r="I84" i="4"/>
  <c r="O84" i="4"/>
  <c r="V153" i="4"/>
  <c r="U153" i="4"/>
  <c r="J153" i="4"/>
  <c r="T153" i="4"/>
  <c r="P153" i="4"/>
  <c r="I153" i="4"/>
  <c r="O153" i="4"/>
  <c r="T118" i="4"/>
  <c r="P118" i="4"/>
  <c r="I118" i="4"/>
  <c r="O118" i="4"/>
  <c r="V118" i="4"/>
  <c r="J118" i="4"/>
  <c r="U118" i="4"/>
  <c r="T179" i="4"/>
  <c r="P179" i="4"/>
  <c r="I179" i="4"/>
  <c r="O179" i="4"/>
  <c r="V179" i="4"/>
  <c r="U179" i="4"/>
  <c r="J179" i="4"/>
  <c r="T43" i="4"/>
  <c r="P43" i="4"/>
  <c r="I43" i="4"/>
  <c r="U43" i="4"/>
  <c r="O43" i="4"/>
  <c r="V43" i="4"/>
  <c r="J43" i="4"/>
  <c r="V92" i="4"/>
  <c r="U92" i="4"/>
  <c r="J92" i="4"/>
  <c r="T92" i="4"/>
  <c r="P92" i="4"/>
  <c r="I92" i="4"/>
  <c r="O92" i="4"/>
  <c r="V208" i="4"/>
  <c r="U208" i="4"/>
  <c r="J208" i="4"/>
  <c r="T208" i="4"/>
  <c r="P208" i="4"/>
  <c r="I208" i="4"/>
  <c r="O208" i="4"/>
  <c r="O154" i="4"/>
  <c r="V154" i="4"/>
  <c r="U154" i="4"/>
  <c r="J154" i="4"/>
  <c r="P154" i="4"/>
  <c r="I154" i="4"/>
  <c r="T154" i="4"/>
  <c r="T74" i="4"/>
  <c r="P74" i="4"/>
  <c r="I74" i="4"/>
  <c r="O74" i="4"/>
  <c r="V74" i="4"/>
  <c r="U74" i="4"/>
  <c r="J74" i="4"/>
  <c r="O194" i="4"/>
  <c r="V194" i="4"/>
  <c r="U194" i="4"/>
  <c r="J194" i="4"/>
  <c r="T194" i="4"/>
  <c r="P194" i="4"/>
  <c r="I194" i="4"/>
  <c r="T151" i="4"/>
  <c r="P151" i="4"/>
  <c r="I151" i="4"/>
  <c r="O151" i="4"/>
  <c r="V151" i="4"/>
  <c r="J151" i="4"/>
  <c r="U151" i="4"/>
  <c r="T54" i="4"/>
  <c r="P54" i="4"/>
  <c r="I54" i="4"/>
  <c r="O54" i="4"/>
  <c r="V54" i="4"/>
  <c r="J54" i="4"/>
  <c r="U54" i="4"/>
  <c r="T147" i="4"/>
  <c r="P147" i="4"/>
  <c r="I147" i="4"/>
  <c r="O147" i="4"/>
  <c r="V147" i="4"/>
  <c r="U147" i="4"/>
  <c r="J147" i="4"/>
  <c r="T27" i="4"/>
  <c r="P27" i="4"/>
  <c r="I27" i="4"/>
  <c r="O27" i="4"/>
  <c r="J27" i="4"/>
  <c r="V27" i="4"/>
  <c r="U27" i="4"/>
  <c r="O134" i="4"/>
  <c r="V134" i="4"/>
  <c r="U134" i="4"/>
  <c r="J134" i="4"/>
  <c r="I134" i="4"/>
  <c r="T134" i="4"/>
  <c r="P134" i="4"/>
  <c r="T94" i="4"/>
  <c r="P94" i="4"/>
  <c r="I94" i="4"/>
  <c r="O94" i="4"/>
  <c r="V94" i="4"/>
  <c r="U94" i="4"/>
  <c r="J94" i="4"/>
  <c r="T123" i="4"/>
  <c r="P123" i="4"/>
  <c r="I123" i="4"/>
  <c r="O123" i="4"/>
  <c r="V123" i="4"/>
  <c r="J123" i="4"/>
  <c r="U123" i="4"/>
  <c r="T187" i="4"/>
  <c r="P187" i="4"/>
  <c r="I187" i="4"/>
  <c r="O187" i="4"/>
  <c r="V187" i="4"/>
  <c r="J187" i="4"/>
  <c r="U187" i="4"/>
  <c r="O81" i="4"/>
  <c r="V81" i="4"/>
  <c r="U81" i="4"/>
  <c r="J81" i="4"/>
  <c r="I81" i="4"/>
  <c r="T81" i="4"/>
  <c r="P81" i="4"/>
  <c r="T51" i="4"/>
  <c r="P51" i="4"/>
  <c r="I51" i="4"/>
  <c r="O51" i="4"/>
  <c r="U51" i="4"/>
  <c r="V51" i="4"/>
  <c r="J51" i="4"/>
  <c r="O150" i="4"/>
  <c r="V150" i="4"/>
  <c r="U150" i="4"/>
  <c r="J150" i="4"/>
  <c r="I150" i="4"/>
  <c r="T150" i="4"/>
  <c r="P150" i="4"/>
  <c r="T98" i="4"/>
  <c r="P98" i="4"/>
  <c r="I98" i="4"/>
  <c r="O98" i="4"/>
  <c r="V98" i="4"/>
  <c r="J98" i="4"/>
  <c r="U98" i="4"/>
  <c r="O205" i="4"/>
  <c r="V205" i="4"/>
  <c r="U205" i="4"/>
  <c r="J205" i="4"/>
  <c r="P205" i="4"/>
  <c r="I205" i="4"/>
  <c r="T205" i="4"/>
  <c r="T175" i="4"/>
  <c r="P175" i="4"/>
  <c r="I175" i="4"/>
  <c r="O175" i="4"/>
  <c r="V175" i="4"/>
  <c r="U175" i="4"/>
  <c r="J175" i="4"/>
  <c r="O142" i="4"/>
  <c r="V142" i="4"/>
  <c r="U142" i="4"/>
  <c r="J142" i="4"/>
  <c r="T142" i="4"/>
  <c r="P142" i="4"/>
  <c r="I142" i="4"/>
  <c r="U128" i="4"/>
  <c r="J128" i="4"/>
  <c r="T128" i="4"/>
  <c r="P128" i="4"/>
  <c r="I128" i="4"/>
  <c r="O128" i="4"/>
  <c r="V128" i="4"/>
  <c r="U192" i="4"/>
  <c r="J192" i="4"/>
  <c r="T192" i="4"/>
  <c r="P192" i="4"/>
  <c r="I192" i="4"/>
  <c r="O192" i="4"/>
  <c r="V192" i="4"/>
  <c r="O166" i="4"/>
  <c r="V166" i="4"/>
  <c r="U166" i="4"/>
  <c r="J166" i="4"/>
  <c r="I166" i="4"/>
  <c r="T166" i="4"/>
  <c r="P166" i="4"/>
  <c r="T206" i="4"/>
  <c r="P206" i="4"/>
  <c r="I206" i="4"/>
  <c r="O206" i="4"/>
  <c r="V206" i="4"/>
  <c r="J206" i="4"/>
  <c r="U206" i="4"/>
  <c r="U107" i="4"/>
  <c r="J107" i="4"/>
  <c r="T107" i="4"/>
  <c r="P107" i="4"/>
  <c r="I107" i="4"/>
  <c r="O107" i="4"/>
  <c r="V107" i="4"/>
  <c r="U124" i="4"/>
  <c r="J124" i="4"/>
  <c r="T124" i="4"/>
  <c r="P124" i="4"/>
  <c r="I124" i="4"/>
  <c r="O124" i="4"/>
  <c r="V124" i="4"/>
  <c r="U188" i="4"/>
  <c r="J188" i="4"/>
  <c r="T188" i="4"/>
  <c r="P188" i="4"/>
  <c r="I188" i="4"/>
  <c r="O188" i="4"/>
  <c r="V188" i="4"/>
  <c r="U223" i="4"/>
  <c r="J223" i="4"/>
  <c r="T223" i="4"/>
  <c r="P223" i="4"/>
  <c r="I223" i="4"/>
  <c r="O223" i="4"/>
  <c r="V223" i="4"/>
  <c r="U103" i="4"/>
  <c r="J103" i="4"/>
  <c r="T103" i="4"/>
  <c r="P103" i="4"/>
  <c r="I103" i="4"/>
  <c r="O103" i="4"/>
  <c r="V103" i="4"/>
  <c r="U79" i="4"/>
  <c r="J79" i="4"/>
  <c r="T79" i="4"/>
  <c r="P79" i="4"/>
  <c r="I79" i="4"/>
  <c r="O79" i="4"/>
  <c r="V79" i="4"/>
  <c r="U12" i="4"/>
  <c r="T12" i="4"/>
  <c r="P12" i="4"/>
  <c r="I12" i="4"/>
  <c r="J12" i="4" s="1"/>
  <c r="O12" i="4"/>
  <c r="V12" i="4"/>
  <c r="U180" i="4"/>
  <c r="J180" i="4"/>
  <c r="T180" i="4"/>
  <c r="P180" i="4"/>
  <c r="I180" i="4"/>
  <c r="O180" i="4"/>
  <c r="V180" i="4"/>
  <c r="Q25" i="4"/>
  <c r="I31" i="5" s="1"/>
  <c r="O38" i="4"/>
  <c r="P38" i="4"/>
  <c r="V38" i="4"/>
  <c r="T38" i="4"/>
  <c r="U38" i="4"/>
  <c r="J38" i="4"/>
  <c r="I38" i="4"/>
  <c r="T19" i="4"/>
  <c r="P19" i="4"/>
  <c r="I19" i="4"/>
  <c r="U19" i="4"/>
  <c r="O19" i="4"/>
  <c r="J19" i="4"/>
  <c r="V19" i="4"/>
  <c r="U99" i="4"/>
  <c r="J99" i="4"/>
  <c r="T99" i="4"/>
  <c r="P99" i="4"/>
  <c r="I99" i="4"/>
  <c r="O99" i="4"/>
  <c r="V99" i="4"/>
  <c r="V145" i="4"/>
  <c r="U145" i="4"/>
  <c r="J145" i="4"/>
  <c r="T145" i="4"/>
  <c r="P145" i="4"/>
  <c r="I145" i="4"/>
  <c r="O145" i="4"/>
  <c r="E11" i="4"/>
  <c r="Q11" i="4" s="1"/>
  <c r="J13" i="5" s="1"/>
  <c r="E14" i="5"/>
  <c r="I15" i="5"/>
  <c r="T90" i="4"/>
  <c r="P90" i="4"/>
  <c r="I90" i="4"/>
  <c r="O90" i="4"/>
  <c r="V90" i="4"/>
  <c r="U90" i="4"/>
  <c r="J90" i="4"/>
  <c r="T167" i="4"/>
  <c r="P167" i="4"/>
  <c r="I167" i="4"/>
  <c r="O167" i="4"/>
  <c r="V167" i="4"/>
  <c r="J167" i="4"/>
  <c r="U167" i="4"/>
  <c r="T210" i="4"/>
  <c r="P210" i="4"/>
  <c r="I210" i="4"/>
  <c r="O210" i="4"/>
  <c r="V210" i="4"/>
  <c r="U210" i="4"/>
  <c r="J210" i="4"/>
  <c r="O117" i="4"/>
  <c r="V117" i="4"/>
  <c r="U117" i="4"/>
  <c r="J117" i="4"/>
  <c r="P117" i="4"/>
  <c r="I117" i="4"/>
  <c r="T117" i="4"/>
  <c r="T102" i="4"/>
  <c r="P102" i="4"/>
  <c r="I102" i="4"/>
  <c r="O102" i="4"/>
  <c r="V102" i="4"/>
  <c r="J102" i="4"/>
  <c r="U102" i="4"/>
  <c r="T195" i="4"/>
  <c r="P195" i="4"/>
  <c r="I195" i="4"/>
  <c r="O195" i="4"/>
  <c r="V195" i="4"/>
  <c r="U195" i="4"/>
  <c r="J195" i="4"/>
  <c r="O198" i="4"/>
  <c r="V198" i="4"/>
  <c r="U198" i="4"/>
  <c r="J198" i="4"/>
  <c r="I198" i="4"/>
  <c r="T198" i="4"/>
  <c r="P198" i="4"/>
  <c r="T110" i="4"/>
  <c r="P110" i="4"/>
  <c r="I110" i="4"/>
  <c r="O110" i="4"/>
  <c r="V110" i="4"/>
  <c r="U110" i="4"/>
  <c r="J110" i="4"/>
  <c r="T139" i="4"/>
  <c r="P139" i="4"/>
  <c r="I139" i="4"/>
  <c r="O139" i="4"/>
  <c r="V139" i="4"/>
  <c r="J139" i="4"/>
  <c r="U139" i="4"/>
  <c r="O213" i="4"/>
  <c r="V213" i="4"/>
  <c r="U213" i="4"/>
  <c r="J213" i="4"/>
  <c r="T213" i="4"/>
  <c r="P213" i="4"/>
  <c r="I213" i="4"/>
  <c r="J31" i="5"/>
  <c r="O225" i="4"/>
  <c r="V225" i="4"/>
  <c r="U225" i="4"/>
  <c r="J225" i="4"/>
  <c r="T225" i="4"/>
  <c r="P225" i="4"/>
  <c r="I225" i="4"/>
  <c r="T114" i="4"/>
  <c r="P114" i="4"/>
  <c r="I114" i="4"/>
  <c r="O114" i="4"/>
  <c r="V114" i="4"/>
  <c r="J114" i="4"/>
  <c r="U114" i="4"/>
  <c r="T127" i="4"/>
  <c r="P127" i="4"/>
  <c r="I127" i="4"/>
  <c r="O127" i="4"/>
  <c r="V127" i="4"/>
  <c r="U127" i="4"/>
  <c r="J127" i="4"/>
  <c r="T191" i="4"/>
  <c r="P191" i="4"/>
  <c r="I191" i="4"/>
  <c r="O191" i="4"/>
  <c r="V191" i="4"/>
  <c r="U191" i="4"/>
  <c r="J191" i="4"/>
  <c r="T218" i="4"/>
  <c r="P218" i="4"/>
  <c r="I218" i="4"/>
  <c r="O218" i="4"/>
  <c r="V218" i="4"/>
  <c r="J218" i="4"/>
  <c r="U218" i="4"/>
  <c r="O61" i="4"/>
  <c r="V61" i="4"/>
  <c r="U61" i="4"/>
  <c r="J61" i="4"/>
  <c r="T61" i="4"/>
  <c r="P61" i="4"/>
  <c r="I61" i="4"/>
  <c r="U144" i="4"/>
  <c r="J144" i="4"/>
  <c r="T144" i="4"/>
  <c r="P144" i="4"/>
  <c r="I144" i="4"/>
  <c r="O144" i="4"/>
  <c r="V144" i="4"/>
  <c r="U211" i="4"/>
  <c r="J211" i="4"/>
  <c r="T211" i="4"/>
  <c r="P211" i="4"/>
  <c r="I211" i="4"/>
  <c r="O211" i="4"/>
  <c r="V211" i="4"/>
  <c r="T35" i="4"/>
  <c r="O35" i="4"/>
  <c r="U83" i="4"/>
  <c r="J83" i="4"/>
  <c r="T83" i="4"/>
  <c r="P83" i="4"/>
  <c r="I83" i="4"/>
  <c r="O83" i="4"/>
  <c r="V83" i="4"/>
  <c r="T86" i="4"/>
  <c r="P86" i="4"/>
  <c r="I86" i="4"/>
  <c r="O86" i="4"/>
  <c r="V86" i="4"/>
  <c r="J86" i="4"/>
  <c r="U86" i="4"/>
  <c r="O113" i="4"/>
  <c r="V113" i="4"/>
  <c r="U113" i="4"/>
  <c r="J113" i="4"/>
  <c r="I113" i="4"/>
  <c r="P113" i="4"/>
  <c r="T113" i="4"/>
  <c r="U59" i="4"/>
  <c r="J59" i="4"/>
  <c r="T59" i="4"/>
  <c r="P59" i="4"/>
  <c r="I59" i="4"/>
  <c r="O59" i="4"/>
  <c r="V59" i="4"/>
  <c r="U140" i="4"/>
  <c r="J140" i="4"/>
  <c r="T140" i="4"/>
  <c r="P140" i="4"/>
  <c r="I140" i="4"/>
  <c r="O140" i="4"/>
  <c r="V140" i="4"/>
  <c r="E21" i="5"/>
  <c r="U136" i="4"/>
  <c r="J136" i="4"/>
  <c r="T136" i="4"/>
  <c r="P136" i="4"/>
  <c r="I136" i="4"/>
  <c r="O136" i="4"/>
  <c r="V136" i="4"/>
  <c r="Q7" i="4"/>
  <c r="U95" i="4"/>
  <c r="J95" i="4"/>
  <c r="T95" i="4"/>
  <c r="P95" i="4"/>
  <c r="I95" i="4"/>
  <c r="O95" i="4"/>
  <c r="V95" i="4"/>
  <c r="U67" i="4"/>
  <c r="J67" i="4"/>
  <c r="T67" i="4"/>
  <c r="P67" i="4"/>
  <c r="I67" i="4"/>
  <c r="O67" i="4"/>
  <c r="V67" i="4"/>
  <c r="U215" i="4"/>
  <c r="J215" i="4"/>
  <c r="T215" i="4"/>
  <c r="P215" i="4"/>
  <c r="I215" i="4"/>
  <c r="O215" i="4"/>
  <c r="V215" i="4"/>
  <c r="V17" i="4"/>
  <c r="U17" i="4"/>
  <c r="O17" i="4"/>
  <c r="T17" i="4"/>
  <c r="P17" i="4"/>
  <c r="I17" i="4"/>
  <c r="J17" i="4" s="1"/>
  <c r="J5" i="5"/>
  <c r="U4" i="4"/>
  <c r="T4" i="4"/>
  <c r="I4" i="4"/>
  <c r="J4" i="4" s="1"/>
  <c r="V4" i="4"/>
  <c r="O4" i="4"/>
  <c r="P4" i="4" s="1"/>
  <c r="U168" i="4"/>
  <c r="J168" i="4"/>
  <c r="T168" i="4"/>
  <c r="P168" i="4"/>
  <c r="I168" i="4"/>
  <c r="O168" i="4"/>
  <c r="V168" i="4"/>
  <c r="U148" i="4"/>
  <c r="J148" i="4"/>
  <c r="T148" i="4"/>
  <c r="P148" i="4"/>
  <c r="I148" i="4"/>
  <c r="O148" i="4"/>
  <c r="V148" i="4"/>
  <c r="V193" i="4"/>
  <c r="U193" i="4"/>
  <c r="J193" i="4"/>
  <c r="T193" i="4"/>
  <c r="P193" i="4"/>
  <c r="I193" i="4"/>
  <c r="O193" i="4"/>
  <c r="O182" i="4"/>
  <c r="V182" i="4"/>
  <c r="U182" i="4"/>
  <c r="J182" i="4"/>
  <c r="I182" i="4"/>
  <c r="T182" i="4"/>
  <c r="P182" i="4"/>
  <c r="T106" i="4"/>
  <c r="P106" i="4"/>
  <c r="I106" i="4"/>
  <c r="O106" i="4"/>
  <c r="V106" i="4"/>
  <c r="U106" i="4"/>
  <c r="J106" i="4"/>
  <c r="O217" i="4"/>
  <c r="V217" i="4"/>
  <c r="U217" i="4"/>
  <c r="J217" i="4"/>
  <c r="I217" i="4"/>
  <c r="T217" i="4"/>
  <c r="P217" i="4"/>
  <c r="T183" i="4"/>
  <c r="P183" i="4"/>
  <c r="I183" i="4"/>
  <c r="O183" i="4"/>
  <c r="V183" i="4"/>
  <c r="J183" i="4"/>
  <c r="U183" i="4"/>
  <c r="T226" i="4"/>
  <c r="P226" i="4"/>
  <c r="I226" i="4"/>
  <c r="O226" i="4"/>
  <c r="V226" i="4"/>
  <c r="U226" i="4"/>
  <c r="J226" i="4"/>
  <c r="J30" i="5"/>
  <c r="T62" i="4"/>
  <c r="P62" i="4"/>
  <c r="I62" i="4"/>
  <c r="O62" i="4"/>
  <c r="V62" i="4"/>
  <c r="U62" i="4"/>
  <c r="J62" i="4"/>
  <c r="O146" i="4"/>
  <c r="V146" i="4"/>
  <c r="U146" i="4"/>
  <c r="J146" i="4"/>
  <c r="T146" i="4"/>
  <c r="P146" i="4"/>
  <c r="I146" i="4"/>
  <c r="T155" i="4"/>
  <c r="P155" i="4"/>
  <c r="I155" i="4"/>
  <c r="O155" i="4"/>
  <c r="V155" i="4"/>
  <c r="J155" i="4"/>
  <c r="U155" i="4"/>
  <c r="U71" i="4"/>
  <c r="J71" i="4"/>
  <c r="T71" i="4"/>
  <c r="P71" i="4"/>
  <c r="I71" i="4"/>
  <c r="O71" i="4"/>
  <c r="V71" i="4"/>
  <c r="O77" i="4"/>
  <c r="V77" i="4"/>
  <c r="U77" i="4"/>
  <c r="J77" i="4"/>
  <c r="T77" i="4"/>
  <c r="P77" i="4"/>
  <c r="I77" i="4"/>
  <c r="T66" i="4"/>
  <c r="P66" i="4"/>
  <c r="I66" i="4"/>
  <c r="O66" i="4"/>
  <c r="V66" i="4"/>
  <c r="J66" i="4"/>
  <c r="U66" i="4"/>
  <c r="O162" i="4"/>
  <c r="V162" i="4"/>
  <c r="U162" i="4"/>
  <c r="J162" i="4"/>
  <c r="T162" i="4"/>
  <c r="P162" i="4"/>
  <c r="I162" i="4"/>
  <c r="T143" i="4"/>
  <c r="P143" i="4"/>
  <c r="I143" i="4"/>
  <c r="O143" i="4"/>
  <c r="V143" i="4"/>
  <c r="U143" i="4"/>
  <c r="J143" i="4"/>
  <c r="J28" i="5"/>
  <c r="T39" i="4"/>
  <c r="P39" i="4"/>
  <c r="I39" i="4"/>
  <c r="J39" i="4"/>
  <c r="O39" i="4"/>
  <c r="U39" i="4"/>
  <c r="V39" i="4"/>
  <c r="U160" i="4"/>
  <c r="J160" i="4"/>
  <c r="T160" i="4"/>
  <c r="P160" i="4"/>
  <c r="I160" i="4"/>
  <c r="O160" i="4"/>
  <c r="V160" i="4"/>
  <c r="U227" i="4"/>
  <c r="J227" i="4"/>
  <c r="T227" i="4"/>
  <c r="P227" i="4"/>
  <c r="I227" i="4"/>
  <c r="O227" i="4"/>
  <c r="V227" i="4"/>
  <c r="U203" i="4"/>
  <c r="J203" i="4"/>
  <c r="O203" i="4"/>
  <c r="V203" i="4"/>
  <c r="T203" i="4"/>
  <c r="I203" i="4"/>
  <c r="P203" i="4"/>
  <c r="U164" i="4"/>
  <c r="J164" i="4"/>
  <c r="T164" i="4"/>
  <c r="P164" i="4"/>
  <c r="I164" i="4"/>
  <c r="O164" i="4"/>
  <c r="V164" i="4"/>
  <c r="O93" i="4"/>
  <c r="V93" i="4"/>
  <c r="U93" i="4"/>
  <c r="J93" i="4"/>
  <c r="T93" i="4"/>
  <c r="I93" i="4"/>
  <c r="P93" i="4"/>
  <c r="O178" i="4"/>
  <c r="V178" i="4"/>
  <c r="U178" i="4"/>
  <c r="J178" i="4"/>
  <c r="T178" i="4"/>
  <c r="P178" i="4"/>
  <c r="I178" i="4"/>
  <c r="T163" i="4"/>
  <c r="P163" i="4"/>
  <c r="I163" i="4"/>
  <c r="O163" i="4"/>
  <c r="V163" i="4"/>
  <c r="U163" i="4"/>
  <c r="J163" i="4"/>
  <c r="U75" i="4"/>
  <c r="J75" i="4"/>
  <c r="T75" i="4"/>
  <c r="P75" i="4"/>
  <c r="I75" i="4"/>
  <c r="O75" i="4"/>
  <c r="V75" i="4"/>
  <c r="U156" i="4"/>
  <c r="J156" i="4"/>
  <c r="T156" i="4"/>
  <c r="P156" i="4"/>
  <c r="I156" i="4"/>
  <c r="O156" i="4"/>
  <c r="V156" i="4"/>
  <c r="U184" i="4"/>
  <c r="J184" i="4"/>
  <c r="T184" i="4"/>
  <c r="P184" i="4"/>
  <c r="I184" i="4"/>
  <c r="O184" i="4"/>
  <c r="V184" i="4"/>
  <c r="U111" i="4"/>
  <c r="J111" i="4"/>
  <c r="T111" i="4"/>
  <c r="P111" i="4"/>
  <c r="I111" i="4"/>
  <c r="O111" i="4"/>
  <c r="V111" i="4"/>
  <c r="V60" i="4"/>
  <c r="U60" i="4"/>
  <c r="J60" i="4"/>
  <c r="T60" i="4"/>
  <c r="P60" i="4"/>
  <c r="I60" i="4"/>
  <c r="O60" i="4"/>
  <c r="V161" i="4"/>
  <c r="U161" i="4"/>
  <c r="J161" i="4"/>
  <c r="T161" i="4"/>
  <c r="P161" i="4"/>
  <c r="I161" i="4"/>
  <c r="O161" i="4"/>
  <c r="V224" i="4"/>
  <c r="T224" i="4"/>
  <c r="P224" i="4"/>
  <c r="U115" i="4"/>
  <c r="J115" i="4"/>
  <c r="T115" i="4"/>
  <c r="P115" i="4"/>
  <c r="I115" i="4"/>
  <c r="O115" i="4"/>
  <c r="V115" i="4"/>
  <c r="E28" i="5"/>
  <c r="O65" i="4"/>
  <c r="V65" i="4"/>
  <c r="U65" i="4"/>
  <c r="J65" i="4"/>
  <c r="I65" i="4"/>
  <c r="T65" i="4"/>
  <c r="P65" i="4"/>
  <c r="U196" i="4"/>
  <c r="J196" i="4"/>
  <c r="T196" i="4"/>
  <c r="P196" i="4"/>
  <c r="I196" i="4"/>
  <c r="O196" i="4"/>
  <c r="V196" i="4"/>
  <c r="J200" i="4"/>
  <c r="T58" i="4"/>
  <c r="P58" i="4"/>
  <c r="I58" i="4"/>
  <c r="O58" i="4"/>
  <c r="V58" i="4"/>
  <c r="U58" i="4"/>
  <c r="J58" i="4"/>
  <c r="O130" i="4"/>
  <c r="V130" i="4"/>
  <c r="U130" i="4"/>
  <c r="J130" i="4"/>
  <c r="T130" i="4"/>
  <c r="P130" i="4"/>
  <c r="I130" i="4"/>
  <c r="T135" i="4"/>
  <c r="P135" i="4"/>
  <c r="I135" i="4"/>
  <c r="O135" i="4"/>
  <c r="V135" i="4"/>
  <c r="J135" i="4"/>
  <c r="U135" i="4"/>
  <c r="T199" i="4"/>
  <c r="P199" i="4"/>
  <c r="I199" i="4"/>
  <c r="O199" i="4"/>
  <c r="V199" i="4"/>
  <c r="J199" i="4"/>
  <c r="U199" i="4"/>
  <c r="J21" i="5"/>
  <c r="O138" i="4"/>
  <c r="V138" i="4"/>
  <c r="U138" i="4"/>
  <c r="J138" i="4"/>
  <c r="P138" i="4"/>
  <c r="I138" i="4"/>
  <c r="T138" i="4"/>
  <c r="O69" i="4"/>
  <c r="V69" i="4"/>
  <c r="U69" i="4"/>
  <c r="J69" i="4"/>
  <c r="P69" i="4"/>
  <c r="I69" i="4"/>
  <c r="T69" i="4"/>
  <c r="O170" i="4"/>
  <c r="V170" i="4"/>
  <c r="U170" i="4"/>
  <c r="J170" i="4"/>
  <c r="P170" i="4"/>
  <c r="I170" i="4"/>
  <c r="T170" i="4"/>
  <c r="T78" i="4"/>
  <c r="P78" i="4"/>
  <c r="I78" i="4"/>
  <c r="O78" i="4"/>
  <c r="V78" i="4"/>
  <c r="U78" i="4"/>
  <c r="J78" i="4"/>
  <c r="O209" i="4"/>
  <c r="V209" i="4"/>
  <c r="U209" i="4"/>
  <c r="J209" i="4"/>
  <c r="T209" i="4"/>
  <c r="P209" i="4"/>
  <c r="I209" i="4"/>
  <c r="T171" i="4"/>
  <c r="P171" i="4"/>
  <c r="I171" i="4"/>
  <c r="O171" i="4"/>
  <c r="V171" i="4"/>
  <c r="J171" i="4"/>
  <c r="U171" i="4"/>
  <c r="T214" i="4"/>
  <c r="P214" i="4"/>
  <c r="I214" i="4"/>
  <c r="O214" i="4"/>
  <c r="V214" i="4"/>
  <c r="U214" i="4"/>
  <c r="J214" i="4"/>
  <c r="O101" i="4"/>
  <c r="V101" i="4"/>
  <c r="U101" i="4"/>
  <c r="J101" i="4"/>
  <c r="P101" i="4"/>
  <c r="I101" i="4"/>
  <c r="T101" i="4"/>
  <c r="U119" i="4"/>
  <c r="J119" i="4"/>
  <c r="T119" i="4"/>
  <c r="P119" i="4"/>
  <c r="I119" i="4"/>
  <c r="O119" i="4"/>
  <c r="V119" i="4"/>
  <c r="U52" i="4"/>
  <c r="J52" i="4"/>
  <c r="T52" i="4"/>
  <c r="P52" i="4"/>
  <c r="I52" i="4"/>
  <c r="O52" i="4"/>
  <c r="V52" i="4"/>
  <c r="O109" i="4"/>
  <c r="V109" i="4"/>
  <c r="U109" i="4"/>
  <c r="J109" i="4"/>
  <c r="T109" i="4"/>
  <c r="I109" i="4"/>
  <c r="P109" i="4"/>
  <c r="O186" i="4"/>
  <c r="V186" i="4"/>
  <c r="U186" i="4"/>
  <c r="J186" i="4"/>
  <c r="P186" i="4"/>
  <c r="I186" i="4"/>
  <c r="T186" i="4"/>
  <c r="T82" i="4"/>
  <c r="P82" i="4"/>
  <c r="I82" i="4"/>
  <c r="O82" i="4"/>
  <c r="V82" i="4"/>
  <c r="J82" i="4"/>
  <c r="U82" i="4"/>
  <c r="T159" i="4"/>
  <c r="P159" i="4"/>
  <c r="I159" i="4"/>
  <c r="O159" i="4"/>
  <c r="V159" i="4"/>
  <c r="U159" i="4"/>
  <c r="J159" i="4"/>
  <c r="O85" i="4"/>
  <c r="V85" i="4"/>
  <c r="U85" i="4"/>
  <c r="J85" i="4"/>
  <c r="P85" i="4"/>
  <c r="I85" i="4"/>
  <c r="T85" i="4"/>
  <c r="T23" i="4"/>
  <c r="P23" i="4"/>
  <c r="I23" i="4"/>
  <c r="J23" i="4"/>
  <c r="O23" i="4"/>
  <c r="V23" i="4"/>
  <c r="U23" i="4"/>
  <c r="U176" i="4"/>
  <c r="J176" i="4"/>
  <c r="T176" i="4"/>
  <c r="P176" i="4"/>
  <c r="I176" i="4"/>
  <c r="O176" i="4"/>
  <c r="V176" i="4"/>
  <c r="U91" i="4"/>
  <c r="J91" i="4"/>
  <c r="T91" i="4"/>
  <c r="P91" i="4"/>
  <c r="I91" i="4"/>
  <c r="O91" i="4"/>
  <c r="V91" i="4"/>
  <c r="U207" i="4"/>
  <c r="J207" i="4"/>
  <c r="T207" i="4"/>
  <c r="P207" i="4"/>
  <c r="I207" i="4"/>
  <c r="O207" i="4"/>
  <c r="V207" i="4"/>
  <c r="O97" i="4"/>
  <c r="V97" i="4"/>
  <c r="U97" i="4"/>
  <c r="J97" i="4"/>
  <c r="I97" i="4"/>
  <c r="P97" i="4"/>
  <c r="T97" i="4"/>
  <c r="J29" i="5"/>
  <c r="U219" i="4"/>
  <c r="J219" i="4"/>
  <c r="T219" i="4"/>
  <c r="P219" i="4"/>
  <c r="I219" i="4"/>
  <c r="O219" i="4"/>
  <c r="V219" i="4"/>
  <c r="U63" i="4"/>
  <c r="J63" i="4"/>
  <c r="T63" i="4"/>
  <c r="P63" i="4"/>
  <c r="I63" i="4"/>
  <c r="O63" i="4"/>
  <c r="V63" i="4"/>
  <c r="V108" i="4"/>
  <c r="U108" i="4"/>
  <c r="J108" i="4"/>
  <c r="T108" i="4"/>
  <c r="P108" i="4"/>
  <c r="I108" i="4"/>
  <c r="O108" i="4"/>
  <c r="U132" i="4"/>
  <c r="J132" i="4"/>
  <c r="T132" i="4"/>
  <c r="P132" i="4"/>
  <c r="I132" i="4"/>
  <c r="O132" i="4"/>
  <c r="V132" i="4"/>
  <c r="I30" i="5"/>
  <c r="I6" i="5"/>
  <c r="O172" i="4" l="1"/>
  <c r="G33" i="5"/>
  <c r="G11" i="5"/>
  <c r="J35" i="4"/>
  <c r="J15" i="5"/>
  <c r="E6" i="5"/>
  <c r="F51" i="5"/>
  <c r="L28" i="5"/>
  <c r="O20" i="4"/>
  <c r="P20" i="4" s="1"/>
  <c r="K45" i="5"/>
  <c r="L43" i="5"/>
  <c r="O224" i="4"/>
  <c r="J224" i="4"/>
  <c r="J172" i="4"/>
  <c r="I224" i="4"/>
  <c r="U224" i="4"/>
  <c r="F50" i="5"/>
  <c r="J6" i="5"/>
  <c r="V35" i="4"/>
  <c r="G15" i="5" s="1"/>
  <c r="H15" i="5" s="1"/>
  <c r="M15" i="5" s="1"/>
  <c r="I35" i="4"/>
  <c r="G9" i="5"/>
  <c r="J61" i="5"/>
  <c r="I61" i="5"/>
  <c r="J7" i="5"/>
  <c r="F25" i="5"/>
  <c r="G25" i="5"/>
  <c r="H25" i="5" s="1"/>
  <c r="M25" i="5" s="1"/>
  <c r="N25" i="5" s="1"/>
  <c r="O25" i="5" s="1"/>
  <c r="U35" i="4"/>
  <c r="F16" i="5" s="1"/>
  <c r="P35" i="4"/>
  <c r="E15" i="5"/>
  <c r="I52" i="5"/>
  <c r="K52" i="5" s="1"/>
  <c r="K10" i="5"/>
  <c r="J52" i="5"/>
  <c r="G65" i="5"/>
  <c r="L32" i="5"/>
  <c r="F66" i="5"/>
  <c r="G49" i="5"/>
  <c r="E4" i="5"/>
  <c r="U172" i="4"/>
  <c r="F59" i="5" s="1"/>
  <c r="G58" i="5"/>
  <c r="U200" i="4"/>
  <c r="F67" i="5" s="1"/>
  <c r="H67" i="5" s="1"/>
  <c r="M67" i="5" s="1"/>
  <c r="G56" i="5"/>
  <c r="I7" i="5"/>
  <c r="K7" i="5" s="1"/>
  <c r="F35" i="5"/>
  <c r="L40" i="5"/>
  <c r="I172" i="4"/>
  <c r="F43" i="5"/>
  <c r="P200" i="4"/>
  <c r="L67" i="5" s="1"/>
  <c r="G50" i="5"/>
  <c r="G51" i="5"/>
  <c r="F34" i="5"/>
  <c r="L10" i="5"/>
  <c r="L17" i="5"/>
  <c r="T20" i="4"/>
  <c r="L42" i="5"/>
  <c r="G40" i="5"/>
  <c r="L26" i="5"/>
  <c r="F57" i="5"/>
  <c r="E52" i="5"/>
  <c r="K53" i="5"/>
  <c r="F42" i="5"/>
  <c r="K41" i="5"/>
  <c r="I59" i="5"/>
  <c r="P172" i="4"/>
  <c r="L58" i="5"/>
  <c r="G43" i="5"/>
  <c r="H43" i="5" s="1"/>
  <c r="M43" i="5" s="1"/>
  <c r="N43" i="5" s="1"/>
  <c r="O43" i="5" s="1"/>
  <c r="O200" i="4"/>
  <c r="T200" i="4"/>
  <c r="F60" i="5" s="1"/>
  <c r="L25" i="5"/>
  <c r="J4" i="5"/>
  <c r="F56" i="5"/>
  <c r="L33" i="5"/>
  <c r="L63" i="5"/>
  <c r="G24" i="5"/>
  <c r="H24" i="5" s="1"/>
  <c r="M24" i="5" s="1"/>
  <c r="N24" i="5" s="1"/>
  <c r="F24" i="5"/>
  <c r="L59" i="5"/>
  <c r="L50" i="5"/>
  <c r="L64" i="5"/>
  <c r="L65" i="5"/>
  <c r="F48" i="5"/>
  <c r="G48" i="5"/>
  <c r="G32" i="5"/>
  <c r="F32" i="5"/>
  <c r="L34" i="5"/>
  <c r="O40" i="4"/>
  <c r="J40" i="4"/>
  <c r="L27" i="5"/>
  <c r="G66" i="5"/>
  <c r="U20" i="4"/>
  <c r="V28" i="4"/>
  <c r="I28" i="4"/>
  <c r="F40" i="5"/>
  <c r="F26" i="5"/>
  <c r="L49" i="5"/>
  <c r="F49" i="5"/>
  <c r="G41" i="5"/>
  <c r="G57" i="5"/>
  <c r="K38" i="5"/>
  <c r="K55" i="5"/>
  <c r="K44" i="5"/>
  <c r="K11" i="5"/>
  <c r="J17" i="5"/>
  <c r="K17" i="5" s="1"/>
  <c r="K33" i="5"/>
  <c r="E59" i="5"/>
  <c r="J59" i="5"/>
  <c r="G67" i="5"/>
  <c r="G35" i="5"/>
  <c r="H35" i="5" s="1"/>
  <c r="M35" i="5" s="1"/>
  <c r="L48" i="5"/>
  <c r="G34" i="5"/>
  <c r="L66" i="5"/>
  <c r="F58" i="5"/>
  <c r="F33" i="5"/>
  <c r="L24" i="5"/>
  <c r="G18" i="5"/>
  <c r="V172" i="4"/>
  <c r="G59" i="5" s="1"/>
  <c r="I200" i="4"/>
  <c r="V200" i="4"/>
  <c r="I4" i="5"/>
  <c r="K4" i="5" s="1"/>
  <c r="L56" i="5"/>
  <c r="L11" i="5"/>
  <c r="F11" i="5"/>
  <c r="F15" i="5"/>
  <c r="G64" i="5"/>
  <c r="H64" i="5" s="1"/>
  <c r="M64" i="5" s="1"/>
  <c r="F64" i="5"/>
  <c r="F65" i="5"/>
  <c r="L35" i="5"/>
  <c r="L51" i="5"/>
  <c r="G10" i="5"/>
  <c r="F10" i="5"/>
  <c r="I40" i="4"/>
  <c r="U40" i="4"/>
  <c r="F17" i="5" s="1"/>
  <c r="F18" i="5"/>
  <c r="G27" i="5"/>
  <c r="F27" i="5"/>
  <c r="G17" i="5"/>
  <c r="T28" i="4"/>
  <c r="G26" i="5"/>
  <c r="L54" i="5"/>
  <c r="F41" i="5"/>
  <c r="H41" i="5" s="1"/>
  <c r="M41" i="5" s="1"/>
  <c r="N41" i="5" s="1"/>
  <c r="L41" i="5"/>
  <c r="L57" i="5"/>
  <c r="L9" i="5"/>
  <c r="G42" i="5"/>
  <c r="H42" i="5" s="1"/>
  <c r="M42" i="5" s="1"/>
  <c r="N42" i="5" s="1"/>
  <c r="O42" i="5" s="1"/>
  <c r="I19" i="5"/>
  <c r="K19" i="5" s="1"/>
  <c r="U32" i="4"/>
  <c r="F19" i="5" s="1"/>
  <c r="P32" i="4"/>
  <c r="L19" i="5" s="1"/>
  <c r="I12" i="5"/>
  <c r="E19" i="5"/>
  <c r="J32" i="4"/>
  <c r="I32" i="4"/>
  <c r="V32" i="4"/>
  <c r="G19" i="5" s="1"/>
  <c r="O32" i="4"/>
  <c r="J12" i="5"/>
  <c r="E12" i="5"/>
  <c r="J19" i="5"/>
  <c r="T32" i="4"/>
  <c r="L38" i="5"/>
  <c r="G45" i="5"/>
  <c r="L44" i="5"/>
  <c r="F63" i="5"/>
  <c r="L52" i="5"/>
  <c r="L39" i="5"/>
  <c r="G28" i="5"/>
  <c r="L61" i="5"/>
  <c r="H40" i="5"/>
  <c r="M40" i="5" s="1"/>
  <c r="N40" i="5" s="1"/>
  <c r="J16" i="5"/>
  <c r="K43" i="5"/>
  <c r="H50" i="5"/>
  <c r="M50" i="5" s="1"/>
  <c r="N50" i="5" s="1"/>
  <c r="O50" i="5" s="1"/>
  <c r="K49" i="5"/>
  <c r="H56" i="5"/>
  <c r="M56" i="5" s="1"/>
  <c r="K64" i="5"/>
  <c r="G46" i="5"/>
  <c r="F37" i="5"/>
  <c r="F55" i="5"/>
  <c r="L47" i="5"/>
  <c r="G47" i="5"/>
  <c r="H47" i="5" s="1"/>
  <c r="M47" i="5" s="1"/>
  <c r="N47" i="5" s="1"/>
  <c r="O47" i="5" s="1"/>
  <c r="F28" i="5"/>
  <c r="G54" i="5"/>
  <c r="K20" i="5"/>
  <c r="G38" i="5"/>
  <c r="G62" i="5"/>
  <c r="H11" i="5"/>
  <c r="M11" i="5" s="1"/>
  <c r="N11" i="5" s="1"/>
  <c r="O11" i="5" s="1"/>
  <c r="H10" i="5"/>
  <c r="M10" i="5" s="1"/>
  <c r="K50" i="5"/>
  <c r="K48" i="5"/>
  <c r="J8" i="5"/>
  <c r="H26" i="5"/>
  <c r="M26" i="5" s="1"/>
  <c r="N26" i="5" s="1"/>
  <c r="O26" i="5" s="1"/>
  <c r="H9" i="5"/>
  <c r="M9" i="5" s="1"/>
  <c r="K42" i="5"/>
  <c r="J67" i="5"/>
  <c r="K66" i="5"/>
  <c r="H65" i="5"/>
  <c r="M65" i="5" s="1"/>
  <c r="N65" i="5" s="1"/>
  <c r="O65" i="5" s="1"/>
  <c r="F47" i="5"/>
  <c r="F44" i="5"/>
  <c r="L37" i="5"/>
  <c r="L55" i="5"/>
  <c r="L53" i="5"/>
  <c r="F45" i="5"/>
  <c r="F36" i="5"/>
  <c r="G61" i="5"/>
  <c r="F38" i="5"/>
  <c r="L16" i="5"/>
  <c r="H18" i="5"/>
  <c r="M18" i="5" s="1"/>
  <c r="N18" i="5" s="1"/>
  <c r="I16" i="5"/>
  <c r="H49" i="5"/>
  <c r="M49" i="5" s="1"/>
  <c r="H51" i="5"/>
  <c r="M51" i="5" s="1"/>
  <c r="K57" i="5"/>
  <c r="K56" i="5"/>
  <c r="K58" i="5"/>
  <c r="I67" i="5"/>
  <c r="H66" i="5"/>
  <c r="M66" i="5" s="1"/>
  <c r="G60" i="5"/>
  <c r="F46" i="5"/>
  <c r="L45" i="5"/>
  <c r="G12" i="5"/>
  <c r="G63" i="5"/>
  <c r="H63" i="5" s="1"/>
  <c r="M63" i="5" s="1"/>
  <c r="N63" i="5" s="1"/>
  <c r="L46" i="5"/>
  <c r="F61" i="5"/>
  <c r="H61" i="5" s="1"/>
  <c r="M61" i="5" s="1"/>
  <c r="N61" i="5" s="1"/>
  <c r="F54" i="5"/>
  <c r="H54" i="5" s="1"/>
  <c r="M54" i="5" s="1"/>
  <c r="H34" i="5"/>
  <c r="M34" i="5" s="1"/>
  <c r="N34" i="5" s="1"/>
  <c r="O34" i="5" s="1"/>
  <c r="H27" i="5"/>
  <c r="M27" i="5" s="1"/>
  <c r="N27" i="5" s="1"/>
  <c r="O27" i="5" s="1"/>
  <c r="L18" i="5"/>
  <c r="E16" i="5"/>
  <c r="K18" i="5"/>
  <c r="K40" i="5"/>
  <c r="E8" i="5"/>
  <c r="I8" i="5"/>
  <c r="H48" i="5"/>
  <c r="M48" i="5" s="1"/>
  <c r="N48" i="5" s="1"/>
  <c r="O48" i="5" s="1"/>
  <c r="K51" i="5"/>
  <c r="H33" i="5"/>
  <c r="M33" i="5" s="1"/>
  <c r="K24" i="5"/>
  <c r="H58" i="5"/>
  <c r="M58" i="5" s="1"/>
  <c r="N58" i="5" s="1"/>
  <c r="H57" i="5"/>
  <c r="M57" i="5" s="1"/>
  <c r="N57" i="5" s="1"/>
  <c r="E23" i="5"/>
  <c r="F52" i="5"/>
  <c r="F39" i="5"/>
  <c r="J48" i="4"/>
  <c r="L62" i="5" s="1"/>
  <c r="T48" i="4"/>
  <c r="F62" i="5" s="1"/>
  <c r="H62" i="5" s="1"/>
  <c r="I62" i="5"/>
  <c r="H45" i="5"/>
  <c r="M45" i="5" s="1"/>
  <c r="N45" i="5" s="1"/>
  <c r="O45" i="5" s="1"/>
  <c r="K39" i="5"/>
  <c r="J60" i="5"/>
  <c r="K46" i="5"/>
  <c r="H46" i="5"/>
  <c r="M46" i="5" s="1"/>
  <c r="J62" i="5"/>
  <c r="G36" i="5"/>
  <c r="I5" i="5"/>
  <c r="K5" i="5" s="1"/>
  <c r="K28" i="5"/>
  <c r="G37" i="5"/>
  <c r="H37" i="5" s="1"/>
  <c r="M37" i="5" s="1"/>
  <c r="G53" i="5"/>
  <c r="E20" i="5"/>
  <c r="I23" i="5"/>
  <c r="O48" i="4"/>
  <c r="P48" i="4"/>
  <c r="L60" i="5" s="1"/>
  <c r="G39" i="5"/>
  <c r="G55" i="5"/>
  <c r="E60" i="5"/>
  <c r="L30" i="5"/>
  <c r="I60" i="5"/>
  <c r="F53" i="5"/>
  <c r="J23" i="5"/>
  <c r="L36" i="5"/>
  <c r="K54" i="5"/>
  <c r="H38" i="5"/>
  <c r="M38" i="5" s="1"/>
  <c r="K63" i="5"/>
  <c r="H39" i="5"/>
  <c r="G44" i="5"/>
  <c r="H44" i="5" s="1"/>
  <c r="M44" i="5" s="1"/>
  <c r="N44" i="5" s="1"/>
  <c r="O44" i="5" s="1"/>
  <c r="I20" i="4"/>
  <c r="J20" i="4" s="1"/>
  <c r="C13" i="1"/>
  <c r="U16" i="4"/>
  <c r="F23" i="5" s="1"/>
  <c r="I16" i="4"/>
  <c r="J16" i="4"/>
  <c r="V16" i="4"/>
  <c r="P16" i="4"/>
  <c r="T16" i="4"/>
  <c r="O16" i="4"/>
  <c r="B37" i="10" a="1"/>
  <c r="B37" i="10" s="1"/>
  <c r="C6" i="10"/>
  <c r="L21" i="5"/>
  <c r="K31" i="5"/>
  <c r="K6" i="5"/>
  <c r="C14" i="1"/>
  <c r="A37" i="10" a="1"/>
  <c r="A37" i="10" s="1"/>
  <c r="I14" i="5"/>
  <c r="L22" i="5"/>
  <c r="C10" i="1"/>
  <c r="E10" i="1" s="1"/>
  <c r="D20" i="1"/>
  <c r="F21" i="5"/>
  <c r="I13" i="5"/>
  <c r="K13" i="5" s="1"/>
  <c r="G21" i="5"/>
  <c r="L23" i="5"/>
  <c r="H28" i="5"/>
  <c r="M28" i="5" s="1"/>
  <c r="N28" i="5" s="1"/>
  <c r="G22" i="5"/>
  <c r="D19" i="1"/>
  <c r="J14" i="5"/>
  <c r="T11" i="4"/>
  <c r="F13" i="5" s="1"/>
  <c r="I11" i="4"/>
  <c r="J11" i="4"/>
  <c r="L13" i="5" s="1"/>
  <c r="O11" i="4"/>
  <c r="P11" i="4" s="1"/>
  <c r="L6" i="5" s="1"/>
  <c r="V11" i="4"/>
  <c r="G13" i="5" s="1"/>
  <c r="U11" i="4"/>
  <c r="F14" i="5" s="1"/>
  <c r="V25" i="4"/>
  <c r="G31" i="5" s="1"/>
  <c r="U25" i="4"/>
  <c r="F31" i="5" s="1"/>
  <c r="T25" i="4"/>
  <c r="F29" i="5" s="1"/>
  <c r="P25" i="4"/>
  <c r="L31" i="5" s="1"/>
  <c r="I25" i="4"/>
  <c r="J25" i="4" s="1"/>
  <c r="L29" i="5" s="1"/>
  <c r="O25" i="4"/>
  <c r="I29" i="5"/>
  <c r="K29" i="5" s="1"/>
  <c r="E31" i="5"/>
  <c r="E29" i="5"/>
  <c r="F30" i="5"/>
  <c r="K30" i="5"/>
  <c r="A2" i="6"/>
  <c r="D21" i="1"/>
  <c r="E7" i="5"/>
  <c r="K15" i="5"/>
  <c r="E13" i="5"/>
  <c r="K22" i="5"/>
  <c r="K21" i="5"/>
  <c r="K7" i="10"/>
  <c r="G6" i="1"/>
  <c r="T7" i="4"/>
  <c r="F5" i="5" s="1"/>
  <c r="P7" i="4"/>
  <c r="I7" i="4"/>
  <c r="O7" i="4"/>
  <c r="V7" i="4"/>
  <c r="U7" i="4"/>
  <c r="J7" i="4"/>
  <c r="K14" i="5"/>
  <c r="E5" i="5"/>
  <c r="G30" i="5"/>
  <c r="F22" i="5"/>
  <c r="O40" i="5" l="1"/>
  <c r="O58" i="5"/>
  <c r="O63" i="5"/>
  <c r="N49" i="5"/>
  <c r="O49" i="5" s="1"/>
  <c r="P48" i="5" s="1"/>
  <c r="Q48" i="5" s="1"/>
  <c r="F6" i="5"/>
  <c r="H36" i="5"/>
  <c r="M36" i="5" s="1"/>
  <c r="N36" i="5" s="1"/>
  <c r="O36" i="5" s="1"/>
  <c r="N54" i="5"/>
  <c r="O54" i="5" s="1"/>
  <c r="N66" i="5"/>
  <c r="O66" i="5" s="1"/>
  <c r="G16" i="5"/>
  <c r="H16" i="5" s="1"/>
  <c r="M16" i="5" s="1"/>
  <c r="N16" i="5" s="1"/>
  <c r="G7" i="5"/>
  <c r="O28" i="5"/>
  <c r="K23" i="5"/>
  <c r="N37" i="5"/>
  <c r="O37" i="5" s="1"/>
  <c r="N9" i="5"/>
  <c r="O9" i="5" s="1"/>
  <c r="O41" i="5"/>
  <c r="H17" i="5"/>
  <c r="M17" i="5" s="1"/>
  <c r="N17" i="5" s="1"/>
  <c r="O17" i="5" s="1"/>
  <c r="N64" i="5"/>
  <c r="O64" i="5" s="1"/>
  <c r="N35" i="5"/>
  <c r="O35" i="5" s="1"/>
  <c r="H32" i="5"/>
  <c r="M32" i="5" s="1"/>
  <c r="N32" i="5" s="1"/>
  <c r="O32" i="5" s="1"/>
  <c r="K61" i="5"/>
  <c r="O61" i="5" s="1"/>
  <c r="H59" i="5"/>
  <c r="M59" i="5" s="1"/>
  <c r="N59" i="5" s="1"/>
  <c r="K8" i="5"/>
  <c r="K67" i="5"/>
  <c r="N56" i="5"/>
  <c r="O56" i="5" s="1"/>
  <c r="F12" i="5"/>
  <c r="H12" i="5" s="1"/>
  <c r="M12" i="5" s="1"/>
  <c r="K59" i="5"/>
  <c r="H60" i="5"/>
  <c r="M60" i="5" s="1"/>
  <c r="N60" i="5" s="1"/>
  <c r="H13" i="5"/>
  <c r="L5" i="5"/>
  <c r="L4" i="5"/>
  <c r="N46" i="5"/>
  <c r="O46" i="5" s="1"/>
  <c r="N33" i="5"/>
  <c r="O33" i="5" s="1"/>
  <c r="G52" i="5"/>
  <c r="H52" i="5" s="1"/>
  <c r="M52" i="5" s="1"/>
  <c r="N52" i="5" s="1"/>
  <c r="O52" i="5" s="1"/>
  <c r="K16" i="5"/>
  <c r="O24" i="5"/>
  <c r="N67" i="5"/>
  <c r="N38" i="5"/>
  <c r="O38" i="5" s="1"/>
  <c r="O57" i="5"/>
  <c r="N51" i="5"/>
  <c r="O51" i="5" s="1"/>
  <c r="O18" i="5"/>
  <c r="N10" i="5"/>
  <c r="O10" i="5" s="1"/>
  <c r="P44" i="5"/>
  <c r="Q44" i="5" s="1"/>
  <c r="F20" i="5"/>
  <c r="F8" i="5"/>
  <c r="L12" i="5"/>
  <c r="K12" i="5"/>
  <c r="H19" i="5"/>
  <c r="M19" i="5" s="1"/>
  <c r="N19" i="5" s="1"/>
  <c r="O19" i="5" s="1"/>
  <c r="G23" i="5"/>
  <c r="H23" i="5" s="1"/>
  <c r="M23" i="5" s="1"/>
  <c r="N23" i="5" s="1"/>
  <c r="O23" i="5" s="1"/>
  <c r="G8" i="5"/>
  <c r="G6" i="5"/>
  <c r="H6" i="5" s="1"/>
  <c r="M6" i="5" s="1"/>
  <c r="N6" i="5" s="1"/>
  <c r="O6" i="5" s="1"/>
  <c r="H22" i="5"/>
  <c r="G4" i="5"/>
  <c r="F4" i="5"/>
  <c r="H4" i="5" s="1"/>
  <c r="M4" i="5" s="1"/>
  <c r="N4" i="5" s="1"/>
  <c r="O4" i="5" s="1"/>
  <c r="L8" i="5"/>
  <c r="K60" i="5"/>
  <c r="O60" i="5" s="1"/>
  <c r="L15" i="5"/>
  <c r="N15" i="5" s="1"/>
  <c r="O15" i="5" s="1"/>
  <c r="K62" i="5"/>
  <c r="P46" i="5"/>
  <c r="Q46" i="5" s="1"/>
  <c r="H21" i="5"/>
  <c r="M21" i="5" s="1"/>
  <c r="N21" i="5" s="1"/>
  <c r="L20" i="5"/>
  <c r="H55" i="5"/>
  <c r="M55" i="5" s="1"/>
  <c r="N55" i="5" s="1"/>
  <c r="O55" i="5" s="1"/>
  <c r="G20" i="5"/>
  <c r="H20" i="5" s="1"/>
  <c r="M20" i="5" s="1"/>
  <c r="M62" i="5"/>
  <c r="N62" i="5" s="1"/>
  <c r="H53" i="5"/>
  <c r="M53" i="5" s="1"/>
  <c r="N53" i="5" s="1"/>
  <c r="O53" i="5" s="1"/>
  <c r="M39" i="5"/>
  <c r="N39" i="5" s="1"/>
  <c r="O39" i="5" s="1"/>
  <c r="H31" i="5"/>
  <c r="M31" i="5" s="1"/>
  <c r="N31" i="5" s="1"/>
  <c r="O31" i="5" s="1"/>
  <c r="H30" i="5"/>
  <c r="M30" i="5" s="1"/>
  <c r="N30" i="5" s="1"/>
  <c r="O30" i="5" s="1"/>
  <c r="G29" i="5"/>
  <c r="H29" i="5" s="1"/>
  <c r="M29" i="5" s="1"/>
  <c r="N29" i="5" s="1"/>
  <c r="O29" i="5" s="1"/>
  <c r="M13" i="5"/>
  <c r="N13" i="5" s="1"/>
  <c r="O13" i="5" s="1"/>
  <c r="L14" i="5"/>
  <c r="G14" i="5"/>
  <c r="H14" i="5" s="1"/>
  <c r="L7" i="5"/>
  <c r="F7" i="5"/>
  <c r="H7" i="5" s="1"/>
  <c r="M22" i="5"/>
  <c r="N22" i="5" s="1"/>
  <c r="O22" i="5" s="1"/>
  <c r="G5" i="5"/>
  <c r="O21" i="5"/>
  <c r="N12" i="5" l="1"/>
  <c r="O12" i="5" s="1"/>
  <c r="P50" i="5"/>
  <c r="Q50" i="5" s="1"/>
  <c r="P47" i="5"/>
  <c r="Q47" i="5" s="1"/>
  <c r="P49" i="5"/>
  <c r="Q49" i="5" s="1"/>
  <c r="P45" i="5"/>
  <c r="Q45" i="5" s="1"/>
  <c r="P51" i="5"/>
  <c r="Q51" i="5" s="1"/>
  <c r="O16" i="5"/>
  <c r="P32" i="5"/>
  <c r="Q32" i="5" s="1"/>
  <c r="P39" i="5"/>
  <c r="Q39" i="5" s="1"/>
  <c r="O67" i="5"/>
  <c r="O59" i="5"/>
  <c r="P57" i="5" s="1"/>
  <c r="Q57" i="5" s="1"/>
  <c r="N20" i="5"/>
  <c r="O20" i="5" s="1"/>
  <c r="P27" i="5" s="1"/>
  <c r="Q27" i="5" s="1"/>
  <c r="P24" i="5"/>
  <c r="Q24" i="5" s="1"/>
  <c r="P26" i="5"/>
  <c r="Q26" i="5" s="1"/>
  <c r="P55" i="5"/>
  <c r="Q55" i="5" s="1"/>
  <c r="P35" i="5"/>
  <c r="Q35" i="5" s="1"/>
  <c r="P34" i="5"/>
  <c r="Q34" i="5" s="1"/>
  <c r="P41" i="5"/>
  <c r="Q41" i="5" s="1"/>
  <c r="P36" i="5"/>
  <c r="Q36" i="5" s="1"/>
  <c r="P33" i="5"/>
  <c r="Q33" i="5" s="1"/>
  <c r="P43" i="5"/>
  <c r="Q43" i="5" s="1"/>
  <c r="P40" i="5"/>
  <c r="Q40" i="5" s="1"/>
  <c r="H8" i="5"/>
  <c r="M8" i="5" s="1"/>
  <c r="N8" i="5" s="1"/>
  <c r="O8" i="5" s="1"/>
  <c r="P42" i="5"/>
  <c r="Q42" i="5" s="1"/>
  <c r="P56" i="5"/>
  <c r="Q56" i="5" s="1"/>
  <c r="O62" i="5"/>
  <c r="P65" i="5" s="1"/>
  <c r="Q65" i="5" s="1"/>
  <c r="P37" i="5"/>
  <c r="Q37" i="5" s="1"/>
  <c r="P53" i="5"/>
  <c r="Q53" i="5" s="1"/>
  <c r="P38" i="5"/>
  <c r="Q38" i="5" s="1"/>
  <c r="P22" i="5"/>
  <c r="Q22" i="5" s="1"/>
  <c r="P21" i="5"/>
  <c r="Q21" i="5" s="1"/>
  <c r="M14" i="5"/>
  <c r="N14" i="5" s="1"/>
  <c r="O14" i="5" s="1"/>
  <c r="P29" i="5"/>
  <c r="Q29" i="5" s="1"/>
  <c r="P28" i="5"/>
  <c r="Q28" i="5" s="1"/>
  <c r="P31" i="5"/>
  <c r="Q31" i="5" s="1"/>
  <c r="P20" i="5"/>
  <c r="Q20" i="5" s="1"/>
  <c r="P23" i="5"/>
  <c r="Q23" i="5" s="1"/>
  <c r="P30" i="5"/>
  <c r="Q30" i="5" s="1"/>
  <c r="M7" i="5"/>
  <c r="N7" i="5" s="1"/>
  <c r="O7" i="5" s="1"/>
  <c r="H5" i="5"/>
  <c r="M5" i="5" s="1"/>
  <c r="N5" i="5" s="1"/>
  <c r="O5" i="5" s="1"/>
  <c r="P59" i="5" l="1"/>
  <c r="Q59" i="5" s="1"/>
  <c r="P58" i="5"/>
  <c r="Q58" i="5" s="1"/>
  <c r="P54" i="5"/>
  <c r="Q54" i="5" s="1"/>
  <c r="P52" i="5"/>
  <c r="Q52" i="5" s="1"/>
  <c r="P8" i="5"/>
  <c r="Q8" i="5" s="1"/>
  <c r="P25" i="5"/>
  <c r="Q25" i="5" s="1"/>
  <c r="P10" i="5"/>
  <c r="Q10" i="5" s="1"/>
  <c r="P17" i="5"/>
  <c r="Q17" i="5" s="1"/>
  <c r="P18" i="5"/>
  <c r="Q18" i="5" s="1"/>
  <c r="P16" i="5"/>
  <c r="Q16" i="5" s="1"/>
  <c r="P13" i="5"/>
  <c r="Q13" i="5" s="1"/>
  <c r="P19" i="5"/>
  <c r="Q19" i="5" s="1"/>
  <c r="P66" i="5"/>
  <c r="Q66" i="5" s="1"/>
  <c r="P11" i="5"/>
  <c r="Q11" i="5" s="1"/>
  <c r="P67" i="5"/>
  <c r="Q67" i="5" s="1"/>
  <c r="P9" i="5"/>
  <c r="Q9" i="5" s="1"/>
  <c r="P64" i="5"/>
  <c r="Q64" i="5" s="1"/>
  <c r="P62" i="5"/>
  <c r="Q62" i="5" s="1"/>
  <c r="P60" i="5"/>
  <c r="Q60" i="5" s="1"/>
  <c r="P61" i="5"/>
  <c r="Q61" i="5" s="1"/>
  <c r="P63" i="5"/>
  <c r="Q63" i="5" s="1"/>
  <c r="P5" i="5"/>
  <c r="Q5" i="5" s="1"/>
  <c r="P6" i="5"/>
  <c r="Q6" i="5" s="1"/>
  <c r="P4" i="5"/>
  <c r="Q4" i="5" s="1"/>
  <c r="P7" i="5"/>
  <c r="Q7" i="5" s="1"/>
  <c r="P14" i="5"/>
  <c r="Q14" i="5" s="1"/>
  <c r="P12" i="5"/>
  <c r="Q12" i="5" s="1"/>
  <c r="P15" i="5"/>
  <c r="Q15" i="5" s="1"/>
  <c r="E10" i="7" l="1"/>
  <c r="E5" i="7"/>
  <c r="C8" i="7"/>
  <c r="C10" i="7"/>
  <c r="C12" i="7"/>
  <c r="E9" i="7"/>
  <c r="C6" i="7"/>
  <c r="C7" i="7"/>
  <c r="E11" i="7"/>
  <c r="C9" i="7"/>
  <c r="G9" i="7" s="1"/>
  <c r="E8" i="7"/>
  <c r="C11" i="7"/>
  <c r="G11" i="7" s="1"/>
  <c r="E6" i="7"/>
  <c r="C5" i="7"/>
  <c r="G5" i="7" s="1"/>
  <c r="E12" i="7"/>
  <c r="G12" i="7" s="1"/>
  <c r="E7" i="7"/>
  <c r="F32" i="10"/>
  <c r="A32" i="10"/>
  <c r="K31" i="10"/>
  <c r="F31" i="10"/>
  <c r="A31" i="10"/>
  <c r="K30" i="10"/>
  <c r="F30" i="10"/>
  <c r="A30" i="10"/>
  <c r="K29" i="10"/>
  <c r="F29" i="10"/>
  <c r="A29" i="10"/>
  <c r="K28" i="10"/>
  <c r="F28" i="10"/>
  <c r="A28" i="10"/>
  <c r="K27" i="10"/>
  <c r="F27" i="10"/>
  <c r="A27" i="10"/>
  <c r="K26" i="10"/>
  <c r="F26" i="10"/>
  <c r="A26" i="10"/>
  <c r="K25" i="10"/>
  <c r="F25" i="10"/>
  <c r="A25" i="10"/>
  <c r="K21" i="10"/>
  <c r="F21" i="10"/>
  <c r="A21" i="10"/>
  <c r="K20" i="10"/>
  <c r="F20" i="10"/>
  <c r="A20" i="10"/>
  <c r="K19" i="10"/>
  <c r="F19" i="10"/>
  <c r="A19" i="10"/>
  <c r="K18" i="10"/>
  <c r="F18" i="10"/>
  <c r="A18" i="10"/>
  <c r="K17" i="10"/>
  <c r="F17" i="10"/>
  <c r="A17" i="10"/>
  <c r="K16" i="10"/>
  <c r="F16" i="10"/>
  <c r="A16" i="10"/>
  <c r="K15" i="10"/>
  <c r="F15" i="10"/>
  <c r="A15" i="10"/>
  <c r="K14" i="10"/>
  <c r="F14" i="10"/>
  <c r="A14" i="10"/>
  <c r="E32" i="10"/>
  <c r="O31" i="10"/>
  <c r="J31" i="10"/>
  <c r="E31" i="10"/>
  <c r="O30" i="10"/>
  <c r="J30" i="10"/>
  <c r="E30" i="10"/>
  <c r="O29" i="10"/>
  <c r="C32" i="10"/>
  <c r="N31" i="10"/>
  <c r="I31" i="10"/>
  <c r="C31" i="10"/>
  <c r="N30" i="10"/>
  <c r="I30" i="10"/>
  <c r="C30" i="10"/>
  <c r="N29" i="10"/>
  <c r="I29" i="10"/>
  <c r="C29" i="10"/>
  <c r="N28" i="10"/>
  <c r="I28" i="10"/>
  <c r="C28" i="10"/>
  <c r="N27" i="10"/>
  <c r="I27" i="10"/>
  <c r="C27" i="10"/>
  <c r="N26" i="10"/>
  <c r="I26" i="10"/>
  <c r="C26" i="10"/>
  <c r="N25" i="10"/>
  <c r="I25" i="10"/>
  <c r="C25" i="10"/>
  <c r="N21" i="10"/>
  <c r="I21" i="10"/>
  <c r="C21" i="10"/>
  <c r="N20" i="10"/>
  <c r="I20" i="10"/>
  <c r="C20" i="10"/>
  <c r="N19" i="10"/>
  <c r="I19" i="10"/>
  <c r="C19" i="10"/>
  <c r="N18" i="10"/>
  <c r="I18" i="10"/>
  <c r="C18" i="10"/>
  <c r="N17" i="10"/>
  <c r="I17" i="10"/>
  <c r="C17" i="10"/>
  <c r="N16" i="10"/>
  <c r="I16" i="10"/>
  <c r="C16" i="10"/>
  <c r="N15" i="10"/>
  <c r="I15" i="10"/>
  <c r="C15" i="10"/>
  <c r="N14" i="10"/>
  <c r="I14" i="10"/>
  <c r="C14" i="10"/>
  <c r="G31" i="10"/>
  <c r="B30" i="10"/>
  <c r="E29" i="10"/>
  <c r="J28" i="10"/>
  <c r="O27" i="10"/>
  <c r="E27" i="10"/>
  <c r="J26" i="10"/>
  <c r="O25" i="10"/>
  <c r="E25" i="10"/>
  <c r="J21" i="10"/>
  <c r="O20" i="10"/>
  <c r="E20" i="10"/>
  <c r="J19" i="10"/>
  <c r="O18" i="10"/>
  <c r="E18" i="10"/>
  <c r="J17" i="10"/>
  <c r="O16" i="10"/>
  <c r="E16" i="10"/>
  <c r="J15" i="10"/>
  <c r="O14" i="10"/>
  <c r="E14" i="10"/>
  <c r="G32" i="10"/>
  <c r="B31" i="10"/>
  <c r="M29" i="10"/>
  <c r="B29" i="10"/>
  <c r="G28" i="10"/>
  <c r="M27" i="10"/>
  <c r="B27" i="10"/>
  <c r="G26" i="10"/>
  <c r="M25" i="10"/>
  <c r="B25" i="10"/>
  <c r="G21" i="10"/>
  <c r="M20" i="10"/>
  <c r="B20" i="10"/>
  <c r="G19" i="10"/>
  <c r="M18" i="10"/>
  <c r="B18" i="10"/>
  <c r="G17" i="10"/>
  <c r="M16" i="10"/>
  <c r="B16" i="10"/>
  <c r="G15" i="10"/>
  <c r="M14" i="10"/>
  <c r="B14" i="10"/>
  <c r="B87" i="6"/>
  <c r="B83" i="6"/>
  <c r="B79" i="6"/>
  <c r="B32" i="10"/>
  <c r="M30" i="10"/>
  <c r="J29" i="10"/>
  <c r="O28" i="10"/>
  <c r="E28" i="10"/>
  <c r="J27" i="10"/>
  <c r="O26" i="10"/>
  <c r="E26" i="10"/>
  <c r="J25" i="10"/>
  <c r="O21" i="10"/>
  <c r="E21" i="10"/>
  <c r="J20" i="10"/>
  <c r="O19" i="10"/>
  <c r="E19" i="10"/>
  <c r="J18" i="10"/>
  <c r="O17" i="10"/>
  <c r="E17" i="10"/>
  <c r="J16" i="10"/>
  <c r="O15" i="10"/>
  <c r="E15" i="10"/>
  <c r="J14" i="10"/>
  <c r="B88" i="6"/>
  <c r="B84" i="6"/>
  <c r="M31" i="10"/>
  <c r="B28" i="10"/>
  <c r="G25" i="10"/>
  <c r="M19" i="10"/>
  <c r="B17" i="10"/>
  <c r="G14" i="10"/>
  <c r="B90" i="6"/>
  <c r="B72" i="6"/>
  <c r="B68" i="6"/>
  <c r="B64" i="6"/>
  <c r="G30" i="10"/>
  <c r="G27" i="10"/>
  <c r="M21" i="10"/>
  <c r="B19" i="10"/>
  <c r="G16" i="10"/>
  <c r="B89" i="6"/>
  <c r="B78" i="6"/>
  <c r="B77" i="6"/>
  <c r="B76" i="6"/>
  <c r="B73" i="6"/>
  <c r="B65" i="6"/>
  <c r="B61" i="6"/>
  <c r="B57" i="6"/>
  <c r="G29" i="10"/>
  <c r="M26" i="10"/>
  <c r="B21" i="10"/>
  <c r="G18" i="10"/>
  <c r="M15" i="10"/>
  <c r="B86" i="6"/>
  <c r="B74" i="6"/>
  <c r="B66" i="6"/>
  <c r="B62" i="6"/>
  <c r="M28" i="10"/>
  <c r="B15" i="10"/>
  <c r="B63" i="6"/>
  <c r="B56" i="6"/>
  <c r="B52" i="6"/>
  <c r="B44" i="6"/>
  <c r="B40" i="6"/>
  <c r="B32" i="6"/>
  <c r="B28" i="6"/>
  <c r="B24" i="6"/>
  <c r="B20" i="6"/>
  <c r="B12" i="6"/>
  <c r="B8" i="6"/>
  <c r="B26" i="10"/>
  <c r="B67" i="6"/>
  <c r="B53" i="6"/>
  <c r="B45" i="6"/>
  <c r="B41" i="6"/>
  <c r="B33" i="6"/>
  <c r="B29" i="6"/>
  <c r="B21" i="6"/>
  <c r="B17" i="6"/>
  <c r="B13" i="6"/>
  <c r="B9" i="6"/>
  <c r="G20" i="10"/>
  <c r="B75" i="6"/>
  <c r="B54" i="6"/>
  <c r="B50" i="6"/>
  <c r="B46" i="6"/>
  <c r="B42" i="6"/>
  <c r="B34" i="6"/>
  <c r="B30" i="6"/>
  <c r="B22" i="6"/>
  <c r="B18" i="6"/>
  <c r="B10" i="6"/>
  <c r="B6" i="6"/>
  <c r="M17" i="10"/>
  <c r="B39" i="6"/>
  <c r="B35" i="6"/>
  <c r="B85" i="6"/>
  <c r="B43" i="6"/>
  <c r="B19" i="6"/>
  <c r="B51" i="6"/>
  <c r="B23" i="6"/>
  <c r="B7" i="6"/>
  <c r="B55" i="6"/>
  <c r="B11" i="6"/>
  <c r="B31" i="6"/>
  <c r="E14" i="7"/>
  <c r="B8" i="9" s="1"/>
  <c r="E15" i="7"/>
  <c r="B24" i="9" s="1"/>
  <c r="C17" i="7"/>
  <c r="C14" i="7"/>
  <c r="E17" i="7"/>
  <c r="C15" i="7"/>
  <c r="E16" i="7"/>
  <c r="B16" i="9" s="1"/>
  <c r="C16" i="7"/>
  <c r="G7" i="7" l="1"/>
  <c r="G8" i="7"/>
  <c r="G6" i="7"/>
  <c r="G10" i="7"/>
  <c r="B23" i="9"/>
  <c r="C20" i="7"/>
  <c r="G15" i="7"/>
  <c r="I55" i="6"/>
  <c r="E55" i="6"/>
  <c r="A55" i="6"/>
  <c r="H55" i="6"/>
  <c r="D55" i="6"/>
  <c r="K55" i="6"/>
  <c r="G55" i="6"/>
  <c r="C55" i="6"/>
  <c r="J55" i="6"/>
  <c r="F55" i="6"/>
  <c r="I19" i="6"/>
  <c r="E19" i="6"/>
  <c r="A19" i="6"/>
  <c r="H19" i="6"/>
  <c r="D19" i="6"/>
  <c r="K19" i="6"/>
  <c r="G19" i="6"/>
  <c r="C19" i="6"/>
  <c r="F19" i="6"/>
  <c r="J19" i="6"/>
  <c r="I39" i="6"/>
  <c r="E39" i="6"/>
  <c r="A39" i="6"/>
  <c r="H39" i="6"/>
  <c r="D39" i="6"/>
  <c r="K39" i="6"/>
  <c r="G39" i="6"/>
  <c r="C39" i="6"/>
  <c r="J39" i="6"/>
  <c r="F39" i="6"/>
  <c r="H18" i="6"/>
  <c r="D18" i="6"/>
  <c r="K18" i="6"/>
  <c r="G18" i="6"/>
  <c r="C18" i="6"/>
  <c r="J18" i="6"/>
  <c r="F18" i="6"/>
  <c r="A18" i="6"/>
  <c r="I18" i="6"/>
  <c r="E18" i="6"/>
  <c r="H42" i="6"/>
  <c r="D42" i="6"/>
  <c r="K42" i="6"/>
  <c r="G42" i="6"/>
  <c r="C42" i="6"/>
  <c r="J42" i="6"/>
  <c r="F42" i="6"/>
  <c r="A42" i="6"/>
  <c r="I42" i="6"/>
  <c r="E42" i="6"/>
  <c r="J75" i="6"/>
  <c r="I75" i="6"/>
  <c r="E75" i="6"/>
  <c r="A75" i="6"/>
  <c r="H75" i="6"/>
  <c r="D75" i="6"/>
  <c r="G75" i="6"/>
  <c r="C75" i="6"/>
  <c r="K75" i="6"/>
  <c r="F75" i="6"/>
  <c r="K17" i="6"/>
  <c r="G17" i="6"/>
  <c r="C17" i="6"/>
  <c r="J17" i="6"/>
  <c r="F17" i="6"/>
  <c r="I17" i="6"/>
  <c r="E17" i="6"/>
  <c r="A17" i="6"/>
  <c r="H17" i="6"/>
  <c r="D17" i="6"/>
  <c r="K41" i="6"/>
  <c r="G41" i="6"/>
  <c r="C41" i="6"/>
  <c r="J41" i="6"/>
  <c r="F41" i="6"/>
  <c r="I41" i="6"/>
  <c r="E41" i="6"/>
  <c r="A41" i="6"/>
  <c r="H41" i="6"/>
  <c r="D41" i="6"/>
  <c r="J24" i="6"/>
  <c r="F24" i="6"/>
  <c r="I24" i="6"/>
  <c r="E24" i="6"/>
  <c r="A24" i="6"/>
  <c r="H24" i="6"/>
  <c r="D24" i="6"/>
  <c r="K24" i="6"/>
  <c r="G24" i="6"/>
  <c r="C24" i="6"/>
  <c r="J44" i="6"/>
  <c r="F44" i="6"/>
  <c r="I44" i="6"/>
  <c r="E44" i="6"/>
  <c r="A44" i="6"/>
  <c r="H44" i="6"/>
  <c r="D44" i="6"/>
  <c r="K44" i="6"/>
  <c r="G44" i="6"/>
  <c r="C44" i="6"/>
  <c r="H74" i="6"/>
  <c r="D74" i="6"/>
  <c r="K74" i="6"/>
  <c r="G74" i="6"/>
  <c r="C74" i="6"/>
  <c r="J74" i="6"/>
  <c r="F74" i="6"/>
  <c r="E74" i="6"/>
  <c r="A74" i="6"/>
  <c r="I74" i="6"/>
  <c r="K61" i="6"/>
  <c r="G61" i="6"/>
  <c r="C61" i="6"/>
  <c r="J61" i="6"/>
  <c r="F61" i="6"/>
  <c r="I61" i="6"/>
  <c r="E61" i="6"/>
  <c r="A61" i="6"/>
  <c r="H61" i="6"/>
  <c r="D61" i="6"/>
  <c r="H77" i="6"/>
  <c r="D77" i="6"/>
  <c r="I77" i="6"/>
  <c r="C77" i="6"/>
  <c r="G77" i="6"/>
  <c r="K77" i="6"/>
  <c r="F77" i="6"/>
  <c r="A77" i="6"/>
  <c r="J77" i="6"/>
  <c r="E77" i="6"/>
  <c r="J64" i="6"/>
  <c r="F64" i="6"/>
  <c r="I64" i="6"/>
  <c r="E64" i="6"/>
  <c r="A64" i="6"/>
  <c r="H64" i="6"/>
  <c r="D64" i="6"/>
  <c r="G64" i="6"/>
  <c r="C64" i="6"/>
  <c r="K64" i="6"/>
  <c r="B32" i="9"/>
  <c r="E20" i="7"/>
  <c r="I7" i="6"/>
  <c r="E7" i="6"/>
  <c r="A7" i="6"/>
  <c r="H7" i="6"/>
  <c r="D7" i="6"/>
  <c r="K7" i="6"/>
  <c r="G7" i="6"/>
  <c r="C7" i="6"/>
  <c r="J7" i="6"/>
  <c r="F7" i="6"/>
  <c r="I43" i="6"/>
  <c r="E43" i="6"/>
  <c r="A43" i="6"/>
  <c r="H43" i="6"/>
  <c r="D43" i="6"/>
  <c r="K43" i="6"/>
  <c r="G43" i="6"/>
  <c r="C43" i="6"/>
  <c r="F43" i="6"/>
  <c r="J43" i="6"/>
  <c r="H22" i="6"/>
  <c r="D22" i="6"/>
  <c r="K22" i="6"/>
  <c r="G22" i="6"/>
  <c r="C22" i="6"/>
  <c r="J22" i="6"/>
  <c r="F22" i="6"/>
  <c r="E22" i="6"/>
  <c r="A22" i="6"/>
  <c r="I22" i="6"/>
  <c r="H46" i="6"/>
  <c r="D46" i="6"/>
  <c r="K46" i="6"/>
  <c r="G46" i="6"/>
  <c r="C46" i="6"/>
  <c r="J46" i="6"/>
  <c r="F46" i="6"/>
  <c r="E46" i="6"/>
  <c r="A46" i="6"/>
  <c r="I46" i="6"/>
  <c r="K21" i="6"/>
  <c r="G21" i="6"/>
  <c r="C21" i="6"/>
  <c r="J21" i="6"/>
  <c r="F21" i="6"/>
  <c r="I21" i="6"/>
  <c r="E21" i="6"/>
  <c r="A21" i="6"/>
  <c r="H21" i="6"/>
  <c r="D21" i="6"/>
  <c r="K45" i="6"/>
  <c r="G45" i="6"/>
  <c r="C45" i="6"/>
  <c r="J45" i="6"/>
  <c r="F45" i="6"/>
  <c r="I45" i="6"/>
  <c r="E45" i="6"/>
  <c r="A45" i="6"/>
  <c r="H45" i="6"/>
  <c r="D45" i="6"/>
  <c r="J8" i="6"/>
  <c r="F8" i="6"/>
  <c r="I8" i="6"/>
  <c r="E8" i="6"/>
  <c r="A8" i="6"/>
  <c r="H8" i="6"/>
  <c r="D8" i="6"/>
  <c r="K8" i="6"/>
  <c r="G8" i="6"/>
  <c r="C8" i="6"/>
  <c r="J28" i="6"/>
  <c r="F28" i="6"/>
  <c r="I28" i="6"/>
  <c r="E28" i="6"/>
  <c r="A28" i="6"/>
  <c r="H28" i="6"/>
  <c r="D28" i="6"/>
  <c r="K28" i="6"/>
  <c r="G28" i="6"/>
  <c r="C28" i="6"/>
  <c r="J52" i="6"/>
  <c r="F52" i="6"/>
  <c r="I52" i="6"/>
  <c r="E52" i="6"/>
  <c r="A52" i="6"/>
  <c r="H52" i="6"/>
  <c r="D52" i="6"/>
  <c r="K52" i="6"/>
  <c r="G52" i="6"/>
  <c r="C52" i="6"/>
  <c r="I86" i="6"/>
  <c r="E86" i="6"/>
  <c r="A86" i="6"/>
  <c r="H86" i="6"/>
  <c r="D86" i="6"/>
  <c r="F86" i="6"/>
  <c r="K86" i="6"/>
  <c r="C86" i="6"/>
  <c r="J86" i="6"/>
  <c r="G86" i="6"/>
  <c r="K65" i="6"/>
  <c r="G65" i="6"/>
  <c r="C65" i="6"/>
  <c r="J65" i="6"/>
  <c r="F65" i="6"/>
  <c r="I65" i="6"/>
  <c r="E65" i="6"/>
  <c r="A65" i="6"/>
  <c r="H65" i="6"/>
  <c r="D65" i="6"/>
  <c r="I78" i="6"/>
  <c r="E78" i="6"/>
  <c r="A78" i="6"/>
  <c r="H78" i="6"/>
  <c r="C78" i="6"/>
  <c r="G78" i="6"/>
  <c r="K78" i="6"/>
  <c r="F78" i="6"/>
  <c r="J78" i="6"/>
  <c r="D78" i="6"/>
  <c r="J68" i="6"/>
  <c r="F68" i="6"/>
  <c r="I68" i="6"/>
  <c r="E68" i="6"/>
  <c r="A68" i="6"/>
  <c r="H68" i="6"/>
  <c r="D68" i="6"/>
  <c r="K68" i="6"/>
  <c r="G68" i="6"/>
  <c r="C68" i="6"/>
  <c r="J79" i="6"/>
  <c r="F79" i="6"/>
  <c r="H79" i="6"/>
  <c r="C79" i="6"/>
  <c r="G79" i="6"/>
  <c r="A79" i="6"/>
  <c r="K79" i="6"/>
  <c r="E79" i="6"/>
  <c r="I79" i="6"/>
  <c r="D79" i="6"/>
  <c r="B15" i="9"/>
  <c r="E19" i="7"/>
  <c r="H12" i="9" s="1"/>
  <c r="G16" i="7"/>
  <c r="B7" i="9"/>
  <c r="C19" i="7"/>
  <c r="G14" i="7"/>
  <c r="I31" i="6"/>
  <c r="E31" i="6"/>
  <c r="A31" i="6"/>
  <c r="H31" i="6"/>
  <c r="D31" i="6"/>
  <c r="K31" i="6"/>
  <c r="G31" i="6"/>
  <c r="C31" i="6"/>
  <c r="J31" i="6"/>
  <c r="F31" i="6"/>
  <c r="I23" i="6"/>
  <c r="E23" i="6"/>
  <c r="A23" i="6"/>
  <c r="H23" i="6"/>
  <c r="D23" i="6"/>
  <c r="K23" i="6"/>
  <c r="G23" i="6"/>
  <c r="C23" i="6"/>
  <c r="J23" i="6"/>
  <c r="F23" i="6"/>
  <c r="H85" i="6"/>
  <c r="D85" i="6"/>
  <c r="K85" i="6"/>
  <c r="G85" i="6"/>
  <c r="C85" i="6"/>
  <c r="I85" i="6"/>
  <c r="A85" i="6"/>
  <c r="F85" i="6"/>
  <c r="E85" i="6"/>
  <c r="J85" i="6"/>
  <c r="H6" i="6"/>
  <c r="D6" i="6"/>
  <c r="K6" i="6"/>
  <c r="G6" i="6"/>
  <c r="C6" i="6"/>
  <c r="J6" i="6"/>
  <c r="F6" i="6"/>
  <c r="E6" i="6"/>
  <c r="A6" i="6"/>
  <c r="I6" i="6"/>
  <c r="H30" i="6"/>
  <c r="D30" i="6"/>
  <c r="K30" i="6"/>
  <c r="G30" i="6"/>
  <c r="C30" i="6"/>
  <c r="J30" i="6"/>
  <c r="F30" i="6"/>
  <c r="I30" i="6"/>
  <c r="E30" i="6"/>
  <c r="A30" i="6"/>
  <c r="H50" i="6"/>
  <c r="D50" i="6"/>
  <c r="K50" i="6"/>
  <c r="G50" i="6"/>
  <c r="C50" i="6"/>
  <c r="J50" i="6"/>
  <c r="F50" i="6"/>
  <c r="E50" i="6"/>
  <c r="A50" i="6"/>
  <c r="I50" i="6"/>
  <c r="K9" i="6"/>
  <c r="G9" i="6"/>
  <c r="C9" i="6"/>
  <c r="J9" i="6"/>
  <c r="F9" i="6"/>
  <c r="I9" i="6"/>
  <c r="E9" i="6"/>
  <c r="A9" i="6"/>
  <c r="D9" i="6"/>
  <c r="H9" i="6"/>
  <c r="K29" i="6"/>
  <c r="G29" i="6"/>
  <c r="C29" i="6"/>
  <c r="J29" i="6"/>
  <c r="F29" i="6"/>
  <c r="I29" i="6"/>
  <c r="E29" i="6"/>
  <c r="A29" i="6"/>
  <c r="D29" i="6"/>
  <c r="H29" i="6"/>
  <c r="K53" i="6"/>
  <c r="G53" i="6"/>
  <c r="C53" i="6"/>
  <c r="J53" i="6"/>
  <c r="F53" i="6"/>
  <c r="I53" i="6"/>
  <c r="E53" i="6"/>
  <c r="A53" i="6"/>
  <c r="D53" i="6"/>
  <c r="H53" i="6"/>
  <c r="J12" i="6"/>
  <c r="F12" i="6"/>
  <c r="I12" i="6"/>
  <c r="E12" i="6"/>
  <c r="A12" i="6"/>
  <c r="H12" i="6"/>
  <c r="D12" i="6"/>
  <c r="C12" i="6"/>
  <c r="K12" i="6"/>
  <c r="G12" i="6"/>
  <c r="J32" i="6"/>
  <c r="F32" i="6"/>
  <c r="I32" i="6"/>
  <c r="E32" i="6"/>
  <c r="A32" i="6"/>
  <c r="H32" i="6"/>
  <c r="D32" i="6"/>
  <c r="C32" i="6"/>
  <c r="K32" i="6"/>
  <c r="G32" i="6"/>
  <c r="J56" i="6"/>
  <c r="F56" i="6"/>
  <c r="G56" i="6"/>
  <c r="K56" i="6"/>
  <c r="E56" i="6"/>
  <c r="A56" i="6"/>
  <c r="I56" i="6"/>
  <c r="D56" i="6"/>
  <c r="C56" i="6"/>
  <c r="H56" i="6"/>
  <c r="H62" i="6"/>
  <c r="D62" i="6"/>
  <c r="K62" i="6"/>
  <c r="G62" i="6"/>
  <c r="C62" i="6"/>
  <c r="J62" i="6"/>
  <c r="F62" i="6"/>
  <c r="I62" i="6"/>
  <c r="E62" i="6"/>
  <c r="A62" i="6"/>
  <c r="K73" i="6"/>
  <c r="G73" i="6"/>
  <c r="C73" i="6"/>
  <c r="J73" i="6"/>
  <c r="F73" i="6"/>
  <c r="I73" i="6"/>
  <c r="E73" i="6"/>
  <c r="A73" i="6"/>
  <c r="H73" i="6"/>
  <c r="D73" i="6"/>
  <c r="H89" i="6"/>
  <c r="D89" i="6"/>
  <c r="K89" i="6"/>
  <c r="G89" i="6"/>
  <c r="C89" i="6"/>
  <c r="E89" i="6"/>
  <c r="J89" i="6"/>
  <c r="I89" i="6"/>
  <c r="A89" i="6"/>
  <c r="F89" i="6"/>
  <c r="J72" i="6"/>
  <c r="F72" i="6"/>
  <c r="I72" i="6"/>
  <c r="E72" i="6"/>
  <c r="A72" i="6"/>
  <c r="H72" i="6"/>
  <c r="D72" i="6"/>
  <c r="K72" i="6"/>
  <c r="G72" i="6"/>
  <c r="C72" i="6"/>
  <c r="K84" i="6"/>
  <c r="G84" i="6"/>
  <c r="C84" i="6"/>
  <c r="J84" i="6"/>
  <c r="F84" i="6"/>
  <c r="D84" i="6"/>
  <c r="I84" i="6"/>
  <c r="A84" i="6"/>
  <c r="H84" i="6"/>
  <c r="E84" i="6"/>
  <c r="J83" i="6"/>
  <c r="F83" i="6"/>
  <c r="I83" i="6"/>
  <c r="G83" i="6"/>
  <c r="A83" i="6"/>
  <c r="E83" i="6"/>
  <c r="K83" i="6"/>
  <c r="D83" i="6"/>
  <c r="H83" i="6"/>
  <c r="C83" i="6"/>
  <c r="B31" i="9"/>
  <c r="G17" i="7"/>
  <c r="I11" i="6"/>
  <c r="E11" i="6"/>
  <c r="A11" i="6"/>
  <c r="H11" i="6"/>
  <c r="D11" i="6"/>
  <c r="K11" i="6"/>
  <c r="G11" i="6"/>
  <c r="C11" i="6"/>
  <c r="J11" i="6"/>
  <c r="F11" i="6"/>
  <c r="I51" i="6"/>
  <c r="E51" i="6"/>
  <c r="A51" i="6"/>
  <c r="H51" i="6"/>
  <c r="D51" i="6"/>
  <c r="K51" i="6"/>
  <c r="G51" i="6"/>
  <c r="C51" i="6"/>
  <c r="J51" i="6"/>
  <c r="F51" i="6"/>
  <c r="I35" i="6"/>
  <c r="E35" i="6"/>
  <c r="A35" i="6"/>
  <c r="H35" i="6"/>
  <c r="D35" i="6"/>
  <c r="K35" i="6"/>
  <c r="G35" i="6"/>
  <c r="C35" i="6"/>
  <c r="J35" i="6"/>
  <c r="F35" i="6"/>
  <c r="H10" i="6"/>
  <c r="D10" i="6"/>
  <c r="K10" i="6"/>
  <c r="G10" i="6"/>
  <c r="C10" i="6"/>
  <c r="J10" i="6"/>
  <c r="F10" i="6"/>
  <c r="I10" i="6"/>
  <c r="E10" i="6"/>
  <c r="A10" i="6"/>
  <c r="H34" i="6"/>
  <c r="D34" i="6"/>
  <c r="K34" i="6"/>
  <c r="G34" i="6"/>
  <c r="C34" i="6"/>
  <c r="J34" i="6"/>
  <c r="F34" i="6"/>
  <c r="I34" i="6"/>
  <c r="E34" i="6"/>
  <c r="A34" i="6"/>
  <c r="H54" i="6"/>
  <c r="D54" i="6"/>
  <c r="K54" i="6"/>
  <c r="G54" i="6"/>
  <c r="C54" i="6"/>
  <c r="J54" i="6"/>
  <c r="F54" i="6"/>
  <c r="I54" i="6"/>
  <c r="E54" i="6"/>
  <c r="A54" i="6"/>
  <c r="K13" i="6"/>
  <c r="G13" i="6"/>
  <c r="C13" i="6"/>
  <c r="J13" i="6"/>
  <c r="F13" i="6"/>
  <c r="I13" i="6"/>
  <c r="E13" i="6"/>
  <c r="A13" i="6"/>
  <c r="H13" i="6"/>
  <c r="D13" i="6"/>
  <c r="K33" i="6"/>
  <c r="G33" i="6"/>
  <c r="C33" i="6"/>
  <c r="J33" i="6"/>
  <c r="F33" i="6"/>
  <c r="I33" i="6"/>
  <c r="E33" i="6"/>
  <c r="A33" i="6"/>
  <c r="H33" i="6"/>
  <c r="D33" i="6"/>
  <c r="I67" i="6"/>
  <c r="E67" i="6"/>
  <c r="A67" i="6"/>
  <c r="H67" i="6"/>
  <c r="D67" i="6"/>
  <c r="K67" i="6"/>
  <c r="G67" i="6"/>
  <c r="C67" i="6"/>
  <c r="F67" i="6"/>
  <c r="J67" i="6"/>
  <c r="J20" i="6"/>
  <c r="F20" i="6"/>
  <c r="I20" i="6"/>
  <c r="E20" i="6"/>
  <c r="A20" i="6"/>
  <c r="H20" i="6"/>
  <c r="D20" i="6"/>
  <c r="K20" i="6"/>
  <c r="G20" i="6"/>
  <c r="C20" i="6"/>
  <c r="J40" i="6"/>
  <c r="F40" i="6"/>
  <c r="I40" i="6"/>
  <c r="E40" i="6"/>
  <c r="A40" i="6"/>
  <c r="H40" i="6"/>
  <c r="D40" i="6"/>
  <c r="G40" i="6"/>
  <c r="C40" i="6"/>
  <c r="K40" i="6"/>
  <c r="I63" i="6"/>
  <c r="E63" i="6"/>
  <c r="A63" i="6"/>
  <c r="H63" i="6"/>
  <c r="D63" i="6"/>
  <c r="K63" i="6"/>
  <c r="G63" i="6"/>
  <c r="C63" i="6"/>
  <c r="J63" i="6"/>
  <c r="F63" i="6"/>
  <c r="H66" i="6"/>
  <c r="D66" i="6"/>
  <c r="K66" i="6"/>
  <c r="G66" i="6"/>
  <c r="C66" i="6"/>
  <c r="J66" i="6"/>
  <c r="F66" i="6"/>
  <c r="A66" i="6"/>
  <c r="I66" i="6"/>
  <c r="E66" i="6"/>
  <c r="K57" i="6"/>
  <c r="G57" i="6"/>
  <c r="C57" i="6"/>
  <c r="J57" i="6"/>
  <c r="F57" i="6"/>
  <c r="I57" i="6"/>
  <c r="E57" i="6"/>
  <c r="A57" i="6"/>
  <c r="D57" i="6"/>
  <c r="H57" i="6"/>
  <c r="K76" i="6"/>
  <c r="G76" i="6"/>
  <c r="C76" i="6"/>
  <c r="I76" i="6"/>
  <c r="D76" i="6"/>
  <c r="H76" i="6"/>
  <c r="F76" i="6"/>
  <c r="A76" i="6"/>
  <c r="J76" i="6"/>
  <c r="E76" i="6"/>
  <c r="I90" i="6"/>
  <c r="E90" i="6"/>
  <c r="A90" i="6"/>
  <c r="H90" i="6"/>
  <c r="D90" i="6"/>
  <c r="J90" i="6"/>
  <c r="G90" i="6"/>
  <c r="F90" i="6"/>
  <c r="C90" i="6"/>
  <c r="K90" i="6"/>
  <c r="K88" i="6"/>
  <c r="G88" i="6"/>
  <c r="C88" i="6"/>
  <c r="J88" i="6"/>
  <c r="F88" i="6"/>
  <c r="H88" i="6"/>
  <c r="E88" i="6"/>
  <c r="D88" i="6"/>
  <c r="I88" i="6"/>
  <c r="A88" i="6"/>
  <c r="J87" i="6"/>
  <c r="F87" i="6"/>
  <c r="I87" i="6"/>
  <c r="E87" i="6"/>
  <c r="A87" i="6"/>
  <c r="K87" i="6"/>
  <c r="C87" i="6"/>
  <c r="H87" i="6"/>
  <c r="G87" i="6"/>
  <c r="D87" i="6"/>
  <c r="H11" i="9" l="1"/>
  <c r="C22" i="7"/>
  <c r="G19" i="7"/>
  <c r="H27" i="9"/>
  <c r="G20" i="7"/>
  <c r="H28" i="9"/>
  <c r="E22" i="7"/>
  <c r="K5" i="10" l="1"/>
  <c r="N20" i="9"/>
  <c r="K4" i="10"/>
  <c r="T19" i="9"/>
  <c r="N19" i="9"/>
  <c r="G22" i="7"/>
  <c r="K8" i="10" s="1"/>
  <c r="J37" i="10" a="1"/>
  <c r="J37" i="1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tc={FC999688-F2CA-4A10-AF04-A4092C563BB4}</author>
  </authors>
  <commentList>
    <comment ref="C6" authorId="0" shapeId="0" xr:uid="{FC999688-F2CA-4A10-AF04-A4092C563BB4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will change automatically when you select a different format in Setup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<sst xmlns="http://schemas.openxmlformats.org/spreadsheetml/2006/main" count="653" uniqueCount="415">
  <si>
    <t>COMPETITION CONTROL CENTRE</t>
  </si>
  <si>
    <t>Run the competition from here. Enter data only in the pale yellow cells on Setup, Teams, Scores and Finals.</t>
  </si>
  <si>
    <t>COMPETITION</t>
  </si>
  <si>
    <t>STRUCTURE</t>
  </si>
  <si>
    <t>POOL MATCHES</t>
  </si>
  <si>
    <t>COMPLETED</t>
  </si>
  <si>
    <t>POOL STAGE PROGRESS</t>
  </si>
  <si>
    <t>Progress</t>
  </si>
  <si>
    <t>CURRENT STATUS</t>
  </si>
  <si>
    <t>Stage</t>
  </si>
  <si>
    <t>Next action</t>
  </si>
  <si>
    <t>WORKFLOW — FOLLOW THESE FIVE STEPS</t>
  </si>
  <si>
    <t>1. Set up competition</t>
  </si>
  <si>
    <t>Ready ✓</t>
  </si>
  <si>
    <t>GO TO SETUP →</t>
  </si>
  <si>
    <t>2. Enter teams</t>
  </si>
  <si>
    <t>GO TO TEAMS →</t>
  </si>
  <si>
    <t>3. Enter results</t>
  </si>
  <si>
    <t>GO TO SCORES →</t>
  </si>
  <si>
    <t>4. View pool tables</t>
  </si>
  <si>
    <t>GO TO POOL TABLES →</t>
  </si>
  <si>
    <t>5. Run finals</t>
  </si>
  <si>
    <t>GO TO FINALS →</t>
  </si>
  <si>
    <t>STEP 1 — COMPETITION SETUP</t>
  </si>
  <si>
    <t>FINALS CONFIGURATION</t>
  </si>
  <si>
    <t>Complete the yellow cells. Default scoring values can be left unchanged if they suit your competition.</t>
  </si>
  <si>
    <t>Finals are generated automatically from pools and qualifiers.</t>
  </si>
  <si>
    <t>Competition Name</t>
  </si>
  <si>
    <t>Finals Mode</t>
  </si>
  <si>
    <t>Automatic</t>
  </si>
  <si>
    <t>Sport / Format</t>
  </si>
  <si>
    <t>Finalists</t>
  </si>
  <si>
    <t>Number of Pools</t>
  </si>
  <si>
    <t>Finals Structure</t>
  </si>
  <si>
    <t>Teams per Pool</t>
  </si>
  <si>
    <t>Third-place playoff?</t>
  </si>
  <si>
    <t>No</t>
  </si>
  <si>
    <t>Teams Qualifying per Pool</t>
  </si>
  <si>
    <t>Pairing Rule</t>
  </si>
  <si>
    <t>Adjacent pool crossover</t>
  </si>
  <si>
    <t>Standard scoring</t>
  </si>
  <si>
    <t>Supported automatic finals: 2, 4, 8 or 16 finalists, using 1 or 2 qualifiers per pool.</t>
  </si>
  <si>
    <t>Win Points</t>
  </si>
  <si>
    <t>Draw Points</t>
  </si>
  <si>
    <t>Loss Points</t>
  </si>
  <si>
    <t>Automatic calculations are built in below — no input required</t>
  </si>
  <si>
    <t>Matches per Pool</t>
  </si>
  <si>
    <t>Max Pools</t>
  </si>
  <si>
    <t>Max Teams per Pool</t>
  </si>
  <si>
    <t>Pool List</t>
  </si>
  <si>
    <t>Pool No</t>
  </si>
  <si>
    <t>Pool Letter</t>
  </si>
  <si>
    <t>Active?</t>
  </si>
  <si>
    <t>A</t>
  </si>
  <si>
    <t>B</t>
  </si>
  <si>
    <t>C</t>
  </si>
  <si>
    <t>D</t>
  </si>
  <si>
    <t>E</t>
  </si>
  <si>
    <t>F</t>
  </si>
  <si>
    <t>G</t>
  </si>
  <si>
    <t>H</t>
  </si>
  <si>
    <t>Advanced scoring (optional)</t>
  </si>
  <si>
    <t>Try / Bonus Metric Threshold</t>
  </si>
  <si>
    <t>Try / Metric Bonus Points</t>
  </si>
  <si>
    <t>Losing Bonus Margin</t>
  </si>
  <si>
    <t>Losing Bonus Points</t>
  </si>
  <si>
    <t>BP Override Allowed?</t>
  </si>
  <si>
    <t>Ranking tie-break order</t>
  </si>
  <si>
    <t>Pts, Wins, Diff, For, BP, Slot</t>
  </si>
  <si>
    <t>Next step</t>
  </si>
  <si>
    <t>STEP 2 — Replace the sample names in yellow cells. Inactive slots are ignored automatically; no rows need to be hidden.</t>
  </si>
  <si>
    <t>Pool</t>
  </si>
  <si>
    <t>Slot</t>
  </si>
  <si>
    <t>Code</t>
  </si>
  <si>
    <t>Team Name</t>
  </si>
  <si>
    <t>Pool-Slot Key</t>
  </si>
  <si>
    <t>Status</t>
  </si>
  <si>
    <t>A1</t>
  </si>
  <si>
    <t>Team A1</t>
  </si>
  <si>
    <t>A-1</t>
  </si>
  <si>
    <t>A2</t>
  </si>
  <si>
    <t>Team A2</t>
  </si>
  <si>
    <t>A-2</t>
  </si>
  <si>
    <t>A3</t>
  </si>
  <si>
    <t>Team A3</t>
  </si>
  <si>
    <t>A-3</t>
  </si>
  <si>
    <t>A4</t>
  </si>
  <si>
    <t>Team A4</t>
  </si>
  <si>
    <t>A-4</t>
  </si>
  <si>
    <t>A5</t>
  </si>
  <si>
    <t>Team A5</t>
  </si>
  <si>
    <t>A-5</t>
  </si>
  <si>
    <t>A6</t>
  </si>
  <si>
    <t>Team A6</t>
  </si>
  <si>
    <t>A-6</t>
  </si>
  <si>
    <t>A7</t>
  </si>
  <si>
    <t>Team A7</t>
  </si>
  <si>
    <t>A-7</t>
  </si>
  <si>
    <t>A8</t>
  </si>
  <si>
    <t>Team A8</t>
  </si>
  <si>
    <t>A-8</t>
  </si>
  <si>
    <t>B1</t>
  </si>
  <si>
    <t>Team B1</t>
  </si>
  <si>
    <t>B-1</t>
  </si>
  <si>
    <t>B2</t>
  </si>
  <si>
    <t>Team B2</t>
  </si>
  <si>
    <t>B-2</t>
  </si>
  <si>
    <t>B3</t>
  </si>
  <si>
    <t>Team B3</t>
  </si>
  <si>
    <t>B-3</t>
  </si>
  <si>
    <t>B4</t>
  </si>
  <si>
    <t>Team B4</t>
  </si>
  <si>
    <t>B-4</t>
  </si>
  <si>
    <t>B5</t>
  </si>
  <si>
    <t>Team B5</t>
  </si>
  <si>
    <t>B-5</t>
  </si>
  <si>
    <t>B6</t>
  </si>
  <si>
    <t>Team B6</t>
  </si>
  <si>
    <t>B-6</t>
  </si>
  <si>
    <t>B7</t>
  </si>
  <si>
    <t>Team B7</t>
  </si>
  <si>
    <t>B-7</t>
  </si>
  <si>
    <t>B8</t>
  </si>
  <si>
    <t>Team B8</t>
  </si>
  <si>
    <t>B-8</t>
  </si>
  <si>
    <t>C1</t>
  </si>
  <si>
    <t>Team C1</t>
  </si>
  <si>
    <t>C-1</t>
  </si>
  <si>
    <t>C2</t>
  </si>
  <si>
    <t>Team C2</t>
  </si>
  <si>
    <t>C-2</t>
  </si>
  <si>
    <t>C3</t>
  </si>
  <si>
    <t>Team C3</t>
  </si>
  <si>
    <t>C-3</t>
  </si>
  <si>
    <t>C4</t>
  </si>
  <si>
    <t>Team C4</t>
  </si>
  <si>
    <t>C-4</t>
  </si>
  <si>
    <t>C5</t>
  </si>
  <si>
    <t>Team C5</t>
  </si>
  <si>
    <t>C-5</t>
  </si>
  <si>
    <t>C6</t>
  </si>
  <si>
    <t>Team C6</t>
  </si>
  <si>
    <t>C-6</t>
  </si>
  <si>
    <t>C7</t>
  </si>
  <si>
    <t>Team C7</t>
  </si>
  <si>
    <t>C-7</t>
  </si>
  <si>
    <t>C8</t>
  </si>
  <si>
    <t>Team C8</t>
  </si>
  <si>
    <t>C-8</t>
  </si>
  <si>
    <t>D1</t>
  </si>
  <si>
    <t>Team D1</t>
  </si>
  <si>
    <t>D-1</t>
  </si>
  <si>
    <t>D2</t>
  </si>
  <si>
    <t>Team D2</t>
  </si>
  <si>
    <t>D-2</t>
  </si>
  <si>
    <t>D3</t>
  </si>
  <si>
    <t>Team D3</t>
  </si>
  <si>
    <t>D-3</t>
  </si>
  <si>
    <t>D4</t>
  </si>
  <si>
    <t>Team D4</t>
  </si>
  <si>
    <t>D-4</t>
  </si>
  <si>
    <t>D5</t>
  </si>
  <si>
    <t>Team D5</t>
  </si>
  <si>
    <t>D-5</t>
  </si>
  <si>
    <t>D6</t>
  </si>
  <si>
    <t>Team D6</t>
  </si>
  <si>
    <t>D-6</t>
  </si>
  <si>
    <t>D7</t>
  </si>
  <si>
    <t>Team D7</t>
  </si>
  <si>
    <t>D-7</t>
  </si>
  <si>
    <t>D8</t>
  </si>
  <si>
    <t>Team D8</t>
  </si>
  <si>
    <t>D-8</t>
  </si>
  <si>
    <t>E1</t>
  </si>
  <si>
    <t>Team E1</t>
  </si>
  <si>
    <t>E-1</t>
  </si>
  <si>
    <t>E2</t>
  </si>
  <si>
    <t>Team E2</t>
  </si>
  <si>
    <t>E-2</t>
  </si>
  <si>
    <t>E3</t>
  </si>
  <si>
    <t>Team E3</t>
  </si>
  <si>
    <t>E-3</t>
  </si>
  <si>
    <t>E4</t>
  </si>
  <si>
    <t>Team E4</t>
  </si>
  <si>
    <t>E-4</t>
  </si>
  <si>
    <t>E5</t>
  </si>
  <si>
    <t>Team E5</t>
  </si>
  <si>
    <t>E-5</t>
  </si>
  <si>
    <t>E6</t>
  </si>
  <si>
    <t>Team E6</t>
  </si>
  <si>
    <t>E-6</t>
  </si>
  <si>
    <t>E7</t>
  </si>
  <si>
    <t>Team E7</t>
  </si>
  <si>
    <t>E-7</t>
  </si>
  <si>
    <t>E8</t>
  </si>
  <si>
    <t>Team E8</t>
  </si>
  <si>
    <t>E-8</t>
  </si>
  <si>
    <t>F1</t>
  </si>
  <si>
    <t>Team F1</t>
  </si>
  <si>
    <t>F-1</t>
  </si>
  <si>
    <t>F2</t>
  </si>
  <si>
    <t>Team F2</t>
  </si>
  <si>
    <t>F-2</t>
  </si>
  <si>
    <t>F3</t>
  </si>
  <si>
    <t>Team F3</t>
  </si>
  <si>
    <t>F-3</t>
  </si>
  <si>
    <t>F4</t>
  </si>
  <si>
    <t>Team F4</t>
  </si>
  <si>
    <t>F-4</t>
  </si>
  <si>
    <t>F5</t>
  </si>
  <si>
    <t>Team F5</t>
  </si>
  <si>
    <t>F-5</t>
  </si>
  <si>
    <t>F6</t>
  </si>
  <si>
    <t>Team F6</t>
  </si>
  <si>
    <t>F-6</t>
  </si>
  <si>
    <t>F7</t>
  </si>
  <si>
    <t>Team F7</t>
  </si>
  <si>
    <t>F-7</t>
  </si>
  <si>
    <t>F8</t>
  </si>
  <si>
    <t>Team F8</t>
  </si>
  <si>
    <t>F-8</t>
  </si>
  <si>
    <t>G1</t>
  </si>
  <si>
    <t>Team G1</t>
  </si>
  <si>
    <t>G-1</t>
  </si>
  <si>
    <t>G2</t>
  </si>
  <si>
    <t>Team G2</t>
  </si>
  <si>
    <t>G-2</t>
  </si>
  <si>
    <t>G3</t>
  </si>
  <si>
    <t>Team G3</t>
  </si>
  <si>
    <t>G-3</t>
  </si>
  <si>
    <t>G4</t>
  </si>
  <si>
    <t>Team G4</t>
  </si>
  <si>
    <t>G-4</t>
  </si>
  <si>
    <t>G5</t>
  </si>
  <si>
    <t>Team G5</t>
  </si>
  <si>
    <t>G-5</t>
  </si>
  <si>
    <t>G6</t>
  </si>
  <si>
    <t>Team G6</t>
  </si>
  <si>
    <t>G-6</t>
  </si>
  <si>
    <t>G7</t>
  </si>
  <si>
    <t>Team G7</t>
  </si>
  <si>
    <t>G-7</t>
  </si>
  <si>
    <t>G8</t>
  </si>
  <si>
    <t>Team G8</t>
  </si>
  <si>
    <t>G-8</t>
  </si>
  <si>
    <t>H1</t>
  </si>
  <si>
    <t>Team H1</t>
  </si>
  <si>
    <t>H-1</t>
  </si>
  <si>
    <t>H2</t>
  </si>
  <si>
    <t>Team H2</t>
  </si>
  <si>
    <t>H-2</t>
  </si>
  <si>
    <t>H3</t>
  </si>
  <si>
    <t>Team H3</t>
  </si>
  <si>
    <t>H-3</t>
  </si>
  <si>
    <t>H4</t>
  </si>
  <si>
    <t>Team H4</t>
  </si>
  <si>
    <t>H-4</t>
  </si>
  <si>
    <t>H5</t>
  </si>
  <si>
    <t>Team H5</t>
  </si>
  <si>
    <t>H-5</t>
  </si>
  <si>
    <t>H6</t>
  </si>
  <si>
    <t>Team H6</t>
  </si>
  <si>
    <t>H-6</t>
  </si>
  <si>
    <t>H7</t>
  </si>
  <si>
    <t>Team H7</t>
  </si>
  <si>
    <t>H-7</t>
  </si>
  <si>
    <t>H8</t>
  </si>
  <si>
    <t>Team H8</t>
  </si>
  <si>
    <t>H-8</t>
  </si>
  <si>
    <r>
      <t xml:space="preserve">STEP 3 — Enter scores and the bonus metric in yellow cells. Pool C, D and later pools appear automatically when activated in Setup. </t>
    </r>
    <r>
      <rPr>
        <b/>
        <i/>
        <sz val="11"/>
        <rFont val="Carlito"/>
      </rPr>
      <t>Do hide rows not being used.</t>
    </r>
  </si>
  <si>
    <t>Match ID</t>
  </si>
  <si>
    <t>Match No</t>
  </si>
  <si>
    <t>Round</t>
  </si>
  <si>
    <t>Team 1</t>
  </si>
  <si>
    <t>Score</t>
  </si>
  <si>
    <t>Tries</t>
  </si>
  <si>
    <t>BP Override</t>
  </si>
  <si>
    <t>Auto BP</t>
  </si>
  <si>
    <t>Final BP</t>
  </si>
  <si>
    <t>Team 2</t>
  </si>
  <si>
    <t>Slot 1</t>
  </si>
  <si>
    <t>Slot 2</t>
  </si>
  <si>
    <t>Team 1 Win</t>
  </si>
  <si>
    <t>Team 2 Win</t>
  </si>
  <si>
    <t>Draw</t>
  </si>
  <si>
    <t>ENGINE — calculations (no user input required)</t>
  </si>
  <si>
    <t>Team</t>
  </si>
  <si>
    <t>Active</t>
  </si>
  <si>
    <t>P</t>
  </si>
  <si>
    <t>W</t>
  </si>
  <si>
    <t>L</t>
  </si>
  <si>
    <t>For</t>
  </si>
  <si>
    <t>Against</t>
  </si>
  <si>
    <t>Diff</t>
  </si>
  <si>
    <t>BP</t>
  </si>
  <si>
    <t>Result Pts</t>
  </si>
  <si>
    <t>Pts</t>
  </si>
  <si>
    <t>Sort Score</t>
  </si>
  <si>
    <t>Rank</t>
  </si>
  <si>
    <t>Rank Key</t>
  </si>
  <si>
    <t>Pos</t>
  </si>
  <si>
    <t>Ag</t>
  </si>
  <si>
    <t>FINALS CONTROL</t>
  </si>
  <si>
    <t>Match</t>
  </si>
  <si>
    <t>Score 1</t>
  </si>
  <si>
    <t>Score 2</t>
  </si>
  <si>
    <t>Knockout ties: enter the official final score after any extra time / shoot-out. If the scores remain equal, the bracket will show “TIE - resolve” and will not advance a team.</t>
  </si>
  <si>
    <t>ENGINE — fixture library (no user input required)</t>
  </si>
  <si>
    <t>Key</t>
  </si>
  <si>
    <t>4-1</t>
  </si>
  <si>
    <t>4-2</t>
  </si>
  <si>
    <t>4-3</t>
  </si>
  <si>
    <t>4-4</t>
  </si>
  <si>
    <t>4-5</t>
  </si>
  <si>
    <t>4-6</t>
  </si>
  <si>
    <t>5-1</t>
  </si>
  <si>
    <t>5-2</t>
  </si>
  <si>
    <t>5-3</t>
  </si>
  <si>
    <t>5-4</t>
  </si>
  <si>
    <t>5-5</t>
  </si>
  <si>
    <t>5-6</t>
  </si>
  <si>
    <t>5-7</t>
  </si>
  <si>
    <t>5-8</t>
  </si>
  <si>
    <t>5-9</t>
  </si>
  <si>
    <t>5-10</t>
  </si>
  <si>
    <t>6-1</t>
  </si>
  <si>
    <t>6-2</t>
  </si>
  <si>
    <t>6-3</t>
  </si>
  <si>
    <t>6-4</t>
  </si>
  <si>
    <t>6-5</t>
  </si>
  <si>
    <t>6-6</t>
  </si>
  <si>
    <t>6-7</t>
  </si>
  <si>
    <t>6-8</t>
  </si>
  <si>
    <t>6-9</t>
  </si>
  <si>
    <t>6-10</t>
  </si>
  <si>
    <t>6-11</t>
  </si>
  <si>
    <t>6-12</t>
  </si>
  <si>
    <t>6-13</t>
  </si>
  <si>
    <t>6-14</t>
  </si>
  <si>
    <t>6-15</t>
  </si>
  <si>
    <t>7-1</t>
  </si>
  <si>
    <t>7-2</t>
  </si>
  <si>
    <t>7-3</t>
  </si>
  <si>
    <t>7-4</t>
  </si>
  <si>
    <t>7-5</t>
  </si>
  <si>
    <t>7-6</t>
  </si>
  <si>
    <t>7-7</t>
  </si>
  <si>
    <t>7-8</t>
  </si>
  <si>
    <t>7-9</t>
  </si>
  <si>
    <t>7-10</t>
  </si>
  <si>
    <t>7-11</t>
  </si>
  <si>
    <t>7-12</t>
  </si>
  <si>
    <t>7-13</t>
  </si>
  <si>
    <t>7-14</t>
  </si>
  <si>
    <t>7-15</t>
  </si>
  <si>
    <t>7-16</t>
  </si>
  <si>
    <t>7-17</t>
  </si>
  <si>
    <t>7-18</t>
  </si>
  <si>
    <t>7-19</t>
  </si>
  <si>
    <t>7-20</t>
  </si>
  <si>
    <t>7-21</t>
  </si>
  <si>
    <t>8-1</t>
  </si>
  <si>
    <t>8-2</t>
  </si>
  <si>
    <t>8-3</t>
  </si>
  <si>
    <t>8-4</t>
  </si>
  <si>
    <t>8-5</t>
  </si>
  <si>
    <t>8-6</t>
  </si>
  <si>
    <t>8-7</t>
  </si>
  <si>
    <t>8-8</t>
  </si>
  <si>
    <t>8-9</t>
  </si>
  <si>
    <t>8-10</t>
  </si>
  <si>
    <t>8-11</t>
  </si>
  <si>
    <t>8-12</t>
  </si>
  <si>
    <t>8-13</t>
  </si>
  <si>
    <t>8-14</t>
  </si>
  <si>
    <t>8-15</t>
  </si>
  <si>
    <t>8-16</t>
  </si>
  <si>
    <t>8-17</t>
  </si>
  <si>
    <t>8-18</t>
  </si>
  <si>
    <t>8-19</t>
  </si>
  <si>
    <t>8-20</t>
  </si>
  <si>
    <t>8-21</t>
  </si>
  <si>
    <t>8-22</t>
  </si>
  <si>
    <t>8-23</t>
  </si>
  <si>
    <t>8-24</t>
  </si>
  <si>
    <t>8-25</t>
  </si>
  <si>
    <t>8-26</t>
  </si>
  <si>
    <t>8-27</t>
  </si>
  <si>
    <t>8-28</t>
  </si>
  <si>
    <t>PRINT / DISPLAY OUTPUTS</t>
  </si>
  <si>
    <t>Finals Bracket</t>
  </si>
  <si>
    <t>Elimination tree for display</t>
  </si>
  <si>
    <t>GO TO FINALS BRACKET →</t>
  </si>
  <si>
    <t>Competition Summary</t>
  </si>
  <si>
    <t>Standings + all results</t>
  </si>
  <si>
    <t>GO TO SUMMARY →</t>
  </si>
  <si>
    <t>Print tip</t>
  </si>
  <si>
    <t>Use landscape orientation for both print sheets.</t>
  </si>
  <si>
    <t>FINALS ELIMINATION BRACKET</t>
  </si>
  <si>
    <t>DISPLAY SHEET — Print in landscape. Scores are entered on the Finals sheet only.</t>
  </si>
  <si>
    <t>COMPETITION RESULTS SUMMARY</t>
  </si>
  <si>
    <t>Print in landscape. For larger competitions, the pool-match list continues down the same sheet.</t>
  </si>
  <si>
    <t>Competition</t>
  </si>
  <si>
    <t>CHAMPION</t>
  </si>
  <si>
    <t>Pool Matches</t>
  </si>
  <si>
    <t>RUNNER-UP</t>
  </si>
  <si>
    <t>Completed</t>
  </si>
  <si>
    <t>Third Place</t>
  </si>
  <si>
    <t>Pool Stage</t>
  </si>
  <si>
    <t>Finals Format</t>
  </si>
  <si>
    <t>Finals Status</t>
  </si>
  <si>
    <t>POOL STANDINGS</t>
  </si>
  <si>
    <t>POOL MATCH RESULTS</t>
  </si>
  <si>
    <t>FINALS RESULTS</t>
  </si>
  <si>
    <t>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</si>
</sst>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name val="Carlito"/>
    </font>
    <font>
      <b/>
      <sz val="16"/>
      <color rgb="FFFFFFFF"/>
      <name val="Carlito"/>
    </font>
    <font>
      <sz val="11"/>
      <color rgb="FF000000"/>
      <name val="Carlito"/>
    </font>
    <font>
      <b/>
      <sz val="11"/>
      <color rgb="FF1F1F1F"/>
      <name val="Carlito"/>
    </font>
    <font>
      <b/>
      <sz val="11"/>
      <color rgb="FFFFFFFF"/>
      <name val="Carlito"/>
    </font>
    <font>
      <sz val="11"/>
      <color rgb="FF666666"/>
      <name val="Carlito"/>
    </font>
    <font>
      <b/>
      <i/>
      <sz val="11"/>
      <name val="Carlito"/>
    </font>
    <font>
      <b/>
      <sz val="14"/>
      <color rgb="FFFFFFFF"/>
      <name val="Carlito"/>
    </font>
    <font>
      <i/>
      <sz val="11"/>
      <color rgb="FF1F1F1F"/>
      <name val="Carlito"/>
    </font>
    <font>
      <b/>
      <sz val="11"/>
      <name val="Carlito"/>
    </font>
    <font>
      <i/>
      <sz val="9"/>
      <name val="Carlito"/>
    </font>
    <font>
      <i/>
      <sz val="11"/>
      <name val="Carlito"/>
    </font>
    <font>
      <i/>
      <sz val="11"/>
      <color rgb="FF000000"/>
      <name val="Carlito"/>
    </font>
    <font>
      <b/>
      <sz val="18"/>
      <color rgb="FFFFFFFF"/>
      <name val="Carlito"/>
    </font>
    <font>
      <b/>
      <sz val="11"/>
      <color rgb="FF666666"/>
      <name val="Carlito"/>
    </font>
    <font>
      <b/>
      <sz val="14"/>
      <name val="Carlito"/>
    </font>
    <font>
      <b/>
      <sz val="12"/>
      <color rgb="FFFFFFFF"/>
      <name val="Carlito"/>
    </font>
    <font>
      <b/>
      <sz val="11"/>
      <color rgb="FF000000"/>
      <name val="Carlito"/>
    </font>
    <font>
      <b/>
      <sz val="12"/>
      <color rgb="FF000000"/>
      <name val="Carlito"/>
    </font>
    <font>
      <sz val="9"/>
      <color indexed="81"/>
      <name val="Tahoma"/>
      <charset val="1"/>
    </font>
    <font>
      <sz val="14"/>
      <name val="Carlito"/>
    </font>
    <font>
      <b/>
      <sz val="14"/>
      <name val="Arial"/>
      <family val="2"/>
    </font>
    <font>
      <sz val="12"/>
      <color rgb="FF000000"/>
      <name val="Carlito"/>
    </font>
  </fonts>
  <fills count="2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rgb="FF5B9BD5"/>
      </patternFill>
    </fill>
    <fill>
      <patternFill patternType="solid">
        <fgColor rgb="FFF2F2F2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F2F2F2"/>
      </patternFill>
    </fill>
    <fill>
      <patternFill patternType="solid">
        <fgColor rgb="FF4472C4"/>
      </patternFill>
    </fill>
    <fill>
      <patternFill patternType="solid">
        <fgColor rgb="FFFFFFFF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2F2F2"/>
      </patternFill>
    </fill>
    <fill>
      <patternFill patternType="solid">
        <fgColor rgb="FF4472C4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4472C4"/>
      </patternFill>
    </fill>
    <fill>
      <patternFill patternType="solid">
        <fgColor rgb="FFF2F2F2"/>
      </patternFill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4472C4"/>
      </patternFill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3" borderId="0" xfId="0" applyFont="1" applyFill="1"/>
    <xf numFmtId="0" fontId="3" fillId="4" borderId="0" xfId="0" applyFont="1" applyFill="1" applyAlignment="1">
      <alignment vertical="center"/>
    </xf>
    <xf numFmtId="0" fontId="4" fillId="5" borderId="0" xfId="0" applyFont="1" applyFill="1" applyAlignment="1">
      <alignment horizontal="center" vertical="center" wrapText="1"/>
    </xf>
    <xf numFmtId="0" fontId="5" fillId="6" borderId="0" xfId="0" applyFont="1" applyFill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9" fillId="8" borderId="0" xfId="0" applyFont="1" applyFill="1" applyAlignment="1">
      <alignment vertical="center" wrapText="1"/>
    </xf>
    <xf numFmtId="0" fontId="9" fillId="9" borderId="0" xfId="0" applyFont="1" applyFill="1" applyAlignment="1">
      <alignment horizontal="center" vertical="center" wrapText="1"/>
    </xf>
    <xf numFmtId="0" fontId="9" fillId="10" borderId="0" xfId="0" applyFont="1" applyFill="1" applyAlignment="1">
      <alignment horizontal="center" vertical="center" wrapText="1"/>
    </xf>
    <xf numFmtId="0" fontId="1" fillId="7" borderId="0" xfId="0" applyFont="1" applyFill="1" applyAlignment="1">
      <alignment horizontal="left" vertical="center"/>
    </xf>
    <xf numFmtId="0" fontId="9" fillId="8" borderId="0" xfId="0" applyFont="1" applyFill="1" applyAlignment="1">
      <alignment wrapText="1"/>
    </xf>
    <xf numFmtId="0" fontId="4" fillId="12" borderId="0" xfId="0" applyFont="1" applyFill="1" applyAlignment="1">
      <alignment horizontal="center" vertical="center" wrapText="1"/>
    </xf>
    <xf numFmtId="0" fontId="4" fillId="12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11" borderId="0" xfId="0" applyFill="1" applyAlignment="1">
      <alignment vertical="center"/>
    </xf>
    <xf numFmtId="0" fontId="9" fillId="13" borderId="0" xfId="0" applyFont="1" applyFill="1" applyAlignment="1">
      <alignment vertical="center"/>
    </xf>
    <xf numFmtId="0" fontId="0" fillId="13" borderId="0" xfId="0" applyFill="1" applyAlignment="1">
      <alignment vertical="center" wrapText="1"/>
    </xf>
    <xf numFmtId="0" fontId="0" fillId="13" borderId="0" xfId="0" applyFill="1" applyAlignment="1">
      <alignment vertical="center"/>
    </xf>
    <xf numFmtId="0" fontId="0" fillId="15" borderId="0" xfId="0" applyFill="1"/>
    <xf numFmtId="0" fontId="0" fillId="15" borderId="1" xfId="0" applyFill="1" applyBorder="1" applyAlignment="1">
      <alignment vertical="center" wrapText="1"/>
    </xf>
    <xf numFmtId="0" fontId="0" fillId="15" borderId="2" xfId="0" applyFill="1" applyBorder="1" applyAlignment="1">
      <alignment vertical="center" wrapText="1"/>
    </xf>
    <xf numFmtId="0" fontId="0" fillId="15" borderId="3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9" fillId="18" borderId="1" xfId="0" applyFont="1" applyFill="1" applyBorder="1" applyAlignment="1">
      <alignment vertical="center" wrapText="1"/>
    </xf>
    <xf numFmtId="0" fontId="0" fillId="18" borderId="2" xfId="0" applyFill="1" applyBorder="1" applyAlignment="1">
      <alignment vertical="center" wrapText="1"/>
    </xf>
    <xf numFmtId="0" fontId="0" fillId="18" borderId="3" xfId="0" applyFill="1" applyBorder="1" applyAlignment="1">
      <alignment vertical="center" wrapText="1"/>
    </xf>
    <xf numFmtId="0" fontId="0" fillId="18" borderId="1" xfId="0" applyFill="1" applyBorder="1" applyAlignment="1">
      <alignment vertical="center" wrapText="1"/>
    </xf>
    <xf numFmtId="0" fontId="0" fillId="19" borderId="1" xfId="0" applyFill="1" applyBorder="1" applyAlignment="1">
      <alignment vertical="center" wrapText="1"/>
    </xf>
    <xf numFmtId="0" fontId="0" fillId="19" borderId="2" xfId="0" applyFill="1" applyBorder="1" applyAlignment="1">
      <alignment vertical="center" wrapText="1"/>
    </xf>
    <xf numFmtId="0" fontId="0" fillId="19" borderId="3" xfId="0" applyFill="1" applyBorder="1" applyAlignment="1">
      <alignment vertical="center" wrapText="1"/>
    </xf>
    <xf numFmtId="0" fontId="13" fillId="14" borderId="0" xfId="0" applyFont="1" applyFill="1" applyAlignment="1">
      <alignment vertical="center" wrapText="1"/>
    </xf>
    <xf numFmtId="0" fontId="0" fillId="15" borderId="0" xfId="0" applyFill="1" applyAlignment="1">
      <alignment vertical="center" wrapText="1"/>
    </xf>
    <xf numFmtId="0" fontId="11" fillId="16" borderId="0" xfId="0" applyFont="1" applyFill="1" applyAlignment="1">
      <alignment vertical="center" wrapText="1"/>
    </xf>
    <xf numFmtId="0" fontId="4" fillId="17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15" borderId="0" xfId="0" applyFont="1" applyFill="1"/>
    <xf numFmtId="0" fontId="9" fillId="4" borderId="0" xfId="0" applyFont="1" applyFill="1" applyAlignment="1">
      <alignment vertical="center" wrapText="1"/>
    </xf>
    <xf numFmtId="0" fontId="0" fillId="6" borderId="0" xfId="0" applyFill="1" applyAlignment="1">
      <alignment vertical="center"/>
    </xf>
    <xf numFmtId="0" fontId="0" fillId="4" borderId="0" xfId="0" applyFill="1" applyAlignment="1">
      <alignment vertical="center"/>
    </xf>
    <xf numFmtId="0" fontId="0" fillId="4" borderId="0" xfId="0" applyFill="1" applyAlignment="1">
      <alignment vertical="center" wrapText="1"/>
    </xf>
    <xf numFmtId="0" fontId="0" fillId="10" borderId="0" xfId="0" applyFill="1" applyAlignment="1">
      <alignment vertical="center"/>
    </xf>
    <xf numFmtId="0" fontId="1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1" fillId="6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15" fillId="10" borderId="0" xfId="0" applyFont="1" applyFill="1" applyAlignment="1">
      <alignment vertical="center"/>
    </xf>
    <xf numFmtId="0" fontId="9" fillId="6" borderId="0" xfId="0" applyFont="1" applyFill="1" applyAlignment="1">
      <alignment vertical="center" wrapText="1"/>
    </xf>
    <xf numFmtId="0" fontId="13" fillId="20" borderId="0" xfId="0" applyFont="1" applyFill="1" applyAlignment="1">
      <alignment vertical="center" wrapText="1"/>
    </xf>
    <xf numFmtId="0" fontId="13" fillId="20" borderId="0" xfId="0" applyFont="1" applyFill="1" applyAlignment="1">
      <alignment vertical="center"/>
    </xf>
    <xf numFmtId="0" fontId="0" fillId="20" borderId="0" xfId="0" applyFill="1" applyAlignment="1">
      <alignment vertical="center"/>
    </xf>
    <xf numFmtId="0" fontId="0" fillId="21" borderId="0" xfId="0" applyFill="1" applyAlignment="1">
      <alignment vertical="center" wrapText="1"/>
    </xf>
    <xf numFmtId="0" fontId="0" fillId="21" borderId="0" xfId="0" applyFill="1" applyAlignment="1">
      <alignment vertical="center"/>
    </xf>
    <xf numFmtId="0" fontId="9" fillId="21" borderId="0" xfId="0" applyFont="1" applyFill="1" applyAlignment="1">
      <alignment vertical="center"/>
    </xf>
    <xf numFmtId="0" fontId="9" fillId="21" borderId="0" xfId="0" applyFont="1" applyFill="1" applyAlignment="1">
      <alignment vertical="center" wrapText="1"/>
    </xf>
    <xf numFmtId="0" fontId="16" fillId="22" borderId="0" xfId="0" applyFont="1" applyFill="1" applyAlignment="1">
      <alignment vertical="center" wrapText="1"/>
    </xf>
    <xf numFmtId="0" fontId="0" fillId="22" borderId="0" xfId="0" applyFill="1" applyAlignment="1">
      <alignment vertical="center" wrapText="1"/>
    </xf>
    <xf numFmtId="0" fontId="9" fillId="23" borderId="0" xfId="0" applyFont="1" applyFill="1" applyAlignment="1">
      <alignment vertical="center" wrapText="1"/>
    </xf>
    <xf numFmtId="0" fontId="9" fillId="24" borderId="0" xfId="0" applyFont="1" applyFill="1" applyAlignment="1">
      <alignment vertical="center" wrapText="1"/>
    </xf>
    <xf numFmtId="0" fontId="0" fillId="24" borderId="0" xfId="0" applyFill="1" applyAlignment="1">
      <alignment vertical="center" wrapText="1"/>
    </xf>
    <xf numFmtId="0" fontId="2" fillId="25" borderId="0" xfId="0" applyFont="1" applyFill="1" applyAlignment="1">
      <alignment vertical="center" wrapText="1"/>
    </xf>
    <xf numFmtId="0" fontId="2" fillId="25" borderId="0" xfId="0" applyFont="1" applyFill="1" applyAlignment="1">
      <alignment vertical="center"/>
    </xf>
    <xf numFmtId="0" fontId="17" fillId="25" borderId="0" xfId="0" applyFont="1" applyFill="1" applyAlignment="1">
      <alignment vertical="center"/>
    </xf>
    <xf numFmtId="0" fontId="9" fillId="26" borderId="0" xfId="0" applyFont="1" applyFill="1" applyAlignment="1">
      <alignment vertical="center" wrapText="1"/>
    </xf>
    <xf numFmtId="0" fontId="16" fillId="26" borderId="0" xfId="0" applyFont="1" applyFill="1" applyAlignment="1">
      <alignment vertical="center" wrapText="1"/>
    </xf>
    <xf numFmtId="0" fontId="9" fillId="27" borderId="0" xfId="0" applyFont="1" applyFill="1" applyAlignment="1">
      <alignment vertical="center" wrapText="1"/>
    </xf>
    <xf numFmtId="0" fontId="9" fillId="27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left" vertical="center"/>
    </xf>
    <xf numFmtId="0" fontId="3" fillId="4" borderId="0" xfId="0" applyFont="1" applyFill="1" applyAlignment="1">
      <alignment vertical="center"/>
    </xf>
    <xf numFmtId="0" fontId="7" fillId="7" borderId="0" xfId="0" applyFont="1" applyFill="1" applyAlignment="1">
      <alignment horizontal="left" vertical="center" wrapText="1"/>
    </xf>
    <xf numFmtId="0" fontId="8" fillId="8" borderId="0" xfId="0" applyFont="1" applyFill="1" applyAlignment="1">
      <alignment vertical="center" wrapText="1"/>
    </xf>
    <xf numFmtId="0" fontId="10" fillId="11" borderId="0" xfId="0" applyFont="1" applyFill="1" applyAlignment="1">
      <alignment vertical="top" wrapText="1"/>
    </xf>
    <xf numFmtId="0" fontId="1" fillId="7" borderId="0" xfId="0" applyFont="1" applyFill="1" applyAlignment="1">
      <alignment horizontal="left" vertical="center"/>
    </xf>
    <xf numFmtId="0" fontId="3" fillId="8" borderId="0" xfId="0" applyFont="1" applyFill="1" applyAlignment="1">
      <alignment vertical="center" wrapText="1"/>
    </xf>
    <xf numFmtId="0" fontId="11" fillId="11" borderId="0" xfId="0" applyFont="1" applyFill="1" applyAlignment="1">
      <alignment wrapText="1"/>
    </xf>
    <xf numFmtId="0" fontId="11" fillId="9" borderId="0" xfId="0" applyFont="1" applyFill="1" applyAlignment="1">
      <alignment vertical="center" wrapText="1"/>
    </xf>
    <xf numFmtId="0" fontId="12" fillId="9" borderId="0" xfId="0" applyFont="1" applyFill="1" applyAlignment="1">
      <alignment vertical="center" wrapText="1"/>
    </xf>
    <xf numFmtId="0" fontId="20" fillId="0" borderId="0" xfId="0" applyFont="1"/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/>
    <xf numFmtId="0" fontId="2" fillId="9" borderId="0" xfId="0" applyFont="1" applyFill="1" applyAlignment="1">
      <alignment horizontal="center" vertical="center"/>
    </xf>
    <xf numFmtId="0" fontId="2" fillId="1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20" borderId="0" xfId="0" applyFill="1" applyAlignment="1">
      <alignment horizontal="center" vertical="center"/>
    </xf>
    <xf numFmtId="0" fontId="0" fillId="21" borderId="0" xfId="0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2" borderId="0" xfId="0" applyFill="1" applyAlignment="1">
      <alignment horizontal="center" vertical="center" wrapText="1"/>
    </xf>
    <xf numFmtId="0" fontId="0" fillId="21" borderId="0" xfId="0" applyFill="1" applyAlignment="1">
      <alignment horizontal="center" vertical="center" wrapText="1"/>
    </xf>
    <xf numFmtId="0" fontId="9" fillId="2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9" fillId="26" borderId="0" xfId="0" applyFont="1" applyFill="1" applyAlignment="1">
      <alignment horizontal="center" vertical="center" wrapText="1"/>
    </xf>
    <xf numFmtId="0" fontId="9" fillId="27" borderId="0" xfId="0" applyFont="1" applyFill="1" applyAlignment="1">
      <alignment horizontal="center" vertical="center"/>
    </xf>
    <xf numFmtId="0" fontId="2" fillId="25" borderId="0" xfId="0" applyFont="1" applyFill="1" applyAlignment="1">
      <alignment horizontal="center" vertical="center"/>
    </xf>
    <xf numFmtId="0" fontId="17" fillId="25" borderId="0" xfId="0" applyFont="1" applyFill="1" applyAlignment="1">
      <alignment horizontal="center" vertical="center"/>
    </xf>
    <xf numFmtId="0" fontId="9" fillId="21" borderId="0" xfId="0" applyFont="1" applyFill="1" applyAlignment="1">
      <alignment horizontal="center" vertical="center" wrapText="1"/>
    </xf>
    <xf numFmtId="0" fontId="0" fillId="10" borderId="0" xfId="0" applyFill="1" applyAlignment="1">
      <alignment horizontal="center" vertical="center"/>
    </xf>
    <xf numFmtId="0" fontId="0" fillId="24" borderId="0" xfId="0" applyFill="1" applyAlignment="1">
      <alignment horizontal="center" vertical="center" wrapText="1"/>
    </xf>
    <xf numFmtId="0" fontId="2" fillId="25" borderId="0" xfId="0" applyFont="1" applyFill="1" applyAlignment="1">
      <alignment horizontal="center" vertical="center" wrapText="1"/>
    </xf>
    <xf numFmtId="0" fontId="17" fillId="25" borderId="0" xfId="0" applyFont="1" applyFill="1" applyAlignment="1">
      <alignment horizontal="center" vertical="center" wrapText="1"/>
    </xf>
    <xf numFmtId="0" fontId="18" fillId="25" borderId="0" xfId="0" applyFont="1" applyFill="1" applyAlignment="1">
      <alignment horizontal="center" vertical="center" wrapText="1"/>
    </xf>
    <xf numFmtId="0" fontId="22" fillId="25" borderId="0" xfId="0" applyFont="1" applyFill="1" applyAlignment="1">
      <alignment vertical="center" wrapText="1"/>
    </xf>
  </cellXfs>
  <cellStyles count="1">
    <cellStyle name="Normal" xfId="0" builtinId="0"/>
  </cellStyles>
  <dxfs count="25">
    <dxf>
      <font>
        <color rgb="FFFFFFFF"/>
      </font>
      <fill>
        <patternFill>
          <bgColor rgb="FFFFFFFF"/>
        </patternFill>
      </fill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rgb="FFFFFFFF"/>
      </font>
      <fill>
        <patternFill>
          <bgColor rgb="FFFFFFFF"/>
        </patternFill>
      </fill>
    </dxf>
    <dxf>
      <font>
        <color rgb="FFFFFFFF"/>
      </font>
      <fill>
        <patternFill>
          <bgColor rgb="FFFFFFFF"/>
        </patternFill>
      </fill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rgb="FFFFFFFF"/>
      </font>
      <fill>
        <patternFill>
          <bgColor rgb="FFFFFFFF"/>
        </patternFill>
      </fill>
    </dxf>
    <dxf>
      <font>
        <color rgb="FFFFFFFF"/>
      </font>
      <fill>
        <patternFill>
          <bgColor rgb="FFFFFFFF"/>
        </patternFill>
      </fill>
    </dxf>
    <dxf>
      <font>
        <b/>
      </font>
      <fill>
        <patternFill>
          <bgColor rgb="FFE2F0D9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BFBFBF"/>
      </font>
    </dxf>
    <dxf>
      <font>
        <color rgb="FFA6A6A6"/>
      </font>
      <fill>
        <patternFill>
          <bgColor rgb="FFF2F2F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rian Minikin" id="{4AB7BD1D-CB4C-42AE-8D88-5C90675E86D4}" userId="2e654ef7bbbcd4d0" providerId="Windows Live"/>
</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dT="2026-08-28T04:26:33.55" personId="{4AB7BD1D-CB4C-42AE-8D88-5C90675E86D4}" id="{FC999688-F2CA-4A10-AF04-A4092C563BB4}">
    <text>This will change automatically when you select a different format in Setup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opLeftCell="A14" workbookViewId="0">
      <selection activeCell="H11" sqref="H11"/>
    </sheetView>
  </sheetViews>
  <sheetFormatPr defaultRowHeight="14.25"/>
  <cols>
    <col min="1" max="1" width="24" customWidth="1"/>
    <col min="2" max="2" width="4" customWidth="1"/>
    <col min="3" max="3" width="24" customWidth="1"/>
    <col min="4" max="4" width="20" customWidth="1"/>
    <col min="5" max="5" width="18" customWidth="1"/>
    <col min="6" max="6" width="22" customWidth="1"/>
    <col min="7" max="7" width="12.625" customWidth="1"/>
  </cols>
  <sheetData>
    <row r="1" spans="1:7" ht="20.25">
      <c r="A1" s="76" t="s">
        <v>0</v>
      </c>
      <c r="B1" s="76"/>
      <c r="C1" s="76"/>
      <c r="D1" s="76"/>
      <c r="E1" s="76"/>
      <c r="F1" s="76"/>
      <c r="G1" s="76"/>
    </row>
    <row r="3" spans="1:7">
      <c r="A3" s="75" t="s">
        <v>1</v>
      </c>
      <c r="B3" s="75"/>
      <c r="C3" s="75"/>
      <c r="D3" s="75"/>
      <c r="E3" s="75"/>
      <c r="F3" s="75"/>
      <c r="G3" s="75"/>
    </row>
    <row r="5" spans="1:7" ht="30">
      <c r="A5" s="3" t="s">
        <v>2</v>
      </c>
      <c r="B5" s="3"/>
      <c r="C5" s="3" t="s">
        <v>3</v>
      </c>
      <c r="D5" s="3"/>
      <c r="E5" s="3" t="s">
        <v>4</v>
      </c>
      <c r="F5" s="3"/>
      <c r="G5" s="3" t="s">
        <v>5</v>
      </c>
    </row>
    <row r="6" spans="1:7">
      <c r="A6">
        <f>Setup!$B$3</f>
        <v>0</v>
      </c>
      <c r="C6" t="str">
        <f>Setup!$B$5&amp;" Pools × "&amp;Setup!$B$6&amp;" Teams"</f>
        <v>8 Pools × 8 Teams</v>
      </c>
      <c r="E6" s="8">
        <f>Setup!$B$15*Setup!$B$5</f>
        <v>224</v>
      </c>
      <c r="G6" s="8">
        <f>COUNTIF(Scores!$Q$4:$Q$227,"Complete")</f>
        <v>0</v>
      </c>
    </row>
    <row r="9" spans="1:7" ht="15">
      <c r="A9" s="77" t="s">
        <v>6</v>
      </c>
      <c r="B9" s="77"/>
      <c r="C9" s="77"/>
      <c r="D9" s="77"/>
      <c r="E9" s="77"/>
      <c r="F9" s="77"/>
      <c r="G9" s="77"/>
    </row>
    <row r="10" spans="1:7" ht="18">
      <c r="A10" t="s">
        <v>7</v>
      </c>
      <c r="C10" s="10">
        <f>IFERROR(COUNTIF(Scores!$Q$4:$Q$227,"Complete")/(Setup!$B$15*Setup!$B$5),0)</f>
        <v>0</v>
      </c>
      <c r="E10" s="86" t="str">
        <f>REPT("■",ROUND(C10*10,0))&amp;REPT("□",10-ROUND(C10*10,0))</f>
        <v>□□□□□□□□□□</v>
      </c>
    </row>
    <row r="12" spans="1:7" ht="15">
      <c r="A12" s="77" t="s">
        <v>8</v>
      </c>
      <c r="B12" s="77"/>
      <c r="C12" s="77"/>
      <c r="D12" s="77"/>
      <c r="E12" s="77"/>
      <c r="F12" s="77"/>
      <c r="G12" s="77"/>
    </row>
    <row r="13" spans="1:7">
      <c r="A13" t="s">
        <v>9</v>
      </c>
      <c r="C13" t="str">
        <f>IF(COUNTIF(Scores!$Q$4:$Q$227,"Complete")=0,"Ready for pool play",IF(COUNTIF(Scores!$Q$4:$Q$227,"Complete")&lt;Setup!$B$15*Setup!$B$5,"Pool competition in progress","Pool stage complete"))</f>
        <v>Ready for pool play</v>
      </c>
    </row>
    <row r="14" spans="1:7">
      <c r="A14" t="s">
        <v>10</v>
      </c>
      <c r="C14" t="str">
        <f>IF(COUNTIF(Scores!$Q$4:$Q$227,"Complete")&lt;Setup!$B$15*Setup!$B$5,"Enter the next match result","Review pool tables and prepare the finals")</f>
        <v>Enter the next match result</v>
      </c>
    </row>
    <row r="16" spans="1:7" ht="15">
      <c r="A16" s="77" t="s">
        <v>11</v>
      </c>
      <c r="B16" s="77"/>
      <c r="C16" s="77"/>
      <c r="D16" s="77"/>
      <c r="E16" s="77"/>
      <c r="F16" s="77"/>
      <c r="G16" s="77"/>
    </row>
    <row r="17" spans="1:7">
      <c r="A17" t="s">
        <v>12</v>
      </c>
      <c r="D17" t="s">
        <v>13</v>
      </c>
      <c r="F17" t="s">
        <v>14</v>
      </c>
    </row>
    <row r="18" spans="1:7">
      <c r="A18" t="s">
        <v>15</v>
      </c>
      <c r="D18" t="str">
        <f>Setup!$B$5*Setup!$B$6&amp;" active team slots"</f>
        <v>64 active team slots</v>
      </c>
      <c r="F18" t="s">
        <v>16</v>
      </c>
    </row>
    <row r="19" spans="1:7">
      <c r="A19" t="s">
        <v>17</v>
      </c>
      <c r="D19" t="str">
        <f>COUNTIF(Scores!$Q$4:$Q$227,"Complete")&amp;" / "&amp;(Setup!$B$15*Setup!$B$5)&amp;" complete"</f>
        <v>0 / 224 complete</v>
      </c>
      <c r="F19" t="s">
        <v>18</v>
      </c>
    </row>
    <row r="20" spans="1:7">
      <c r="A20" t="s">
        <v>19</v>
      </c>
      <c r="D20" t="str">
        <f>IF(COUNTIF(Scores!$Q$4:$Q$227,"Complete")&gt;0,"Live","Waiting for results")</f>
        <v>Waiting for results</v>
      </c>
      <c r="F20" t="s">
        <v>20</v>
      </c>
    </row>
    <row r="21" spans="1:7">
      <c r="A21" t="s">
        <v>21</v>
      </c>
      <c r="D21" t="str">
        <f>IF(COUNTIF(Scores!$Q$4:$Q$227,"Complete")&gt;=Setup!$B$15*Setup!$B$5,"Ready","Not yet")</f>
        <v>Not yet</v>
      </c>
      <c r="F21" t="s">
        <v>22</v>
      </c>
    </row>
    <row r="22" spans="1:7" ht="15">
      <c r="A22" s="43" t="s">
        <v>389</v>
      </c>
      <c r="B22" s="24"/>
      <c r="C22" s="24"/>
      <c r="D22" s="24"/>
      <c r="E22" s="24"/>
      <c r="F22" s="24"/>
      <c r="G22" s="24"/>
    </row>
    <row r="23" spans="1:7">
      <c r="A23" s="75" t="s">
        <v>390</v>
      </c>
      <c r="B23" s="75"/>
      <c r="C23" s="75"/>
      <c r="D23" s="75" t="s">
        <v>391</v>
      </c>
      <c r="E23" s="75"/>
      <c r="F23" s="75" t="s">
        <v>392</v>
      </c>
      <c r="G23" s="75"/>
    </row>
    <row r="24" spans="1:7">
      <c r="A24" t="s">
        <v>393</v>
      </c>
      <c r="D24" t="s">
        <v>394</v>
      </c>
      <c r="F24" t="s">
        <v>395</v>
      </c>
    </row>
    <row r="25" spans="1:7">
      <c r="A25" t="s">
        <v>396</v>
      </c>
      <c r="D25" t="s">
        <v>397</v>
      </c>
    </row>
  </sheetData>
  <mergeCells count="6">
    <mergeCell ref="A23:G23"/>
    <mergeCell ref="A1:G1"/>
    <mergeCell ref="A3:G3"/>
    <mergeCell ref="A9:G9"/>
    <mergeCell ref="A12:G12"/>
    <mergeCell ref="A16:G16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8"/>
  <sheetViews>
    <sheetView workbookViewId="0">
      <selection activeCell="D13" sqref="D13"/>
    </sheetView>
  </sheetViews>
  <sheetFormatPr defaultRowHeight="14.25"/>
  <cols>
    <col min="1" max="1" width="34" customWidth="1"/>
    <col min="2" max="2" width="26" customWidth="1"/>
    <col min="3" max="3" width="14" customWidth="1"/>
    <col min="4" max="4" width="24" customWidth="1"/>
    <col min="5" max="5" width="32" customWidth="1"/>
    <col min="6" max="6" width="8" customWidth="1"/>
  </cols>
  <sheetData>
    <row r="1" spans="1:6" ht="20.25">
      <c r="A1" s="76" t="s">
        <v>23</v>
      </c>
      <c r="B1" s="76"/>
      <c r="C1" s="76"/>
      <c r="D1" s="78" t="s">
        <v>24</v>
      </c>
      <c r="E1" s="78"/>
      <c r="F1" s="78"/>
    </row>
    <row r="2" spans="1:6">
      <c r="A2" s="75" t="s">
        <v>25</v>
      </c>
      <c r="B2" s="75"/>
      <c r="C2" s="75"/>
      <c r="D2" s="79" t="s">
        <v>26</v>
      </c>
      <c r="E2" s="79"/>
      <c r="F2" s="79"/>
    </row>
    <row r="3" spans="1:6" ht="15">
      <c r="A3" t="s">
        <v>27</v>
      </c>
      <c r="B3" s="88"/>
      <c r="D3" s="11" t="s">
        <v>28</v>
      </c>
      <c r="E3" s="12" t="s">
        <v>29</v>
      </c>
      <c r="F3" s="5"/>
    </row>
    <row r="4" spans="1:6" ht="15">
      <c r="A4" t="s">
        <v>30</v>
      </c>
      <c r="B4" s="88"/>
      <c r="D4" s="11" t="s">
        <v>31</v>
      </c>
      <c r="E4" s="13">
        <f>IF(E3="No Finals",0,$B$5*$B$7)</f>
        <v>16</v>
      </c>
      <c r="F4" s="5"/>
    </row>
    <row r="5" spans="1:6" ht="15">
      <c r="A5" t="s">
        <v>32</v>
      </c>
      <c r="B5" s="87">
        <v>8</v>
      </c>
      <c r="D5" s="11" t="s">
        <v>33</v>
      </c>
      <c r="E5" s="13" t="str">
        <f>IF(E3="No Finals","No Finals",IF(AND(OR($B$7=1,$B$7=2),OR(E4=2,E4=4,E4=8,E4=16)),IF(E4=2,"Final",IF(E4=4,"Semi-finals + Final",IF(E4=8,"Quarter-finals + Semi-finals + Final","Round of 16 + Quarter-finals + Semi-finals + Final"))),"Manual finals required"))</f>
        <v>Round of 16 + Quarter-finals + Semi-finals + Final</v>
      </c>
      <c r="F5" s="5"/>
    </row>
    <row r="6" spans="1:6" ht="15">
      <c r="A6" t="s">
        <v>34</v>
      </c>
      <c r="B6" s="87">
        <v>8</v>
      </c>
      <c r="D6" s="11" t="s">
        <v>35</v>
      </c>
      <c r="E6" s="12" t="s">
        <v>36</v>
      </c>
      <c r="F6" s="5"/>
    </row>
    <row r="7" spans="1:6" ht="15">
      <c r="A7" t="s">
        <v>37</v>
      </c>
      <c r="B7" s="87">
        <v>2</v>
      </c>
      <c r="D7" s="11" t="s">
        <v>38</v>
      </c>
      <c r="E7" s="13" t="s">
        <v>39</v>
      </c>
      <c r="F7" s="5"/>
    </row>
    <row r="8" spans="1:6">
      <c r="B8" s="8"/>
      <c r="D8" s="5"/>
      <c r="E8" s="5"/>
      <c r="F8" s="5"/>
    </row>
    <row r="9" spans="1:6" ht="15">
      <c r="A9" s="2" t="s">
        <v>40</v>
      </c>
      <c r="B9" s="9"/>
      <c r="D9" s="80" t="s">
        <v>41</v>
      </c>
      <c r="E9" s="80"/>
      <c r="F9" s="80"/>
    </row>
    <row r="10" spans="1:6">
      <c r="A10" t="s">
        <v>42</v>
      </c>
      <c r="B10" s="87"/>
      <c r="D10" s="80"/>
      <c r="E10" s="80"/>
      <c r="F10" s="80"/>
    </row>
    <row r="11" spans="1:6">
      <c r="A11" t="s">
        <v>43</v>
      </c>
      <c r="B11" s="87"/>
    </row>
    <row r="12" spans="1:6">
      <c r="A12" t="s">
        <v>44</v>
      </c>
      <c r="B12" s="87"/>
    </row>
    <row r="13" spans="1:6">
      <c r="B13" s="8"/>
    </row>
    <row r="14" spans="1:6" ht="15">
      <c r="A14" s="2" t="s">
        <v>45</v>
      </c>
      <c r="B14" s="9"/>
    </row>
    <row r="15" spans="1:6">
      <c r="A15" t="s">
        <v>46</v>
      </c>
      <c r="B15" s="8">
        <f>B6*(B6-1)/2</f>
        <v>28</v>
      </c>
    </row>
    <row r="16" spans="1:6">
      <c r="A16" t="s">
        <v>47</v>
      </c>
      <c r="B16" s="8">
        <v>8</v>
      </c>
    </row>
    <row r="17" spans="1:3">
      <c r="A17" t="s">
        <v>48</v>
      </c>
      <c r="B17" s="8">
        <v>8</v>
      </c>
    </row>
    <row r="19" spans="1:3" ht="15">
      <c r="A19" s="2" t="s">
        <v>49</v>
      </c>
      <c r="B19" s="2"/>
      <c r="C19" s="2"/>
    </row>
    <row r="20" spans="1:3" ht="15">
      <c r="A20" s="3" t="s">
        <v>50</v>
      </c>
      <c r="B20" s="3" t="s">
        <v>51</v>
      </c>
      <c r="C20" s="3" t="s">
        <v>52</v>
      </c>
    </row>
    <row r="21" spans="1:3">
      <c r="A21">
        <v>1</v>
      </c>
      <c r="B21" t="s">
        <v>53</v>
      </c>
      <c r="C21" t="str">
        <f t="shared" ref="C21:C28" si="0">IF(A21&lt;=$B$5,"Yes","")</f>
        <v>Yes</v>
      </c>
    </row>
    <row r="22" spans="1:3">
      <c r="A22">
        <v>2</v>
      </c>
      <c r="B22" t="s">
        <v>54</v>
      </c>
      <c r="C22" t="str">
        <f t="shared" si="0"/>
        <v>Yes</v>
      </c>
    </row>
    <row r="23" spans="1:3">
      <c r="A23">
        <v>3</v>
      </c>
      <c r="B23" t="s">
        <v>55</v>
      </c>
      <c r="C23" t="str">
        <f t="shared" si="0"/>
        <v>Yes</v>
      </c>
    </row>
    <row r="24" spans="1:3">
      <c r="A24">
        <v>4</v>
      </c>
      <c r="B24" t="s">
        <v>56</v>
      </c>
      <c r="C24" t="str">
        <f t="shared" si="0"/>
        <v>Yes</v>
      </c>
    </row>
    <row r="25" spans="1:3">
      <c r="A25">
        <v>5</v>
      </c>
      <c r="B25" t="s">
        <v>57</v>
      </c>
      <c r="C25" t="str">
        <f t="shared" si="0"/>
        <v>Yes</v>
      </c>
    </row>
    <row r="26" spans="1:3">
      <c r="A26">
        <v>6</v>
      </c>
      <c r="B26" t="s">
        <v>58</v>
      </c>
      <c r="C26" t="str">
        <f t="shared" si="0"/>
        <v>Yes</v>
      </c>
    </row>
    <row r="27" spans="1:3">
      <c r="A27">
        <v>7</v>
      </c>
      <c r="B27" t="s">
        <v>59</v>
      </c>
      <c r="C27" t="str">
        <f t="shared" si="0"/>
        <v>Yes</v>
      </c>
    </row>
    <row r="28" spans="1:3">
      <c r="A28">
        <v>8</v>
      </c>
      <c r="B28" t="s">
        <v>60</v>
      </c>
      <c r="C28" t="str">
        <f t="shared" si="0"/>
        <v>Yes</v>
      </c>
    </row>
    <row r="30" spans="1:3" ht="15">
      <c r="A30" s="2" t="s">
        <v>61</v>
      </c>
      <c r="B30" s="2"/>
    </row>
    <row r="31" spans="1:3">
      <c r="A31" t="s">
        <v>62</v>
      </c>
      <c r="B31" s="87"/>
    </row>
    <row r="32" spans="1:3">
      <c r="A32" t="s">
        <v>63</v>
      </c>
      <c r="B32" s="87"/>
    </row>
    <row r="33" spans="1:2">
      <c r="A33" t="s">
        <v>64</v>
      </c>
      <c r="B33" s="87"/>
    </row>
    <row r="34" spans="1:2">
      <c r="A34" t="s">
        <v>65</v>
      </c>
      <c r="B34" s="87"/>
    </row>
    <row r="35" spans="1:2">
      <c r="A35" t="s">
        <v>66</v>
      </c>
      <c r="B35" s="87"/>
    </row>
    <row r="36" spans="1:2">
      <c r="A36" t="s">
        <v>67</v>
      </c>
      <c r="B36" t="s">
        <v>68</v>
      </c>
    </row>
    <row r="38" spans="1:2" ht="15">
      <c r="A38" s="2" t="s">
        <v>69</v>
      </c>
      <c r="B38" s="2" t="s">
        <v>16</v>
      </c>
    </row>
  </sheetData>
  <mergeCells count="5">
    <mergeCell ref="A1:C1"/>
    <mergeCell ref="A2:C2"/>
    <mergeCell ref="D1:F1"/>
    <mergeCell ref="D2:F2"/>
    <mergeCell ref="D9:F10"/>
  </mergeCells>
  <dataValidations count="6">
    <dataValidation type="list" sqref="B5" xr:uid="{00000000-0002-0000-0100-000000000000}">
      <formula1>"2,4,8"</formula1>
    </dataValidation>
    <dataValidation type="list" sqref="B6" xr:uid="{00000000-0002-0000-0100-000001000000}">
      <formula1>"4,5,6,7,8"</formula1>
    </dataValidation>
    <dataValidation type="list" sqref="B7" xr:uid="{00000000-0002-0000-0100-000002000000}">
      <formula1>"1,2"</formula1>
    </dataValidation>
    <dataValidation type="list" sqref="B35" xr:uid="{00000000-0002-0000-0100-000003000000}">
      <formula1>"Yes,No"</formula1>
    </dataValidation>
    <dataValidation type="list" sqref="E3" xr:uid="{00000000-0002-0000-0100-000004000000}">
      <formula1>"Automatic,No Finals"</formula1>
    </dataValidation>
    <dataValidation type="list" sqref="E6" xr:uid="{00000000-0002-0000-0100-000005000000}">
      <formula1>"No,Yes"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7"/>
  <sheetViews>
    <sheetView topLeftCell="A60" workbookViewId="0">
      <selection activeCell="C75" sqref="C75"/>
    </sheetView>
  </sheetViews>
  <sheetFormatPr defaultRowHeight="14.25"/>
  <cols>
    <col min="1" max="1" width="9" style="8" customWidth="1"/>
    <col min="2" max="2" width="8" customWidth="1"/>
    <col min="3" max="3" width="10" customWidth="1"/>
    <col min="4" max="4" width="24" customWidth="1"/>
    <col min="5" max="5" width="14" style="8" customWidth="1"/>
    <col min="6" max="6" width="12" customWidth="1"/>
  </cols>
  <sheetData>
    <row r="1" spans="1:6" ht="20.25">
      <c r="A1" s="76" t="str">
        <f>Setup!$B$3&amp;" — TEAM ENTRY"</f>
        <v xml:space="preserve"> — TEAM ENTRY</v>
      </c>
      <c r="B1" s="76"/>
      <c r="C1" s="76"/>
      <c r="D1" s="76"/>
      <c r="E1" s="76"/>
      <c r="F1" s="76"/>
    </row>
    <row r="2" spans="1:6">
      <c r="A2" s="75" t="s">
        <v>70</v>
      </c>
      <c r="B2" s="75"/>
      <c r="C2" s="75"/>
      <c r="D2" s="75"/>
      <c r="E2" s="75"/>
      <c r="F2" s="75"/>
    </row>
    <row r="3" spans="1:6" ht="15">
      <c r="A3" s="3" t="s">
        <v>71</v>
      </c>
      <c r="B3" s="3" t="s">
        <v>72</v>
      </c>
      <c r="C3" s="3" t="s">
        <v>73</v>
      </c>
      <c r="D3" s="3" t="s">
        <v>74</v>
      </c>
      <c r="E3" s="3" t="s">
        <v>75</v>
      </c>
      <c r="F3" s="3" t="s">
        <v>76</v>
      </c>
    </row>
    <row r="4" spans="1:6">
      <c r="A4" s="8" t="s">
        <v>53</v>
      </c>
      <c r="B4">
        <v>1</v>
      </c>
      <c r="C4" t="s">
        <v>77</v>
      </c>
      <c r="D4" s="1" t="s">
        <v>78</v>
      </c>
      <c r="E4" s="8" t="s">
        <v>79</v>
      </c>
      <c r="F4" t="str">
        <f>IF(AND(CODE(A4)-64&lt;=Setup!$B$5,B4&lt;=Setup!$B$6,D4&lt;&gt;""),"Active",0)</f>
        <v>Active</v>
      </c>
    </row>
    <row r="5" spans="1:6">
      <c r="A5" s="8" t="s">
        <v>53</v>
      </c>
      <c r="B5">
        <v>2</v>
      </c>
      <c r="C5" t="s">
        <v>80</v>
      </c>
      <c r="D5" s="1" t="s">
        <v>81</v>
      </c>
      <c r="E5" s="8" t="s">
        <v>82</v>
      </c>
      <c r="F5" t="str">
        <f>IF(AND(CODE(A5)-64&lt;=Setup!$B$5,B5&lt;=Setup!$B$6,D5&lt;&gt;""),"Active",0)</f>
        <v>Active</v>
      </c>
    </row>
    <row r="6" spans="1:6">
      <c r="A6" s="8" t="s">
        <v>53</v>
      </c>
      <c r="B6">
        <v>3</v>
      </c>
      <c r="C6" t="s">
        <v>83</v>
      </c>
      <c r="D6" s="1" t="s">
        <v>84</v>
      </c>
      <c r="E6" s="8" t="s">
        <v>85</v>
      </c>
      <c r="F6" t="str">
        <f>IF(AND(CODE(A6)-64&lt;=Setup!$B$5,B6&lt;=Setup!$B$6,D6&lt;&gt;""),"Active",0)</f>
        <v>Active</v>
      </c>
    </row>
    <row r="7" spans="1:6">
      <c r="A7" s="8" t="s">
        <v>53</v>
      </c>
      <c r="B7">
        <v>4</v>
      </c>
      <c r="C7" t="s">
        <v>86</v>
      </c>
      <c r="D7" s="1" t="s">
        <v>87</v>
      </c>
      <c r="E7" s="8" t="s">
        <v>88</v>
      </c>
      <c r="F7" t="str">
        <f>IF(AND(CODE(A7)-64&lt;=Setup!$B$5,B7&lt;=Setup!$B$6,D7&lt;&gt;""),"Active",0)</f>
        <v>Active</v>
      </c>
    </row>
    <row r="8" spans="1:6" hidden="1">
      <c r="A8" s="8" t="s">
        <v>53</v>
      </c>
      <c r="B8">
        <v>5</v>
      </c>
      <c r="C8" t="s">
        <v>89</v>
      </c>
      <c r="D8" s="1" t="s">
        <v>90</v>
      </c>
      <c r="E8" s="8" t="s">
        <v>91</v>
      </c>
      <c r="F8" t="str">
        <f>IF(AND(CODE(A8)-64&lt;=Setup!$B$5,B8&lt;=Setup!$B$6,D8&lt;&gt;""),"Active",0)</f>
        <v>Active</v>
      </c>
    </row>
    <row r="9" spans="1:6" hidden="1">
      <c r="A9" s="8" t="s">
        <v>53</v>
      </c>
      <c r="B9">
        <v>6</v>
      </c>
      <c r="C9" t="s">
        <v>92</v>
      </c>
      <c r="D9" s="1" t="s">
        <v>93</v>
      </c>
      <c r="E9" s="8" t="s">
        <v>94</v>
      </c>
      <c r="F9" t="str">
        <f>IF(AND(CODE(A9)-64&lt;=Setup!$B$5,B9&lt;=Setup!$B$6,D9&lt;&gt;""),"Active",0)</f>
        <v>Active</v>
      </c>
    </row>
    <row r="10" spans="1:6" hidden="1">
      <c r="A10" s="8" t="s">
        <v>53</v>
      </c>
      <c r="B10">
        <v>7</v>
      </c>
      <c r="C10" t="s">
        <v>95</v>
      </c>
      <c r="D10" s="1" t="s">
        <v>96</v>
      </c>
      <c r="E10" s="8" t="s">
        <v>97</v>
      </c>
      <c r="F10" t="str">
        <f>IF(AND(CODE(A10)-64&lt;=Setup!$B$5,B10&lt;=Setup!$B$6,D10&lt;&gt;""),"Active",0)</f>
        <v>Active</v>
      </c>
    </row>
    <row r="11" spans="1:6" hidden="1">
      <c r="A11" s="8" t="s">
        <v>53</v>
      </c>
      <c r="B11">
        <v>8</v>
      </c>
      <c r="C11" t="s">
        <v>98</v>
      </c>
      <c r="D11" s="1" t="s">
        <v>99</v>
      </c>
      <c r="E11" s="8" t="s">
        <v>100</v>
      </c>
      <c r="F11" t="str">
        <f>IF(AND(CODE(A11)-64&lt;=Setup!$B$5,B11&lt;=Setup!$B$6,D11&lt;&gt;""),"Active",0)</f>
        <v>Active</v>
      </c>
    </row>
    <row r="12" spans="1:6">
      <c r="A12" s="8" t="s">
        <v>54</v>
      </c>
      <c r="B12">
        <v>1</v>
      </c>
      <c r="C12" t="s">
        <v>101</v>
      </c>
      <c r="D12" s="1" t="s">
        <v>102</v>
      </c>
      <c r="E12" s="8" t="s">
        <v>103</v>
      </c>
      <c r="F12" t="str">
        <f>IF(AND(CODE(A12)-64&lt;=Setup!$B$5,B12&lt;=Setup!$B$6,D12&lt;&gt;""),"Active",0)</f>
        <v>Active</v>
      </c>
    </row>
    <row r="13" spans="1:6">
      <c r="A13" s="8" t="s">
        <v>54</v>
      </c>
      <c r="B13">
        <v>2</v>
      </c>
      <c r="C13" t="s">
        <v>104</v>
      </c>
      <c r="D13" s="1" t="s">
        <v>105</v>
      </c>
      <c r="E13" s="8" t="s">
        <v>106</v>
      </c>
      <c r="F13" t="str">
        <f>IF(AND(CODE(A13)-64&lt;=Setup!$B$5,B13&lt;=Setup!$B$6,D13&lt;&gt;""),"Active",0)</f>
        <v>Active</v>
      </c>
    </row>
    <row r="14" spans="1:6">
      <c r="A14" s="8" t="s">
        <v>54</v>
      </c>
      <c r="B14">
        <v>3</v>
      </c>
      <c r="C14" t="s">
        <v>107</v>
      </c>
      <c r="D14" s="1" t="s">
        <v>108</v>
      </c>
      <c r="E14" s="8" t="s">
        <v>109</v>
      </c>
      <c r="F14" t="str">
        <f>IF(AND(CODE(A14)-64&lt;=Setup!$B$5,B14&lt;=Setup!$B$6,D14&lt;&gt;""),"Active",0)</f>
        <v>Active</v>
      </c>
    </row>
    <row r="15" spans="1:6">
      <c r="A15" s="8" t="s">
        <v>54</v>
      </c>
      <c r="B15">
        <v>4</v>
      </c>
      <c r="C15" t="s">
        <v>110</v>
      </c>
      <c r="D15" s="1" t="s">
        <v>111</v>
      </c>
      <c r="E15" s="8" t="s">
        <v>112</v>
      </c>
      <c r="F15" t="str">
        <f>IF(AND(CODE(A15)-64&lt;=Setup!$B$5,B15&lt;=Setup!$B$6,D15&lt;&gt;""),"Active",0)</f>
        <v>Active</v>
      </c>
    </row>
    <row r="16" spans="1:6" hidden="1">
      <c r="A16" s="8" t="s">
        <v>54</v>
      </c>
      <c r="B16">
        <v>5</v>
      </c>
      <c r="C16" t="s">
        <v>113</v>
      </c>
      <c r="D16" s="1" t="s">
        <v>114</v>
      </c>
      <c r="E16" s="8" t="s">
        <v>115</v>
      </c>
      <c r="F16" t="str">
        <f>IF(AND(CODE(A16)-64&lt;=Setup!$B$5,B16&lt;=Setup!$B$6,D16&lt;&gt;""),"Active",0)</f>
        <v>Active</v>
      </c>
    </row>
    <row r="17" spans="1:6" hidden="1">
      <c r="A17" s="8" t="s">
        <v>54</v>
      </c>
      <c r="B17">
        <v>6</v>
      </c>
      <c r="C17" t="s">
        <v>116</v>
      </c>
      <c r="D17" s="1" t="s">
        <v>117</v>
      </c>
      <c r="E17" s="8" t="s">
        <v>118</v>
      </c>
      <c r="F17" t="str">
        <f>IF(AND(CODE(A17)-64&lt;=Setup!$B$5,B17&lt;=Setup!$B$6,D17&lt;&gt;""),"Active",0)</f>
        <v>Active</v>
      </c>
    </row>
    <row r="18" spans="1:6" hidden="1">
      <c r="A18" s="8" t="s">
        <v>54</v>
      </c>
      <c r="B18">
        <v>7</v>
      </c>
      <c r="C18" t="s">
        <v>119</v>
      </c>
      <c r="D18" s="1" t="s">
        <v>120</v>
      </c>
      <c r="E18" s="8" t="s">
        <v>121</v>
      </c>
      <c r="F18" t="str">
        <f>IF(AND(CODE(A18)-64&lt;=Setup!$B$5,B18&lt;=Setup!$B$6,D18&lt;&gt;""),"Active",0)</f>
        <v>Active</v>
      </c>
    </row>
    <row r="19" spans="1:6" hidden="1">
      <c r="A19" s="8" t="s">
        <v>54</v>
      </c>
      <c r="B19">
        <v>8</v>
      </c>
      <c r="C19" t="s">
        <v>122</v>
      </c>
      <c r="D19" s="1" t="s">
        <v>123</v>
      </c>
      <c r="E19" s="8" t="s">
        <v>124</v>
      </c>
      <c r="F19" t="str">
        <f>IF(AND(CODE(A19)-64&lt;=Setup!$B$5,B19&lt;=Setup!$B$6,D19&lt;&gt;""),"Active",0)</f>
        <v>Active</v>
      </c>
    </row>
    <row r="20" spans="1:6">
      <c r="A20" s="8" t="s">
        <v>55</v>
      </c>
      <c r="B20">
        <v>1</v>
      </c>
      <c r="C20" t="s">
        <v>125</v>
      </c>
      <c r="D20" s="1" t="s">
        <v>126</v>
      </c>
      <c r="E20" s="8" t="s">
        <v>127</v>
      </c>
      <c r="F20" t="str">
        <f>IF(AND(CODE(A20)-64&lt;=Setup!$B$5,B20&lt;=Setup!$B$6,D20&lt;&gt;""),"Active",0)</f>
        <v>Active</v>
      </c>
    </row>
    <row r="21" spans="1:6">
      <c r="A21" s="8" t="s">
        <v>55</v>
      </c>
      <c r="B21">
        <v>2</v>
      </c>
      <c r="C21" t="s">
        <v>128</v>
      </c>
      <c r="D21" s="1" t="s">
        <v>129</v>
      </c>
      <c r="E21" s="8" t="s">
        <v>130</v>
      </c>
      <c r="F21" t="str">
        <f>IF(AND(CODE(A21)-64&lt;=Setup!$B$5,B21&lt;=Setup!$B$6,D21&lt;&gt;""),"Active",0)</f>
        <v>Active</v>
      </c>
    </row>
    <row r="22" spans="1:6">
      <c r="A22" s="8" t="s">
        <v>55</v>
      </c>
      <c r="B22">
        <v>3</v>
      </c>
      <c r="C22" t="s">
        <v>131</v>
      </c>
      <c r="D22" s="1" t="s">
        <v>132</v>
      </c>
      <c r="E22" s="8" t="s">
        <v>133</v>
      </c>
      <c r="F22" t="str">
        <f>IF(AND(CODE(A22)-64&lt;=Setup!$B$5,B22&lt;=Setup!$B$6,D22&lt;&gt;""),"Active",0)</f>
        <v>Active</v>
      </c>
    </row>
    <row r="23" spans="1:6">
      <c r="A23" s="8" t="s">
        <v>55</v>
      </c>
      <c r="B23">
        <v>4</v>
      </c>
      <c r="C23" t="s">
        <v>134</v>
      </c>
      <c r="D23" s="1" t="s">
        <v>135</v>
      </c>
      <c r="E23" s="8" t="s">
        <v>136</v>
      </c>
      <c r="F23" t="str">
        <f>IF(AND(CODE(A23)-64&lt;=Setup!$B$5,B23&lt;=Setup!$B$6,D23&lt;&gt;""),"Active",0)</f>
        <v>Active</v>
      </c>
    </row>
    <row r="24" spans="1:6" hidden="1">
      <c r="A24" s="8" t="s">
        <v>55</v>
      </c>
      <c r="B24">
        <v>5</v>
      </c>
      <c r="C24" t="s">
        <v>137</v>
      </c>
      <c r="D24" s="1" t="s">
        <v>138</v>
      </c>
      <c r="E24" s="8" t="s">
        <v>139</v>
      </c>
      <c r="F24" t="str">
        <f>IF(AND(CODE(A24)-64&lt;=Setup!$B$5,B24&lt;=Setup!$B$6,D24&lt;&gt;""),"Active",0)</f>
        <v>Active</v>
      </c>
    </row>
    <row r="25" spans="1:6" hidden="1">
      <c r="A25" s="8" t="s">
        <v>55</v>
      </c>
      <c r="B25">
        <v>6</v>
      </c>
      <c r="C25" t="s">
        <v>140</v>
      </c>
      <c r="D25" s="1" t="s">
        <v>141</v>
      </c>
      <c r="E25" s="8" t="s">
        <v>142</v>
      </c>
      <c r="F25" t="str">
        <f>IF(AND(CODE(A25)-64&lt;=Setup!$B$5,B25&lt;=Setup!$B$6,D25&lt;&gt;""),"Active",0)</f>
        <v>Active</v>
      </c>
    </row>
    <row r="26" spans="1:6" hidden="1">
      <c r="A26" s="8" t="s">
        <v>55</v>
      </c>
      <c r="B26">
        <v>7</v>
      </c>
      <c r="C26" t="s">
        <v>143</v>
      </c>
      <c r="D26" s="1" t="s">
        <v>144</v>
      </c>
      <c r="E26" s="8" t="s">
        <v>145</v>
      </c>
      <c r="F26" t="str">
        <f>IF(AND(CODE(A26)-64&lt;=Setup!$B$5,B26&lt;=Setup!$B$6,D26&lt;&gt;""),"Active",0)</f>
        <v>Active</v>
      </c>
    </row>
    <row r="27" spans="1:6" hidden="1">
      <c r="A27" s="8" t="s">
        <v>55</v>
      </c>
      <c r="B27">
        <v>8</v>
      </c>
      <c r="C27" t="s">
        <v>146</v>
      </c>
      <c r="D27" s="1" t="s">
        <v>147</v>
      </c>
      <c r="E27" s="8" t="s">
        <v>148</v>
      </c>
      <c r="F27" t="str">
        <f>IF(AND(CODE(A27)-64&lt;=Setup!$B$5,B27&lt;=Setup!$B$6,D27&lt;&gt;""),"Active",0)</f>
        <v>Active</v>
      </c>
    </row>
    <row r="28" spans="1:6">
      <c r="A28" s="8" t="s">
        <v>56</v>
      </c>
      <c r="B28">
        <v>1</v>
      </c>
      <c r="C28" t="s">
        <v>149</v>
      </c>
      <c r="D28" s="1" t="s">
        <v>150</v>
      </c>
      <c r="E28" s="8" t="s">
        <v>151</v>
      </c>
      <c r="F28" t="str">
        <f>IF(AND(CODE(A28)-64&lt;=Setup!$B$5,B28&lt;=Setup!$B$6,D28&lt;&gt;""),"Active",0)</f>
        <v>Active</v>
      </c>
    </row>
    <row r="29" spans="1:6">
      <c r="A29" s="8" t="s">
        <v>56</v>
      </c>
      <c r="B29">
        <v>2</v>
      </c>
      <c r="C29" t="s">
        <v>152</v>
      </c>
      <c r="D29" s="1" t="s">
        <v>153</v>
      </c>
      <c r="E29" s="8" t="s">
        <v>154</v>
      </c>
      <c r="F29" t="str">
        <f>IF(AND(CODE(A29)-64&lt;=Setup!$B$5,B29&lt;=Setup!$B$6,D29&lt;&gt;""),"Active",0)</f>
        <v>Active</v>
      </c>
    </row>
    <row r="30" spans="1:6">
      <c r="A30" s="8" t="s">
        <v>56</v>
      </c>
      <c r="B30">
        <v>3</v>
      </c>
      <c r="C30" t="s">
        <v>155</v>
      </c>
      <c r="D30" s="1" t="s">
        <v>156</v>
      </c>
      <c r="E30" s="8" t="s">
        <v>157</v>
      </c>
      <c r="F30" t="str">
        <f>IF(AND(CODE(A30)-64&lt;=Setup!$B$5,B30&lt;=Setup!$B$6,D30&lt;&gt;""),"Active",0)</f>
        <v>Active</v>
      </c>
    </row>
    <row r="31" spans="1:6">
      <c r="A31" s="8" t="s">
        <v>56</v>
      </c>
      <c r="B31">
        <v>4</v>
      </c>
      <c r="C31" t="s">
        <v>158</v>
      </c>
      <c r="D31" s="1" t="s">
        <v>159</v>
      </c>
      <c r="E31" s="8" t="s">
        <v>160</v>
      </c>
      <c r="F31" t="str">
        <f>IF(AND(CODE(A31)-64&lt;=Setup!$B$5,B31&lt;=Setup!$B$6,D31&lt;&gt;""),"Active",0)</f>
        <v>Active</v>
      </c>
    </row>
    <row r="32" spans="1:6">
      <c r="A32" s="8" t="s">
        <v>56</v>
      </c>
      <c r="B32">
        <v>5</v>
      </c>
      <c r="C32" t="s">
        <v>161</v>
      </c>
      <c r="D32" s="1" t="s">
        <v>162</v>
      </c>
      <c r="E32" s="8" t="s">
        <v>163</v>
      </c>
      <c r="F32" t="str">
        <f>IF(AND(CODE(A32)-64&lt;=Setup!$B$5,B32&lt;=Setup!$B$6,D32&lt;&gt;""),"Active",0)</f>
        <v>Active</v>
      </c>
    </row>
    <row r="33" spans="1:6">
      <c r="A33" s="8" t="s">
        <v>56</v>
      </c>
      <c r="B33">
        <v>6</v>
      </c>
      <c r="C33" t="s">
        <v>164</v>
      </c>
      <c r="D33" s="1" t="s">
        <v>165</v>
      </c>
      <c r="E33" s="8" t="s">
        <v>166</v>
      </c>
      <c r="F33" t="str">
        <f>IF(AND(CODE(A33)-64&lt;=Setup!$B$5,B33&lt;=Setup!$B$6,D33&lt;&gt;""),"Active",0)</f>
        <v>Active</v>
      </c>
    </row>
    <row r="34" spans="1:6">
      <c r="A34" s="8" t="s">
        <v>56</v>
      </c>
      <c r="B34">
        <v>7</v>
      </c>
      <c r="C34" t="s">
        <v>167</v>
      </c>
      <c r="D34" s="1" t="s">
        <v>168</v>
      </c>
      <c r="E34" s="8" t="s">
        <v>169</v>
      </c>
      <c r="F34" t="str">
        <f>IF(AND(CODE(A34)-64&lt;=Setup!$B$5,B34&lt;=Setup!$B$6,D34&lt;&gt;""),"Active",0)</f>
        <v>Active</v>
      </c>
    </row>
    <row r="35" spans="1:6">
      <c r="A35" s="8" t="s">
        <v>56</v>
      </c>
      <c r="B35">
        <v>8</v>
      </c>
      <c r="C35" t="s">
        <v>170</v>
      </c>
      <c r="D35" s="1" t="s">
        <v>171</v>
      </c>
      <c r="E35" s="8" t="s">
        <v>172</v>
      </c>
      <c r="F35" t="str">
        <f>IF(AND(CODE(A35)-64&lt;=Setup!$B$5,B35&lt;=Setup!$B$6,D35&lt;&gt;""),"Active",0)</f>
        <v>Active</v>
      </c>
    </row>
    <row r="36" spans="1:6">
      <c r="A36" s="8" t="s">
        <v>57</v>
      </c>
      <c r="B36">
        <v>1</v>
      </c>
      <c r="C36" t="s">
        <v>173</v>
      </c>
      <c r="D36" s="1" t="s">
        <v>174</v>
      </c>
      <c r="E36" s="8" t="s">
        <v>175</v>
      </c>
      <c r="F36" t="str">
        <f>IF(AND(CODE(A36)-64&lt;=Setup!$B$5,B36&lt;=Setup!$B$6,D36&lt;&gt;""),"Active",0)</f>
        <v>Active</v>
      </c>
    </row>
    <row r="37" spans="1:6">
      <c r="A37" s="8" t="s">
        <v>57</v>
      </c>
      <c r="B37">
        <v>2</v>
      </c>
      <c r="C37" t="s">
        <v>176</v>
      </c>
      <c r="D37" s="1" t="s">
        <v>177</v>
      </c>
      <c r="E37" s="8" t="s">
        <v>178</v>
      </c>
      <c r="F37" t="str">
        <f>IF(AND(CODE(A37)-64&lt;=Setup!$B$5,B37&lt;=Setup!$B$6,D37&lt;&gt;""),"Active",0)</f>
        <v>Active</v>
      </c>
    </row>
    <row r="38" spans="1:6">
      <c r="A38" s="8" t="s">
        <v>57</v>
      </c>
      <c r="B38">
        <v>3</v>
      </c>
      <c r="C38" t="s">
        <v>179</v>
      </c>
      <c r="D38" s="1" t="s">
        <v>180</v>
      </c>
      <c r="E38" s="8" t="s">
        <v>181</v>
      </c>
      <c r="F38" t="str">
        <f>IF(AND(CODE(A38)-64&lt;=Setup!$B$5,B38&lt;=Setup!$B$6,D38&lt;&gt;""),"Active",0)</f>
        <v>Active</v>
      </c>
    </row>
    <row r="39" spans="1:6">
      <c r="A39" s="8" t="s">
        <v>57</v>
      </c>
      <c r="B39">
        <v>4</v>
      </c>
      <c r="C39" t="s">
        <v>182</v>
      </c>
      <c r="D39" s="1" t="s">
        <v>183</v>
      </c>
      <c r="E39" s="8" t="s">
        <v>184</v>
      </c>
      <c r="F39" t="str">
        <f>IF(AND(CODE(A39)-64&lt;=Setup!$B$5,B39&lt;=Setup!$B$6,D39&lt;&gt;""),"Active",0)</f>
        <v>Active</v>
      </c>
    </row>
    <row r="40" spans="1:6">
      <c r="A40" s="8" t="s">
        <v>57</v>
      </c>
      <c r="B40">
        <v>5</v>
      </c>
      <c r="C40" t="s">
        <v>185</v>
      </c>
      <c r="D40" s="1" t="s">
        <v>186</v>
      </c>
      <c r="E40" s="8" t="s">
        <v>187</v>
      </c>
      <c r="F40" t="str">
        <f>IF(AND(CODE(A40)-64&lt;=Setup!$B$5,B40&lt;=Setup!$B$6,D40&lt;&gt;""),"Active",0)</f>
        <v>Active</v>
      </c>
    </row>
    <row r="41" spans="1:6">
      <c r="A41" s="8" t="s">
        <v>57</v>
      </c>
      <c r="B41">
        <v>6</v>
      </c>
      <c r="C41" t="s">
        <v>188</v>
      </c>
      <c r="D41" s="1" t="s">
        <v>189</v>
      </c>
      <c r="E41" s="8" t="s">
        <v>190</v>
      </c>
      <c r="F41" t="str">
        <f>IF(AND(CODE(A41)-64&lt;=Setup!$B$5,B41&lt;=Setup!$B$6,D41&lt;&gt;""),"Active",0)</f>
        <v>Active</v>
      </c>
    </row>
    <row r="42" spans="1:6">
      <c r="A42" s="8" t="s">
        <v>57</v>
      </c>
      <c r="B42">
        <v>7</v>
      </c>
      <c r="C42" t="s">
        <v>191</v>
      </c>
      <c r="D42" s="1" t="s">
        <v>192</v>
      </c>
      <c r="E42" s="8" t="s">
        <v>193</v>
      </c>
      <c r="F42" t="str">
        <f>IF(AND(CODE(A42)-64&lt;=Setup!$B$5,B42&lt;=Setup!$B$6,D42&lt;&gt;""),"Active",0)</f>
        <v>Active</v>
      </c>
    </row>
    <row r="43" spans="1:6">
      <c r="A43" s="8" t="s">
        <v>57</v>
      </c>
      <c r="B43">
        <v>8</v>
      </c>
      <c r="C43" t="s">
        <v>194</v>
      </c>
      <c r="D43" s="1" t="s">
        <v>195</v>
      </c>
      <c r="E43" s="8" t="s">
        <v>196</v>
      </c>
      <c r="F43" t="str">
        <f>IF(AND(CODE(A43)-64&lt;=Setup!$B$5,B43&lt;=Setup!$B$6,D43&lt;&gt;""),"Active",0)</f>
        <v>Active</v>
      </c>
    </row>
    <row r="44" spans="1:6">
      <c r="A44" s="8" t="s">
        <v>58</v>
      </c>
      <c r="B44">
        <v>1</v>
      </c>
      <c r="C44" t="s">
        <v>197</v>
      </c>
      <c r="D44" s="1" t="s">
        <v>198</v>
      </c>
      <c r="E44" s="8" t="s">
        <v>199</v>
      </c>
      <c r="F44" t="str">
        <f>IF(AND(CODE(A44)-64&lt;=Setup!$B$5,B44&lt;=Setup!$B$6,D44&lt;&gt;""),"Active",0)</f>
        <v>Active</v>
      </c>
    </row>
    <row r="45" spans="1:6">
      <c r="A45" s="8" t="s">
        <v>58</v>
      </c>
      <c r="B45">
        <v>2</v>
      </c>
      <c r="C45" t="s">
        <v>200</v>
      </c>
      <c r="D45" s="1" t="s">
        <v>201</v>
      </c>
      <c r="E45" s="8" t="s">
        <v>202</v>
      </c>
      <c r="F45" t="str">
        <f>IF(AND(CODE(A45)-64&lt;=Setup!$B$5,B45&lt;=Setup!$B$6,D45&lt;&gt;""),"Active",0)</f>
        <v>Active</v>
      </c>
    </row>
    <row r="46" spans="1:6">
      <c r="A46" s="8" t="s">
        <v>58</v>
      </c>
      <c r="B46">
        <v>3</v>
      </c>
      <c r="C46" t="s">
        <v>203</v>
      </c>
      <c r="D46" s="1" t="s">
        <v>204</v>
      </c>
      <c r="E46" s="8" t="s">
        <v>205</v>
      </c>
      <c r="F46" t="str">
        <f>IF(AND(CODE(A46)-64&lt;=Setup!$B$5,B46&lt;=Setup!$B$6,D46&lt;&gt;""),"Active",0)</f>
        <v>Active</v>
      </c>
    </row>
    <row r="47" spans="1:6">
      <c r="A47" s="8" t="s">
        <v>58</v>
      </c>
      <c r="B47">
        <v>4</v>
      </c>
      <c r="C47" t="s">
        <v>206</v>
      </c>
      <c r="D47" s="1" t="s">
        <v>207</v>
      </c>
      <c r="E47" s="8" t="s">
        <v>208</v>
      </c>
      <c r="F47" t="str">
        <f>IF(AND(CODE(A47)-64&lt;=Setup!$B$5,B47&lt;=Setup!$B$6,D47&lt;&gt;""),"Active",0)</f>
        <v>Active</v>
      </c>
    </row>
    <row r="48" spans="1:6">
      <c r="A48" s="8" t="s">
        <v>58</v>
      </c>
      <c r="B48">
        <v>5</v>
      </c>
      <c r="C48" t="s">
        <v>209</v>
      </c>
      <c r="D48" s="1" t="s">
        <v>210</v>
      </c>
      <c r="E48" s="8" t="s">
        <v>211</v>
      </c>
      <c r="F48" t="str">
        <f>IF(AND(CODE(A48)-64&lt;=Setup!$B$5,B48&lt;=Setup!$B$6,D48&lt;&gt;""),"Active",0)</f>
        <v>Active</v>
      </c>
    </row>
    <row r="49" spans="1:6">
      <c r="A49" s="8" t="s">
        <v>58</v>
      </c>
      <c r="B49">
        <v>6</v>
      </c>
      <c r="C49" t="s">
        <v>212</v>
      </c>
      <c r="D49" s="1" t="s">
        <v>213</v>
      </c>
      <c r="E49" s="8" t="s">
        <v>214</v>
      </c>
      <c r="F49" t="str">
        <f>IF(AND(CODE(A49)-64&lt;=Setup!$B$5,B49&lt;=Setup!$B$6,D49&lt;&gt;""),"Active",0)</f>
        <v>Active</v>
      </c>
    </row>
    <row r="50" spans="1:6">
      <c r="A50" s="8" t="s">
        <v>58</v>
      </c>
      <c r="B50">
        <v>7</v>
      </c>
      <c r="C50" t="s">
        <v>215</v>
      </c>
      <c r="D50" s="1" t="s">
        <v>216</v>
      </c>
      <c r="E50" s="8" t="s">
        <v>217</v>
      </c>
      <c r="F50" t="str">
        <f>IF(AND(CODE(A50)-64&lt;=Setup!$B$5,B50&lt;=Setup!$B$6,D50&lt;&gt;""),"Active",0)</f>
        <v>Active</v>
      </c>
    </row>
    <row r="51" spans="1:6">
      <c r="A51" s="8" t="s">
        <v>58</v>
      </c>
      <c r="B51">
        <v>8</v>
      </c>
      <c r="C51" t="s">
        <v>218</v>
      </c>
      <c r="D51" s="1" t="s">
        <v>219</v>
      </c>
      <c r="E51" s="8" t="s">
        <v>220</v>
      </c>
      <c r="F51" t="str">
        <f>IF(AND(CODE(A51)-64&lt;=Setup!$B$5,B51&lt;=Setup!$B$6,D51&lt;&gt;""),"Active",0)</f>
        <v>Active</v>
      </c>
    </row>
    <row r="52" spans="1:6">
      <c r="A52" s="8" t="s">
        <v>59</v>
      </c>
      <c r="B52">
        <v>1</v>
      </c>
      <c r="C52" t="s">
        <v>221</v>
      </c>
      <c r="D52" s="1" t="s">
        <v>222</v>
      </c>
      <c r="E52" s="8" t="s">
        <v>223</v>
      </c>
      <c r="F52" t="str">
        <f>IF(AND(CODE(A52)-64&lt;=Setup!$B$5,B52&lt;=Setup!$B$6,D52&lt;&gt;""),"Active",0)</f>
        <v>Active</v>
      </c>
    </row>
    <row r="53" spans="1:6">
      <c r="A53" s="8" t="s">
        <v>59</v>
      </c>
      <c r="B53">
        <v>2</v>
      </c>
      <c r="C53" t="s">
        <v>224</v>
      </c>
      <c r="D53" s="1" t="s">
        <v>225</v>
      </c>
      <c r="E53" s="8" t="s">
        <v>226</v>
      </c>
      <c r="F53" t="str">
        <f>IF(AND(CODE(A53)-64&lt;=Setup!$B$5,B53&lt;=Setup!$B$6,D53&lt;&gt;""),"Active",0)</f>
        <v>Active</v>
      </c>
    </row>
    <row r="54" spans="1:6">
      <c r="A54" s="8" t="s">
        <v>59</v>
      </c>
      <c r="B54">
        <v>3</v>
      </c>
      <c r="C54" t="s">
        <v>227</v>
      </c>
      <c r="D54" s="1" t="s">
        <v>228</v>
      </c>
      <c r="E54" s="8" t="s">
        <v>229</v>
      </c>
      <c r="F54" t="str">
        <f>IF(AND(CODE(A54)-64&lt;=Setup!$B$5,B54&lt;=Setup!$B$6,D54&lt;&gt;""),"Active",0)</f>
        <v>Active</v>
      </c>
    </row>
    <row r="55" spans="1:6">
      <c r="A55" s="8" t="s">
        <v>59</v>
      </c>
      <c r="B55">
        <v>4</v>
      </c>
      <c r="C55" t="s">
        <v>230</v>
      </c>
      <c r="D55" s="1" t="s">
        <v>231</v>
      </c>
      <c r="E55" s="8" t="s">
        <v>232</v>
      </c>
      <c r="F55" t="str">
        <f>IF(AND(CODE(A55)-64&lt;=Setup!$B$5,B55&lt;=Setup!$B$6,D55&lt;&gt;""),"Active",0)</f>
        <v>Active</v>
      </c>
    </row>
    <row r="56" spans="1:6">
      <c r="A56" s="8" t="s">
        <v>59</v>
      </c>
      <c r="B56">
        <v>5</v>
      </c>
      <c r="C56" t="s">
        <v>233</v>
      </c>
      <c r="D56" s="1" t="s">
        <v>234</v>
      </c>
      <c r="E56" s="8" t="s">
        <v>235</v>
      </c>
      <c r="F56" t="str">
        <f>IF(AND(CODE(A56)-64&lt;=Setup!$B$5,B56&lt;=Setup!$B$6,D56&lt;&gt;""),"Active",0)</f>
        <v>Active</v>
      </c>
    </row>
    <row r="57" spans="1:6">
      <c r="A57" s="8" t="s">
        <v>59</v>
      </c>
      <c r="B57">
        <v>6</v>
      </c>
      <c r="C57" t="s">
        <v>236</v>
      </c>
      <c r="D57" s="1" t="s">
        <v>237</v>
      </c>
      <c r="E57" s="8" t="s">
        <v>238</v>
      </c>
      <c r="F57" t="str">
        <f>IF(AND(CODE(A57)-64&lt;=Setup!$B$5,B57&lt;=Setup!$B$6,D57&lt;&gt;""),"Active",0)</f>
        <v>Active</v>
      </c>
    </row>
    <row r="58" spans="1:6">
      <c r="A58" s="8" t="s">
        <v>59</v>
      </c>
      <c r="B58">
        <v>7</v>
      </c>
      <c r="C58" t="s">
        <v>239</v>
      </c>
      <c r="D58" s="1" t="s">
        <v>240</v>
      </c>
      <c r="E58" s="8" t="s">
        <v>241</v>
      </c>
      <c r="F58" t="str">
        <f>IF(AND(CODE(A58)-64&lt;=Setup!$B$5,B58&lt;=Setup!$B$6,D58&lt;&gt;""),"Active",0)</f>
        <v>Active</v>
      </c>
    </row>
    <row r="59" spans="1:6">
      <c r="A59" s="8" t="s">
        <v>59</v>
      </c>
      <c r="B59">
        <v>8</v>
      </c>
      <c r="C59" t="s">
        <v>242</v>
      </c>
      <c r="D59" s="1" t="s">
        <v>243</v>
      </c>
      <c r="E59" s="8" t="s">
        <v>244</v>
      </c>
      <c r="F59" t="str">
        <f>IF(AND(CODE(A59)-64&lt;=Setup!$B$5,B59&lt;=Setup!$B$6,D59&lt;&gt;""),"Active",0)</f>
        <v>Active</v>
      </c>
    </row>
    <row r="60" spans="1:6">
      <c r="A60" s="8" t="s">
        <v>60</v>
      </c>
      <c r="B60">
        <v>1</v>
      </c>
      <c r="C60" t="s">
        <v>245</v>
      </c>
      <c r="D60" s="1" t="s">
        <v>246</v>
      </c>
      <c r="E60" s="8" t="s">
        <v>247</v>
      </c>
      <c r="F60" t="str">
        <f>IF(AND(CODE(A60)-64&lt;=Setup!$B$5,B60&lt;=Setup!$B$6,D60&lt;&gt;""),"Active",0)</f>
        <v>Active</v>
      </c>
    </row>
    <row r="61" spans="1:6">
      <c r="A61" s="8" t="s">
        <v>60</v>
      </c>
      <c r="B61">
        <v>2</v>
      </c>
      <c r="C61" t="s">
        <v>248</v>
      </c>
      <c r="D61" s="1" t="s">
        <v>249</v>
      </c>
      <c r="E61" s="8" t="s">
        <v>250</v>
      </c>
      <c r="F61" t="str">
        <f>IF(AND(CODE(A61)-64&lt;=Setup!$B$5,B61&lt;=Setup!$B$6,D61&lt;&gt;""),"Active",0)</f>
        <v>Active</v>
      </c>
    </row>
    <row r="62" spans="1:6">
      <c r="A62" s="8" t="s">
        <v>60</v>
      </c>
      <c r="B62">
        <v>3</v>
      </c>
      <c r="C62" t="s">
        <v>251</v>
      </c>
      <c r="D62" s="1" t="s">
        <v>252</v>
      </c>
      <c r="E62" s="8" t="s">
        <v>253</v>
      </c>
      <c r="F62" t="str">
        <f>IF(AND(CODE(A62)-64&lt;=Setup!$B$5,B62&lt;=Setup!$B$6,D62&lt;&gt;""),"Active",0)</f>
        <v>Active</v>
      </c>
    </row>
    <row r="63" spans="1:6">
      <c r="A63" s="8" t="s">
        <v>60</v>
      </c>
      <c r="B63">
        <v>4</v>
      </c>
      <c r="C63" t="s">
        <v>254</v>
      </c>
      <c r="D63" s="1" t="s">
        <v>255</v>
      </c>
      <c r="E63" s="8" t="s">
        <v>256</v>
      </c>
      <c r="F63" t="str">
        <f>IF(AND(CODE(A63)-64&lt;=Setup!$B$5,B63&lt;=Setup!$B$6,D63&lt;&gt;""),"Active",0)</f>
        <v>Active</v>
      </c>
    </row>
    <row r="64" spans="1:6">
      <c r="A64" s="8" t="s">
        <v>60</v>
      </c>
      <c r="B64">
        <v>5</v>
      </c>
      <c r="C64" t="s">
        <v>257</v>
      </c>
      <c r="D64" s="1" t="s">
        <v>258</v>
      </c>
      <c r="E64" s="8" t="s">
        <v>259</v>
      </c>
      <c r="F64" t="str">
        <f>IF(AND(CODE(A64)-64&lt;=Setup!$B$5,B64&lt;=Setup!$B$6,D64&lt;&gt;""),"Active",0)</f>
        <v>Active</v>
      </c>
    </row>
    <row r="65" spans="1:6">
      <c r="A65" s="8" t="s">
        <v>60</v>
      </c>
      <c r="B65">
        <v>6</v>
      </c>
      <c r="C65" t="s">
        <v>260</v>
      </c>
      <c r="D65" s="1" t="s">
        <v>261</v>
      </c>
      <c r="E65" s="8" t="s">
        <v>262</v>
      </c>
      <c r="F65" t="str">
        <f>IF(AND(CODE(A65)-64&lt;=Setup!$B$5,B65&lt;=Setup!$B$6,D65&lt;&gt;""),"Active",0)</f>
        <v>Active</v>
      </c>
    </row>
    <row r="66" spans="1:6">
      <c r="A66" s="8" t="s">
        <v>60</v>
      </c>
      <c r="B66">
        <v>7</v>
      </c>
      <c r="C66" t="s">
        <v>263</v>
      </c>
      <c r="D66" s="1" t="s">
        <v>264</v>
      </c>
      <c r="E66" s="8" t="s">
        <v>265</v>
      </c>
      <c r="F66" t="str">
        <f>IF(AND(CODE(A66)-64&lt;=Setup!$B$5,B66&lt;=Setup!$B$6,D66&lt;&gt;""),"Active",0)</f>
        <v>Active</v>
      </c>
    </row>
    <row r="67" spans="1:6">
      <c r="A67" s="8" t="s">
        <v>60</v>
      </c>
      <c r="B67">
        <v>8</v>
      </c>
      <c r="C67" t="s">
        <v>266</v>
      </c>
      <c r="D67" s="1" t="s">
        <v>267</v>
      </c>
      <c r="E67" s="8" t="s">
        <v>268</v>
      </c>
      <c r="F67" t="str">
        <f>IF(AND(CODE(A67)-64&lt;=Setup!$B$5,B67&lt;=Setup!$B$6,D67&lt;&gt;""),"Active",0)</f>
        <v>Active</v>
      </c>
    </row>
  </sheetData>
  <mergeCells count="2">
    <mergeCell ref="A1:F1"/>
    <mergeCell ref="A2:F2"/>
  </mergeCells>
  <conditionalFormatting sqref="D4:D67">
    <cfRule type="expression" dxfId="24" priority="1">
      <formula>$F4&lt;&gt;"Active"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227"/>
  <sheetViews>
    <sheetView workbookViewId="0">
      <selection activeCell="P28" sqref="P28"/>
    </sheetView>
  </sheetViews>
  <sheetFormatPr defaultRowHeight="14.25"/>
  <cols>
    <col min="1" max="1" width="8" customWidth="1"/>
    <col min="2" max="2" width="7" customWidth="1"/>
    <col min="3" max="3" width="9" customWidth="1"/>
    <col min="4" max="4" width="8" customWidth="1"/>
    <col min="5" max="5" width="18" customWidth="1"/>
    <col min="6" max="7" width="8" customWidth="1"/>
    <col min="8" max="8" width="11" customWidth="1"/>
    <col min="9" max="10" width="8" customWidth="1"/>
    <col min="11" max="11" width="18" customWidth="1"/>
    <col min="12" max="13" width="8" customWidth="1"/>
    <col min="14" max="14" width="11" customWidth="1"/>
    <col min="15" max="16" width="8" customWidth="1"/>
    <col min="17" max="17" width="11" customWidth="1"/>
    <col min="18" max="19" width="7" customWidth="1"/>
    <col min="20" max="21" width="8" customWidth="1"/>
    <col min="22" max="22" width="7" customWidth="1"/>
  </cols>
  <sheetData>
    <row r="1" spans="1:22" ht="20.25">
      <c r="B1" s="76" t="str">
        <f>Setup!$B$3&amp;" — MATCH RESULTS"</f>
        <v xml:space="preserve"> — MATCH RESULTS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22">
      <c r="B2" s="75" t="s">
        <v>269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</row>
    <row r="3" spans="1:22" ht="30">
      <c r="A3" s="3" t="s">
        <v>270</v>
      </c>
      <c r="B3" s="3" t="s">
        <v>71</v>
      </c>
      <c r="C3" s="3" t="s">
        <v>271</v>
      </c>
      <c r="D3" s="3" t="s">
        <v>272</v>
      </c>
      <c r="E3" s="3" t="s">
        <v>273</v>
      </c>
      <c r="F3" s="3" t="s">
        <v>274</v>
      </c>
      <c r="G3" s="3" t="s">
        <v>275</v>
      </c>
      <c r="H3" s="3" t="s">
        <v>276</v>
      </c>
      <c r="I3" s="3" t="s">
        <v>277</v>
      </c>
      <c r="J3" s="3" t="s">
        <v>278</v>
      </c>
      <c r="K3" s="3" t="s">
        <v>279</v>
      </c>
      <c r="L3" s="3" t="s">
        <v>274</v>
      </c>
      <c r="M3" s="3" t="s">
        <v>275</v>
      </c>
      <c r="N3" s="3" t="s">
        <v>276</v>
      </c>
      <c r="O3" s="3" t="s">
        <v>277</v>
      </c>
      <c r="P3" s="3" t="s">
        <v>278</v>
      </c>
      <c r="Q3" s="3" t="s">
        <v>76</v>
      </c>
      <c r="R3" s="3" t="s">
        <v>280</v>
      </c>
      <c r="S3" s="3" t="s">
        <v>281</v>
      </c>
      <c r="T3" s="3" t="s">
        <v>282</v>
      </c>
      <c r="U3" s="3" t="s">
        <v>283</v>
      </c>
      <c r="V3" s="3" t="s">
        <v>284</v>
      </c>
    </row>
    <row r="4" spans="1:22">
      <c r="A4">
        <v>1</v>
      </c>
      <c r="B4" t="str">
        <f>IF(INT(($A4-1)/Setup!$B$15)+1&lt;=Setup!$B$5,INDEX(Setup!$B$21:$B$28,INT(($A4-1)/Setup!$B$15)+1),"")</f>
        <v>A</v>
      </c>
      <c r="C4">
        <f>IF($B4="","",MOD($A4-1,Setup!$B$15)+1)</f>
        <v>1</v>
      </c>
      <c r="D4">
        <f>IF(OR($B4="",$C4&gt;Setup!$B$15),"",IFERROR(INDEX('Fixture Library'!$D$4:$D$200,MATCH(Setup!$B$6&amp;"-"&amp;$C4,'Fixture Library'!$A$4:$A$200,0)),""))</f>
        <v>1</v>
      </c>
      <c r="E4" t="str">
        <f>IF($R4="","",IFERROR(INDEX(Teams!$D$4:$D$67,MATCH($B4&amp;"-"&amp;$R4,Teams!$E$4:$E$67,0)),""))</f>
        <v>Team A1</v>
      </c>
      <c r="F4" s="88"/>
      <c r="G4" s="88"/>
      <c r="H4" s="88"/>
      <c r="I4" t="str">
        <f>IF($Q4&lt;&gt;"Complete","",IF(AND(ISNUMBER($G4),$G4&gt;=Setup!$B$31),Setup!$B$32,0)+IF(AND($F4&lt;$L4,$L4-$F4&lt;=Setup!$B$33),Setup!$B$34,0))</f>
        <v/>
      </c>
      <c r="J4" t="str">
        <f t="shared" ref="J4:J67" si="0">IF($Q4&lt;&gt;"Complete","",IF(ISNUMBER($H4),$H4,$I4))</f>
        <v/>
      </c>
      <c r="K4" t="str">
        <f>IF($S4="","",IFERROR(INDEX(Teams!$D$4:$D$67,MATCH($B4&amp;"-"&amp;$S4,Teams!$E$4:$E$67,0)),""))</f>
        <v>Team A8</v>
      </c>
      <c r="L4" s="88"/>
      <c r="M4" s="88"/>
      <c r="N4" s="88"/>
      <c r="O4" t="str">
        <f>IF($Q4&lt;&gt;"Complete","",IF(AND(ISNUMBER($M4),$M4&gt;=Setup!$B$31),Setup!$B$32,0)+IF(AND($L4&lt;$F4,$F4-$L4&lt;=Setup!$B$33),Setup!$B$34,0))</f>
        <v/>
      </c>
      <c r="P4" t="str">
        <f t="shared" ref="P4:P67" si="1">IF($Q4&lt;&gt;"Complete","",IF(ISNUMBER($N4),$N4,$O4))</f>
        <v/>
      </c>
      <c r="Q4" t="str">
        <f t="shared" ref="Q4:Q67" si="2">IF(OR($E4="",$K4=""),"",IF(AND(ISNUMBER($F4),ISNUMBER($L4)),"Complete","Waiting"))</f>
        <v>Waiting</v>
      </c>
      <c r="R4">
        <f>IF(OR($B4="",$C4&gt;Setup!$B$15),"",IFERROR(INDEX('Fixture Library'!$E$4:$E$200,MATCH(Setup!$B$6&amp;"-"&amp;$C4,'Fixture Library'!$A$4:$A$200,0)),""))</f>
        <v>1</v>
      </c>
      <c r="S4">
        <f>IF(OR($B4="",$C4&gt;Setup!$B$15),"",IFERROR(INDEX('Fixture Library'!$F$4:$F$200,MATCH(Setup!$B$6&amp;"-"&amp;$C4,'Fixture Library'!$A$4:$A$200,0)),""))</f>
        <v>8</v>
      </c>
      <c r="T4">
        <f t="shared" ref="T4:T67" si="3">IF($Q4&lt;&gt;"Complete",0,IF($F4&gt;$L4,1,0))</f>
        <v>0</v>
      </c>
      <c r="U4">
        <f t="shared" ref="U4:U67" si="4">IF($Q4&lt;&gt;"Complete",0,IF($L4&gt;$F4,1,0))</f>
        <v>0</v>
      </c>
      <c r="V4">
        <f t="shared" ref="V4:V67" si="5">IF($Q4&lt;&gt;"Complete",0,IF($F4=$L4,1,0))</f>
        <v>0</v>
      </c>
    </row>
    <row r="5" spans="1:22">
      <c r="A5">
        <v>2</v>
      </c>
      <c r="B5" t="str">
        <f>IF(INT(($A5-1)/Setup!$B$15)+1&lt;=Setup!$B$5,INDEX(Setup!$B$21:$B$28,INT(($A5-1)/Setup!$B$15)+1),"")</f>
        <v>A</v>
      </c>
      <c r="C5">
        <f>IF($B5="","",MOD($A5-1,Setup!$B$15)+1)</f>
        <v>2</v>
      </c>
      <c r="D5">
        <f>IF(OR($B5="",$C5&gt;Setup!$B$15),"",IFERROR(INDEX('Fixture Library'!$D$4:$D$200,MATCH(Setup!$B$6&amp;"-"&amp;$C5,'Fixture Library'!$A$4:$A$200,0)),""))</f>
        <v>1</v>
      </c>
      <c r="E5" t="str">
        <f>IF($R5="","",IFERROR(INDEX(Teams!$D$4:$D$67,MATCH($B5&amp;"-"&amp;$R5,Teams!$E$4:$E$67,0)),""))</f>
        <v>Team A2</v>
      </c>
      <c r="F5" s="88"/>
      <c r="G5" s="88"/>
      <c r="H5" s="88"/>
      <c r="I5" t="str">
        <f>IF($Q5&lt;&gt;"Complete","",IF(AND(ISNUMBER($G5),$G5&gt;=Setup!$B$31),Setup!$B$32,0)+IF(AND($F5&lt;$L5,$L5-$F5&lt;=Setup!$B$33),Setup!$B$34,0))</f>
        <v/>
      </c>
      <c r="J5" t="str">
        <f t="shared" si="0"/>
        <v/>
      </c>
      <c r="K5" t="str">
        <f>IF($S5="","",IFERROR(INDEX(Teams!$D$4:$D$67,MATCH($B5&amp;"-"&amp;$S5,Teams!$E$4:$E$67,0)),""))</f>
        <v>Team A7</v>
      </c>
      <c r="L5" s="88"/>
      <c r="M5" s="88"/>
      <c r="N5" s="88"/>
      <c r="O5" t="str">
        <f>IF($Q5&lt;&gt;"Complete","",IF(AND(ISNUMBER($M5),$M5&gt;=Setup!$B$31),Setup!$B$32,0)+IF(AND($L5&lt;$F5,$F5-$L5&lt;=Setup!$B$33),Setup!$B$34,0))</f>
        <v/>
      </c>
      <c r="P5" t="str">
        <f t="shared" si="1"/>
        <v/>
      </c>
      <c r="Q5" t="str">
        <f t="shared" si="2"/>
        <v>Waiting</v>
      </c>
      <c r="R5">
        <f>IF(OR($B5="",$C5&gt;Setup!$B$15),"",IFERROR(INDEX('Fixture Library'!$E$4:$E$200,MATCH(Setup!$B$6&amp;"-"&amp;$C5,'Fixture Library'!$A$4:$A$200,0)),""))</f>
        <v>2</v>
      </c>
      <c r="S5">
        <f>IF(OR($B5="",$C5&gt;Setup!$B$15),"",IFERROR(INDEX('Fixture Library'!$F$4:$F$200,MATCH(Setup!$B$6&amp;"-"&amp;$C5,'Fixture Library'!$A$4:$A$200,0)),""))</f>
        <v>7</v>
      </c>
      <c r="T5">
        <f t="shared" si="3"/>
        <v>0</v>
      </c>
      <c r="U5">
        <f t="shared" si="4"/>
        <v>0</v>
      </c>
      <c r="V5">
        <f t="shared" si="5"/>
        <v>0</v>
      </c>
    </row>
    <row r="6" spans="1:22">
      <c r="A6">
        <v>3</v>
      </c>
      <c r="B6" t="str">
        <f>IF(INT(($A6-1)/Setup!$B$15)+1&lt;=Setup!$B$5,INDEX(Setup!$B$21:$B$28,INT(($A6-1)/Setup!$B$15)+1),"")</f>
        <v>A</v>
      </c>
      <c r="C6">
        <f>IF($B6="","",MOD($A6-1,Setup!$B$15)+1)</f>
        <v>3</v>
      </c>
      <c r="D6">
        <f>IF(OR($B6="",$C6&gt;Setup!$B$15),"",IFERROR(INDEX('Fixture Library'!$D$4:$D$200,MATCH(Setup!$B$6&amp;"-"&amp;$C6,'Fixture Library'!$A$4:$A$200,0)),""))</f>
        <v>1</v>
      </c>
      <c r="E6" t="str">
        <f>IF($R6="","",IFERROR(INDEX(Teams!$D$4:$D$67,MATCH($B6&amp;"-"&amp;$R6,Teams!$E$4:$E$67,0)),""))</f>
        <v>Team A3</v>
      </c>
      <c r="F6" s="88"/>
      <c r="G6" s="88"/>
      <c r="H6" s="88"/>
      <c r="I6" t="str">
        <f>IF($Q6&lt;&gt;"Complete","",IF(AND(ISNUMBER($G6),$G6&gt;=Setup!$B$31),Setup!$B$32,0)+IF(AND($F6&lt;$L6,$L6-$F6&lt;=Setup!$B$33),Setup!$B$34,0))</f>
        <v/>
      </c>
      <c r="J6" t="str">
        <f t="shared" si="0"/>
        <v/>
      </c>
      <c r="K6" t="str">
        <f>IF($S6="","",IFERROR(INDEX(Teams!$D$4:$D$67,MATCH($B6&amp;"-"&amp;$S6,Teams!$E$4:$E$67,0)),""))</f>
        <v>Team A6</v>
      </c>
      <c r="L6" s="88"/>
      <c r="M6" s="88"/>
      <c r="N6" s="88"/>
      <c r="O6" t="str">
        <f>IF($Q6&lt;&gt;"Complete","",IF(AND(ISNUMBER($M6),$M6&gt;=Setup!$B$31),Setup!$B$32,0)+IF(AND($L6&lt;$F6,$F6-$L6&lt;=Setup!$B$33),Setup!$B$34,0))</f>
        <v/>
      </c>
      <c r="P6" t="str">
        <f t="shared" si="1"/>
        <v/>
      </c>
      <c r="Q6" t="str">
        <f t="shared" si="2"/>
        <v>Waiting</v>
      </c>
      <c r="R6">
        <f>IF(OR($B6="",$C6&gt;Setup!$B$15),"",IFERROR(INDEX('Fixture Library'!$E$4:$E$200,MATCH(Setup!$B$6&amp;"-"&amp;$C6,'Fixture Library'!$A$4:$A$200,0)),""))</f>
        <v>3</v>
      </c>
      <c r="S6">
        <f>IF(OR($B6="",$C6&gt;Setup!$B$15),"",IFERROR(INDEX('Fixture Library'!$F$4:$F$200,MATCH(Setup!$B$6&amp;"-"&amp;$C6,'Fixture Library'!$A$4:$A$200,0)),""))</f>
        <v>6</v>
      </c>
      <c r="T6">
        <f t="shared" si="3"/>
        <v>0</v>
      </c>
      <c r="U6">
        <f t="shared" si="4"/>
        <v>0</v>
      </c>
      <c r="V6">
        <f t="shared" si="5"/>
        <v>0</v>
      </c>
    </row>
    <row r="7" spans="1:22">
      <c r="A7">
        <v>4</v>
      </c>
      <c r="B7" t="str">
        <f>IF(INT(($A7-1)/Setup!$B$15)+1&lt;=Setup!$B$5,INDEX(Setup!$B$21:$B$28,INT(($A7-1)/Setup!$B$15)+1),"")</f>
        <v>A</v>
      </c>
      <c r="C7">
        <f>IF($B7="","",MOD($A7-1,Setup!$B$15)+1)</f>
        <v>4</v>
      </c>
      <c r="D7">
        <f>IF(OR($B7="",$C7&gt;Setup!$B$15),"",IFERROR(INDEX('Fixture Library'!$D$4:$D$200,MATCH(Setup!$B$6&amp;"-"&amp;$C7,'Fixture Library'!$A$4:$A$200,0)),""))</f>
        <v>1</v>
      </c>
      <c r="E7" t="str">
        <f>IF($R7="","",IFERROR(INDEX(Teams!$D$4:$D$67,MATCH($B7&amp;"-"&amp;$R7,Teams!$E$4:$E$67,0)),""))</f>
        <v>Team A4</v>
      </c>
      <c r="F7" s="88"/>
      <c r="G7" s="88"/>
      <c r="H7" s="88"/>
      <c r="I7" t="str">
        <f>IF($Q7&lt;&gt;"Complete","",IF(AND(ISNUMBER($G7),$G7&gt;=Setup!$B$31),Setup!$B$32,0)+IF(AND($F7&lt;$L7,$L7-$F7&lt;=Setup!$B$33),Setup!$B$34,0))</f>
        <v/>
      </c>
      <c r="J7" t="str">
        <f t="shared" si="0"/>
        <v/>
      </c>
      <c r="K7" t="str">
        <f>IF($S7="","",IFERROR(INDEX(Teams!$D$4:$D$67,MATCH($B7&amp;"-"&amp;$S7,Teams!$E$4:$E$67,0)),""))</f>
        <v>Team A5</v>
      </c>
      <c r="L7" s="88"/>
      <c r="M7" s="88"/>
      <c r="N7" s="88"/>
      <c r="O7" t="str">
        <f>IF($Q7&lt;&gt;"Complete","",IF(AND(ISNUMBER($M7),$M7&gt;=Setup!$B$31),Setup!$B$32,0)+IF(AND($L7&lt;$F7,$F7-$L7&lt;=Setup!$B$33),Setup!$B$34,0))</f>
        <v/>
      </c>
      <c r="P7" t="str">
        <f t="shared" si="1"/>
        <v/>
      </c>
      <c r="Q7" t="str">
        <f t="shared" si="2"/>
        <v>Waiting</v>
      </c>
      <c r="R7">
        <f>IF(OR($B7="",$C7&gt;Setup!$B$15),"",IFERROR(INDEX('Fixture Library'!$E$4:$E$200,MATCH(Setup!$B$6&amp;"-"&amp;$C7,'Fixture Library'!$A$4:$A$200,0)),""))</f>
        <v>4</v>
      </c>
      <c r="S7">
        <f>IF(OR($B7="",$C7&gt;Setup!$B$15),"",IFERROR(INDEX('Fixture Library'!$F$4:$F$200,MATCH(Setup!$B$6&amp;"-"&amp;$C7,'Fixture Library'!$A$4:$A$200,0)),""))</f>
        <v>5</v>
      </c>
      <c r="T7">
        <f t="shared" si="3"/>
        <v>0</v>
      </c>
      <c r="U7">
        <f t="shared" si="4"/>
        <v>0</v>
      </c>
      <c r="V7">
        <f t="shared" si="5"/>
        <v>0</v>
      </c>
    </row>
    <row r="8" spans="1:22">
      <c r="A8">
        <v>5</v>
      </c>
      <c r="B8" t="str">
        <f>IF(INT(($A8-1)/Setup!$B$15)+1&lt;=Setup!$B$5,INDEX(Setup!$B$21:$B$28,INT(($A8-1)/Setup!$B$15)+1),"")</f>
        <v>A</v>
      </c>
      <c r="C8">
        <f>IF($B8="","",MOD($A8-1,Setup!$B$15)+1)</f>
        <v>5</v>
      </c>
      <c r="D8">
        <f>IF(OR($B8="",$C8&gt;Setup!$B$15),"",IFERROR(INDEX('Fixture Library'!$D$4:$D$200,MATCH(Setup!$B$6&amp;"-"&amp;$C8,'Fixture Library'!$A$4:$A$200,0)),""))</f>
        <v>2</v>
      </c>
      <c r="E8" t="str">
        <f>IF($R8="","",IFERROR(INDEX(Teams!$D$4:$D$67,MATCH($B8&amp;"-"&amp;$R8,Teams!$E$4:$E$67,0)),""))</f>
        <v>Team A7</v>
      </c>
      <c r="F8" s="88"/>
      <c r="G8" s="88"/>
      <c r="H8" s="88"/>
      <c r="I8" t="str">
        <f>IF($Q8&lt;&gt;"Complete","",IF(AND(ISNUMBER($G8),$G8&gt;=Setup!$B$31),Setup!$B$32,0)+IF(AND($F8&lt;$L8,$L8-$F8&lt;=Setup!$B$33),Setup!$B$34,0))</f>
        <v/>
      </c>
      <c r="J8" t="str">
        <f t="shared" si="0"/>
        <v/>
      </c>
      <c r="K8" t="str">
        <f>IF($S8="","",IFERROR(INDEX(Teams!$D$4:$D$67,MATCH($B8&amp;"-"&amp;$S8,Teams!$E$4:$E$67,0)),""))</f>
        <v>Team A1</v>
      </c>
      <c r="L8" s="88"/>
      <c r="M8" s="88"/>
      <c r="N8" s="88"/>
      <c r="O8" t="str">
        <f>IF($Q8&lt;&gt;"Complete","",IF(AND(ISNUMBER($M8),$M8&gt;=Setup!$B$31),Setup!$B$32,0)+IF(AND($L8&lt;$F8,$F8-$L8&lt;=Setup!$B$33),Setup!$B$34,0))</f>
        <v/>
      </c>
      <c r="P8" t="str">
        <f t="shared" si="1"/>
        <v/>
      </c>
      <c r="Q8" t="str">
        <f t="shared" si="2"/>
        <v>Waiting</v>
      </c>
      <c r="R8">
        <f>IF(OR($B8="",$C8&gt;Setup!$B$15),"",IFERROR(INDEX('Fixture Library'!$E$4:$E$200,MATCH(Setup!$B$6&amp;"-"&amp;$C8,'Fixture Library'!$A$4:$A$200,0)),""))</f>
        <v>7</v>
      </c>
      <c r="S8">
        <f>IF(OR($B8="",$C8&gt;Setup!$B$15),"",IFERROR(INDEX('Fixture Library'!$F$4:$F$200,MATCH(Setup!$B$6&amp;"-"&amp;$C8,'Fixture Library'!$A$4:$A$200,0)),""))</f>
        <v>1</v>
      </c>
      <c r="T8">
        <f t="shared" si="3"/>
        <v>0</v>
      </c>
      <c r="U8">
        <f t="shared" si="4"/>
        <v>0</v>
      </c>
      <c r="V8">
        <f t="shared" si="5"/>
        <v>0</v>
      </c>
    </row>
    <row r="9" spans="1:22">
      <c r="A9">
        <v>6</v>
      </c>
      <c r="B9" t="str">
        <f>IF(INT(($A9-1)/Setup!$B$15)+1&lt;=Setup!$B$5,INDEX(Setup!$B$21:$B$28,INT(($A9-1)/Setup!$B$15)+1),"")</f>
        <v>A</v>
      </c>
      <c r="C9">
        <f>IF($B9="","",MOD($A9-1,Setup!$B$15)+1)</f>
        <v>6</v>
      </c>
      <c r="D9">
        <f>IF(OR($B9="",$C9&gt;Setup!$B$15),"",IFERROR(INDEX('Fixture Library'!$D$4:$D$200,MATCH(Setup!$B$6&amp;"-"&amp;$C9,'Fixture Library'!$A$4:$A$200,0)),""))</f>
        <v>2</v>
      </c>
      <c r="E9" t="str">
        <f>IF($R9="","",IFERROR(INDEX(Teams!$D$4:$D$67,MATCH($B9&amp;"-"&amp;$R9,Teams!$E$4:$E$67,0)),""))</f>
        <v>Team A6</v>
      </c>
      <c r="F9" s="88"/>
      <c r="G9" s="88"/>
      <c r="H9" s="88"/>
      <c r="I9" t="str">
        <f>IF($Q9&lt;&gt;"Complete","",IF(AND(ISNUMBER($G9),$G9&gt;=Setup!$B$31),Setup!$B$32,0)+IF(AND($F9&lt;$L9,$L9-$F9&lt;=Setup!$B$33),Setup!$B$34,0))</f>
        <v/>
      </c>
      <c r="J9" t="str">
        <f t="shared" si="0"/>
        <v/>
      </c>
      <c r="K9" t="str">
        <f>IF($S9="","",IFERROR(INDEX(Teams!$D$4:$D$67,MATCH($B9&amp;"-"&amp;$S9,Teams!$E$4:$E$67,0)),""))</f>
        <v>Team A8</v>
      </c>
      <c r="L9" s="88"/>
      <c r="M9" s="88"/>
      <c r="N9" s="88"/>
      <c r="O9" t="str">
        <f>IF($Q9&lt;&gt;"Complete","",IF(AND(ISNUMBER($M9),$M9&gt;=Setup!$B$31),Setup!$B$32,0)+IF(AND($L9&lt;$F9,$F9-$L9&lt;=Setup!$B$33),Setup!$B$34,0))</f>
        <v/>
      </c>
      <c r="P9" t="str">
        <f t="shared" si="1"/>
        <v/>
      </c>
      <c r="Q9" t="str">
        <f t="shared" si="2"/>
        <v>Waiting</v>
      </c>
      <c r="R9">
        <f>IF(OR($B9="",$C9&gt;Setup!$B$15),"",IFERROR(INDEX('Fixture Library'!$E$4:$E$200,MATCH(Setup!$B$6&amp;"-"&amp;$C9,'Fixture Library'!$A$4:$A$200,0)),""))</f>
        <v>6</v>
      </c>
      <c r="S9">
        <f>IF(OR($B9="",$C9&gt;Setup!$B$15),"",IFERROR(INDEX('Fixture Library'!$F$4:$F$200,MATCH(Setup!$B$6&amp;"-"&amp;$C9,'Fixture Library'!$A$4:$A$200,0)),""))</f>
        <v>8</v>
      </c>
      <c r="T9">
        <f t="shared" si="3"/>
        <v>0</v>
      </c>
      <c r="U9">
        <f t="shared" si="4"/>
        <v>0</v>
      </c>
      <c r="V9">
        <f t="shared" si="5"/>
        <v>0</v>
      </c>
    </row>
    <row r="10" spans="1:22">
      <c r="A10">
        <v>7</v>
      </c>
      <c r="B10" t="str">
        <f>IF(INT(($A10-1)/Setup!$B$15)+1&lt;=Setup!$B$5,INDEX(Setup!$B$21:$B$28,INT(($A10-1)/Setup!$B$15)+1),"")</f>
        <v>A</v>
      </c>
      <c r="C10">
        <f>IF($B10="","",MOD($A10-1,Setup!$B$15)+1)</f>
        <v>7</v>
      </c>
      <c r="D10">
        <f>IF(OR($B10="",$C10&gt;Setup!$B$15),"",IFERROR(INDEX('Fixture Library'!$D$4:$D$200,MATCH(Setup!$B$6&amp;"-"&amp;$C10,'Fixture Library'!$A$4:$A$200,0)),""))</f>
        <v>2</v>
      </c>
      <c r="E10" t="str">
        <f>IF($R10="","",IFERROR(INDEX(Teams!$D$4:$D$67,MATCH($B10&amp;"-"&amp;$R10,Teams!$E$4:$E$67,0)),""))</f>
        <v>Team A5</v>
      </c>
      <c r="F10" s="88"/>
      <c r="G10" s="88"/>
      <c r="H10" s="88"/>
      <c r="I10" t="str">
        <f>IF($Q10&lt;&gt;"Complete","",IF(AND(ISNUMBER($G10),$G10&gt;=Setup!$B$31),Setup!$B$32,0)+IF(AND($F10&lt;$L10,$L10-$F10&lt;=Setup!$B$33),Setup!$B$34,0))</f>
        <v/>
      </c>
      <c r="J10" t="str">
        <f t="shared" si="0"/>
        <v/>
      </c>
      <c r="K10" t="str">
        <f>IF($S10="","",IFERROR(INDEX(Teams!$D$4:$D$67,MATCH($B10&amp;"-"&amp;$S10,Teams!$E$4:$E$67,0)),""))</f>
        <v>Team A2</v>
      </c>
      <c r="L10" s="88"/>
      <c r="M10" s="88"/>
      <c r="N10" s="88"/>
      <c r="O10" t="str">
        <f>IF($Q10&lt;&gt;"Complete","",IF(AND(ISNUMBER($M10),$M10&gt;=Setup!$B$31),Setup!$B$32,0)+IF(AND($L10&lt;$F10,$F10-$L10&lt;=Setup!$B$33),Setup!$B$34,0))</f>
        <v/>
      </c>
      <c r="P10" t="str">
        <f t="shared" si="1"/>
        <v/>
      </c>
      <c r="Q10" t="str">
        <f t="shared" si="2"/>
        <v>Waiting</v>
      </c>
      <c r="R10">
        <f>IF(OR($B10="",$C10&gt;Setup!$B$15),"",IFERROR(INDEX('Fixture Library'!$E$4:$E$200,MATCH(Setup!$B$6&amp;"-"&amp;$C10,'Fixture Library'!$A$4:$A$200,0)),""))</f>
        <v>5</v>
      </c>
      <c r="S10">
        <f>IF(OR($B10="",$C10&gt;Setup!$B$15),"",IFERROR(INDEX('Fixture Library'!$F$4:$F$200,MATCH(Setup!$B$6&amp;"-"&amp;$C10,'Fixture Library'!$A$4:$A$200,0)),""))</f>
        <v>2</v>
      </c>
      <c r="T10">
        <f t="shared" si="3"/>
        <v>0</v>
      </c>
      <c r="U10">
        <f t="shared" si="4"/>
        <v>0</v>
      </c>
      <c r="V10">
        <f t="shared" si="5"/>
        <v>0</v>
      </c>
    </row>
    <row r="11" spans="1:22">
      <c r="A11">
        <v>8</v>
      </c>
      <c r="B11" t="str">
        <f>IF(INT(($A11-1)/Setup!$B$15)+1&lt;=Setup!$B$5,INDEX(Setup!$B$21:$B$28,INT(($A11-1)/Setup!$B$15)+1),"")</f>
        <v>A</v>
      </c>
      <c r="C11">
        <f>IF($B11="","",MOD($A11-1,Setup!$B$15)+1)</f>
        <v>8</v>
      </c>
      <c r="D11">
        <f>IF(OR($B11="",$C11&gt;Setup!$B$15),"",IFERROR(INDEX('Fixture Library'!$D$4:$D$200,MATCH(Setup!$B$6&amp;"-"&amp;$C11,'Fixture Library'!$A$4:$A$200,0)),""))</f>
        <v>2</v>
      </c>
      <c r="E11" t="str">
        <f>IF($R11="","",IFERROR(INDEX(Teams!$D$4:$D$67,MATCH($B11&amp;"-"&amp;$R11,Teams!$E$4:$E$67,0)),""))</f>
        <v>Team A4</v>
      </c>
      <c r="F11" s="88"/>
      <c r="G11" s="88"/>
      <c r="H11" s="88"/>
      <c r="I11" t="str">
        <f>IF($Q11&lt;&gt;"Complete","",IF(AND(ISNUMBER($G11),$G11&gt;=Setup!$B$31),Setup!$B$32,0)+IF(AND($F11&lt;$L11,$L11-$F11&lt;=Setup!$B$33),Setup!$B$34,0))</f>
        <v/>
      </c>
      <c r="J11" t="str">
        <f t="shared" si="0"/>
        <v/>
      </c>
      <c r="K11" t="str">
        <f>IF($S11="","",IFERROR(INDEX(Teams!$D$4:$D$67,MATCH($B11&amp;"-"&amp;$S11,Teams!$E$4:$E$67,0)),""))</f>
        <v>Team A3</v>
      </c>
      <c r="L11" s="88"/>
      <c r="M11" s="88"/>
      <c r="N11" s="88"/>
      <c r="O11" t="str">
        <f>IF($Q11&lt;&gt;"Complete","",IF(AND(ISNUMBER($M11),$M11&gt;=Setup!$B$31),Setup!$B$32,0)+IF(AND($L11&lt;$F11,$F11-$L11&lt;=Setup!$B$33),Setup!$B$34,0))</f>
        <v/>
      </c>
      <c r="P11" t="str">
        <f t="shared" si="1"/>
        <v/>
      </c>
      <c r="Q11" t="str">
        <f t="shared" si="2"/>
        <v>Waiting</v>
      </c>
      <c r="R11">
        <f>IF(OR($B11="",$C11&gt;Setup!$B$15),"",IFERROR(INDEX('Fixture Library'!$E$4:$E$200,MATCH(Setup!$B$6&amp;"-"&amp;$C11,'Fixture Library'!$A$4:$A$200,0)),""))</f>
        <v>4</v>
      </c>
      <c r="S11">
        <f>IF(OR($B11="",$C11&gt;Setup!$B$15),"",IFERROR(INDEX('Fixture Library'!$F$4:$F$200,MATCH(Setup!$B$6&amp;"-"&amp;$C11,'Fixture Library'!$A$4:$A$200,0)),""))</f>
        <v>3</v>
      </c>
      <c r="T11">
        <f t="shared" si="3"/>
        <v>0</v>
      </c>
      <c r="U11">
        <f t="shared" si="4"/>
        <v>0</v>
      </c>
      <c r="V11">
        <f t="shared" si="5"/>
        <v>0</v>
      </c>
    </row>
    <row r="12" spans="1:22">
      <c r="A12">
        <v>9</v>
      </c>
      <c r="B12" t="str">
        <f>IF(INT(($A12-1)/Setup!$B$15)+1&lt;=Setup!$B$5,INDEX(Setup!$B$21:$B$28,INT(($A12-1)/Setup!$B$15)+1),"")</f>
        <v>A</v>
      </c>
      <c r="C12">
        <f>IF($B12="","",MOD($A12-1,Setup!$B$15)+1)</f>
        <v>9</v>
      </c>
      <c r="D12">
        <f>IF(OR($B12="",$C12&gt;Setup!$B$15),"",IFERROR(INDEX('Fixture Library'!$D$4:$D$200,MATCH(Setup!$B$6&amp;"-"&amp;$C12,'Fixture Library'!$A$4:$A$200,0)),""))</f>
        <v>3</v>
      </c>
      <c r="E12" t="str">
        <f>IF($R12="","",IFERROR(INDEX(Teams!$D$4:$D$67,MATCH($B12&amp;"-"&amp;$R12,Teams!$E$4:$E$67,0)),""))</f>
        <v>Team A1</v>
      </c>
      <c r="F12" s="88"/>
      <c r="G12" s="88"/>
      <c r="H12" s="88"/>
      <c r="I12" t="str">
        <f>IF($Q12&lt;&gt;"Complete","",IF(AND(ISNUMBER($G12),$G12&gt;=Setup!$B$31),Setup!$B$32,0)+IF(AND($F12&lt;$L12,$L12-$F12&lt;=Setup!$B$33),Setup!$B$34,0))</f>
        <v/>
      </c>
      <c r="J12" t="str">
        <f t="shared" si="0"/>
        <v/>
      </c>
      <c r="K12" t="str">
        <f>IF($S12="","",IFERROR(INDEX(Teams!$D$4:$D$67,MATCH($B12&amp;"-"&amp;$S12,Teams!$E$4:$E$67,0)),""))</f>
        <v>Team A6</v>
      </c>
      <c r="L12" s="88"/>
      <c r="M12" s="88"/>
      <c r="N12" s="88"/>
      <c r="O12" t="str">
        <f>IF($Q12&lt;&gt;"Complete","",IF(AND(ISNUMBER($M12),$M12&gt;=Setup!$B$31),Setup!$B$32,0)+IF(AND($L12&lt;$F12,$F12-$L12&lt;=Setup!$B$33),Setup!$B$34,0))</f>
        <v/>
      </c>
      <c r="P12" t="str">
        <f t="shared" si="1"/>
        <v/>
      </c>
      <c r="Q12" t="str">
        <f t="shared" si="2"/>
        <v>Waiting</v>
      </c>
      <c r="R12">
        <f>IF(OR($B12="",$C12&gt;Setup!$B$15),"",IFERROR(INDEX('Fixture Library'!$E$4:$E$200,MATCH(Setup!$B$6&amp;"-"&amp;$C12,'Fixture Library'!$A$4:$A$200,0)),""))</f>
        <v>1</v>
      </c>
      <c r="S12">
        <f>IF(OR($B12="",$C12&gt;Setup!$B$15),"",IFERROR(INDEX('Fixture Library'!$F$4:$F$200,MATCH(Setup!$B$6&amp;"-"&amp;$C12,'Fixture Library'!$A$4:$A$200,0)),""))</f>
        <v>6</v>
      </c>
      <c r="T12">
        <f t="shared" si="3"/>
        <v>0</v>
      </c>
      <c r="U12">
        <f t="shared" si="4"/>
        <v>0</v>
      </c>
      <c r="V12">
        <f t="shared" si="5"/>
        <v>0</v>
      </c>
    </row>
    <row r="13" spans="1:22">
      <c r="A13">
        <v>10</v>
      </c>
      <c r="B13" t="str">
        <f>IF(INT(($A13-1)/Setup!$B$15)+1&lt;=Setup!$B$5,INDEX(Setup!$B$21:$B$28,INT(($A13-1)/Setup!$B$15)+1),"")</f>
        <v>A</v>
      </c>
      <c r="C13">
        <f>IF($B13="","",MOD($A13-1,Setup!$B$15)+1)</f>
        <v>10</v>
      </c>
      <c r="D13">
        <f>IF(OR($B13="",$C13&gt;Setup!$B$15),"",IFERROR(INDEX('Fixture Library'!$D$4:$D$200,MATCH(Setup!$B$6&amp;"-"&amp;$C13,'Fixture Library'!$A$4:$A$200,0)),""))</f>
        <v>3</v>
      </c>
      <c r="E13" t="str">
        <f>IF($R13="","",IFERROR(INDEX(Teams!$D$4:$D$67,MATCH($B13&amp;"-"&amp;$R13,Teams!$E$4:$E$67,0)),""))</f>
        <v>Team A7</v>
      </c>
      <c r="F13" s="88"/>
      <c r="G13" s="88"/>
      <c r="H13" s="88"/>
      <c r="I13" t="str">
        <f>IF($Q13&lt;&gt;"Complete","",IF(AND(ISNUMBER($G13),$G13&gt;=Setup!$B$31),Setup!$B$32,0)+IF(AND($F13&lt;$L13,$L13-$F13&lt;=Setup!$B$33),Setup!$B$34,0))</f>
        <v/>
      </c>
      <c r="J13" t="str">
        <f t="shared" si="0"/>
        <v/>
      </c>
      <c r="K13" t="str">
        <f>IF($S13="","",IFERROR(INDEX(Teams!$D$4:$D$67,MATCH($B13&amp;"-"&amp;$S13,Teams!$E$4:$E$67,0)),""))</f>
        <v>Team A5</v>
      </c>
      <c r="L13" s="88"/>
      <c r="M13" s="88"/>
      <c r="N13" s="88"/>
      <c r="O13" t="str">
        <f>IF($Q13&lt;&gt;"Complete","",IF(AND(ISNUMBER($M13),$M13&gt;=Setup!$B$31),Setup!$B$32,0)+IF(AND($L13&lt;$F13,$F13-$L13&lt;=Setup!$B$33),Setup!$B$34,0))</f>
        <v/>
      </c>
      <c r="P13" t="str">
        <f t="shared" si="1"/>
        <v/>
      </c>
      <c r="Q13" t="str">
        <f t="shared" si="2"/>
        <v>Waiting</v>
      </c>
      <c r="R13">
        <f>IF(OR($B13="",$C13&gt;Setup!$B$15),"",IFERROR(INDEX('Fixture Library'!$E$4:$E$200,MATCH(Setup!$B$6&amp;"-"&amp;$C13,'Fixture Library'!$A$4:$A$200,0)),""))</f>
        <v>7</v>
      </c>
      <c r="S13">
        <f>IF(OR($B13="",$C13&gt;Setup!$B$15),"",IFERROR(INDEX('Fixture Library'!$F$4:$F$200,MATCH(Setup!$B$6&amp;"-"&amp;$C13,'Fixture Library'!$A$4:$A$200,0)),""))</f>
        <v>5</v>
      </c>
      <c r="T13">
        <f t="shared" si="3"/>
        <v>0</v>
      </c>
      <c r="U13">
        <f t="shared" si="4"/>
        <v>0</v>
      </c>
      <c r="V13">
        <f t="shared" si="5"/>
        <v>0</v>
      </c>
    </row>
    <row r="14" spans="1:22">
      <c r="A14">
        <v>11</v>
      </c>
      <c r="B14" t="str">
        <f>IF(INT(($A14-1)/Setup!$B$15)+1&lt;=Setup!$B$5,INDEX(Setup!$B$21:$B$28,INT(($A14-1)/Setup!$B$15)+1),"")</f>
        <v>A</v>
      </c>
      <c r="C14">
        <f>IF($B14="","",MOD($A14-1,Setup!$B$15)+1)</f>
        <v>11</v>
      </c>
      <c r="D14">
        <f>IF(OR($B14="",$C14&gt;Setup!$B$15),"",IFERROR(INDEX('Fixture Library'!$D$4:$D$200,MATCH(Setup!$B$6&amp;"-"&amp;$C14,'Fixture Library'!$A$4:$A$200,0)),""))</f>
        <v>3</v>
      </c>
      <c r="E14" t="str">
        <f>IF($R14="","",IFERROR(INDEX(Teams!$D$4:$D$67,MATCH($B14&amp;"-"&amp;$R14,Teams!$E$4:$E$67,0)),""))</f>
        <v>Team A8</v>
      </c>
      <c r="F14" s="88"/>
      <c r="G14" s="88"/>
      <c r="H14" s="88"/>
      <c r="I14" t="str">
        <f>IF($Q14&lt;&gt;"Complete","",IF(AND(ISNUMBER($G14),$G14&gt;=Setup!$B$31),Setup!$B$32,0)+IF(AND($F14&lt;$L14,$L14-$F14&lt;=Setup!$B$33),Setup!$B$34,0))</f>
        <v/>
      </c>
      <c r="J14" t="str">
        <f t="shared" si="0"/>
        <v/>
      </c>
      <c r="K14" t="str">
        <f>IF($S14="","",IFERROR(INDEX(Teams!$D$4:$D$67,MATCH($B14&amp;"-"&amp;$S14,Teams!$E$4:$E$67,0)),""))</f>
        <v>Team A4</v>
      </c>
      <c r="L14" s="88"/>
      <c r="M14" s="88"/>
      <c r="N14" s="88"/>
      <c r="O14" t="str">
        <f>IF($Q14&lt;&gt;"Complete","",IF(AND(ISNUMBER($M14),$M14&gt;=Setup!$B$31),Setup!$B$32,0)+IF(AND($L14&lt;$F14,$F14-$L14&lt;=Setup!$B$33),Setup!$B$34,0))</f>
        <v/>
      </c>
      <c r="P14" t="str">
        <f t="shared" si="1"/>
        <v/>
      </c>
      <c r="Q14" t="str">
        <f t="shared" si="2"/>
        <v>Waiting</v>
      </c>
      <c r="R14">
        <f>IF(OR($B14="",$C14&gt;Setup!$B$15),"",IFERROR(INDEX('Fixture Library'!$E$4:$E$200,MATCH(Setup!$B$6&amp;"-"&amp;$C14,'Fixture Library'!$A$4:$A$200,0)),""))</f>
        <v>8</v>
      </c>
      <c r="S14">
        <f>IF(OR($B14="",$C14&gt;Setup!$B$15),"",IFERROR(INDEX('Fixture Library'!$F$4:$F$200,MATCH(Setup!$B$6&amp;"-"&amp;$C14,'Fixture Library'!$A$4:$A$200,0)),""))</f>
        <v>4</v>
      </c>
      <c r="T14">
        <f t="shared" si="3"/>
        <v>0</v>
      </c>
      <c r="U14">
        <f t="shared" si="4"/>
        <v>0</v>
      </c>
      <c r="V14">
        <f t="shared" si="5"/>
        <v>0</v>
      </c>
    </row>
    <row r="15" spans="1:22">
      <c r="A15">
        <v>12</v>
      </c>
      <c r="B15" t="str">
        <f>IF(INT(($A15-1)/Setup!$B$15)+1&lt;=Setup!$B$5,INDEX(Setup!$B$21:$B$28,INT(($A15-1)/Setup!$B$15)+1),"")</f>
        <v>A</v>
      </c>
      <c r="C15">
        <f>IF($B15="","",MOD($A15-1,Setup!$B$15)+1)</f>
        <v>12</v>
      </c>
      <c r="D15">
        <f>IF(OR($B15="",$C15&gt;Setup!$B$15),"",IFERROR(INDEX('Fixture Library'!$D$4:$D$200,MATCH(Setup!$B$6&amp;"-"&amp;$C15,'Fixture Library'!$A$4:$A$200,0)),""))</f>
        <v>3</v>
      </c>
      <c r="E15" t="str">
        <f>IF($R15="","",IFERROR(INDEX(Teams!$D$4:$D$67,MATCH($B15&amp;"-"&amp;$R15,Teams!$E$4:$E$67,0)),""))</f>
        <v>Team A2</v>
      </c>
      <c r="F15" s="88"/>
      <c r="G15" s="88"/>
      <c r="H15" s="88"/>
      <c r="I15" t="str">
        <f>IF($Q15&lt;&gt;"Complete","",IF(AND(ISNUMBER($G15),$G15&gt;=Setup!$B$31),Setup!$B$32,0)+IF(AND($F15&lt;$L15,$L15-$F15&lt;=Setup!$B$33),Setup!$B$34,0))</f>
        <v/>
      </c>
      <c r="J15" t="str">
        <f t="shared" si="0"/>
        <v/>
      </c>
      <c r="K15" t="str">
        <f>IF($S15="","",IFERROR(INDEX(Teams!$D$4:$D$67,MATCH($B15&amp;"-"&amp;$S15,Teams!$E$4:$E$67,0)),""))</f>
        <v>Team A3</v>
      </c>
      <c r="L15" s="88"/>
      <c r="M15" s="88"/>
      <c r="N15" s="88"/>
      <c r="O15" t="str">
        <f>IF($Q15&lt;&gt;"Complete","",IF(AND(ISNUMBER($M15),$M15&gt;=Setup!$B$31),Setup!$B$32,0)+IF(AND($L15&lt;$F15,$F15-$L15&lt;=Setup!$B$33),Setup!$B$34,0))</f>
        <v/>
      </c>
      <c r="P15" t="str">
        <f t="shared" si="1"/>
        <v/>
      </c>
      <c r="Q15" t="str">
        <f t="shared" si="2"/>
        <v>Waiting</v>
      </c>
      <c r="R15">
        <f>IF(OR($B15="",$C15&gt;Setup!$B$15),"",IFERROR(INDEX('Fixture Library'!$E$4:$E$200,MATCH(Setup!$B$6&amp;"-"&amp;$C15,'Fixture Library'!$A$4:$A$200,0)),""))</f>
        <v>2</v>
      </c>
      <c r="S15">
        <f>IF(OR($B15="",$C15&gt;Setup!$B$15),"",IFERROR(INDEX('Fixture Library'!$F$4:$F$200,MATCH(Setup!$B$6&amp;"-"&amp;$C15,'Fixture Library'!$A$4:$A$200,0)),""))</f>
        <v>3</v>
      </c>
      <c r="T15">
        <f t="shared" si="3"/>
        <v>0</v>
      </c>
      <c r="U15">
        <f t="shared" si="4"/>
        <v>0</v>
      </c>
      <c r="V15">
        <f t="shared" si="5"/>
        <v>0</v>
      </c>
    </row>
    <row r="16" spans="1:22">
      <c r="A16">
        <v>13</v>
      </c>
      <c r="B16" t="str">
        <f>IF(INT(($A16-1)/Setup!$B$15)+1&lt;=Setup!$B$5,INDEX(Setup!$B$21:$B$28,INT(($A16-1)/Setup!$B$15)+1),"")</f>
        <v>A</v>
      </c>
      <c r="C16">
        <f>IF($B16="","",MOD($A16-1,Setup!$B$15)+1)</f>
        <v>13</v>
      </c>
      <c r="D16">
        <f>IF(OR($B16="",$C16&gt;Setup!$B$15),"",IFERROR(INDEX('Fixture Library'!$D$4:$D$200,MATCH(Setup!$B$6&amp;"-"&amp;$C16,'Fixture Library'!$A$4:$A$200,0)),""))</f>
        <v>4</v>
      </c>
      <c r="E16" t="str">
        <f>IF($R16="","",IFERROR(INDEX(Teams!$D$4:$D$67,MATCH($B16&amp;"-"&amp;$R16,Teams!$E$4:$E$67,0)),""))</f>
        <v>Team A5</v>
      </c>
      <c r="F16" s="88"/>
      <c r="G16" s="88"/>
      <c r="H16" s="88"/>
      <c r="I16" t="str">
        <f>IF($Q16&lt;&gt;"Complete","",IF(AND(ISNUMBER($G16),$G16&gt;=Setup!$B$31),Setup!$B$32,0)+IF(AND($F16&lt;$L16,$L16-$F16&lt;=Setup!$B$33),Setup!$B$34,0))</f>
        <v/>
      </c>
      <c r="J16" t="str">
        <f t="shared" si="0"/>
        <v/>
      </c>
      <c r="K16" t="str">
        <f>IF($S16="","",IFERROR(INDEX(Teams!$D$4:$D$67,MATCH($B16&amp;"-"&amp;$S16,Teams!$E$4:$E$67,0)),""))</f>
        <v>Team A1</v>
      </c>
      <c r="L16" s="88"/>
      <c r="M16" s="88"/>
      <c r="N16" s="88"/>
      <c r="O16" t="str">
        <f>IF($Q16&lt;&gt;"Complete","",IF(AND(ISNUMBER($M16),$M16&gt;=Setup!$B$31),Setup!$B$32,0)+IF(AND($L16&lt;$F16,$F16-$L16&lt;=Setup!$B$33),Setup!$B$34,0))</f>
        <v/>
      </c>
      <c r="P16" t="str">
        <f t="shared" si="1"/>
        <v/>
      </c>
      <c r="Q16" t="str">
        <f t="shared" si="2"/>
        <v>Waiting</v>
      </c>
      <c r="R16">
        <f>IF(OR($B16="",$C16&gt;Setup!$B$15),"",IFERROR(INDEX('Fixture Library'!$E$4:$E$200,MATCH(Setup!$B$6&amp;"-"&amp;$C16,'Fixture Library'!$A$4:$A$200,0)),""))</f>
        <v>5</v>
      </c>
      <c r="S16">
        <f>IF(OR($B16="",$C16&gt;Setup!$B$15),"",IFERROR(INDEX('Fixture Library'!$F$4:$F$200,MATCH(Setup!$B$6&amp;"-"&amp;$C16,'Fixture Library'!$A$4:$A$200,0)),""))</f>
        <v>1</v>
      </c>
      <c r="T16">
        <f t="shared" si="3"/>
        <v>0</v>
      </c>
      <c r="U16">
        <f t="shared" si="4"/>
        <v>0</v>
      </c>
      <c r="V16">
        <f t="shared" si="5"/>
        <v>0</v>
      </c>
    </row>
    <row r="17" spans="1:22">
      <c r="A17">
        <v>14</v>
      </c>
      <c r="B17" t="str">
        <f>IF(INT(($A17-1)/Setup!$B$15)+1&lt;=Setup!$B$5,INDEX(Setup!$B$21:$B$28,INT(($A17-1)/Setup!$B$15)+1),"")</f>
        <v>A</v>
      </c>
      <c r="C17">
        <f>IF($B17="","",MOD($A17-1,Setup!$B$15)+1)</f>
        <v>14</v>
      </c>
      <c r="D17">
        <f>IF(OR($B17="",$C17&gt;Setup!$B$15),"",IFERROR(INDEX('Fixture Library'!$D$4:$D$200,MATCH(Setup!$B$6&amp;"-"&amp;$C17,'Fixture Library'!$A$4:$A$200,0)),""))</f>
        <v>4</v>
      </c>
      <c r="E17" t="str">
        <f>IF($R17="","",IFERROR(INDEX(Teams!$D$4:$D$67,MATCH($B17&amp;"-"&amp;$R17,Teams!$E$4:$E$67,0)),""))</f>
        <v>Team A4</v>
      </c>
      <c r="F17" s="88"/>
      <c r="G17" s="88"/>
      <c r="H17" s="88"/>
      <c r="I17" t="str">
        <f>IF($Q17&lt;&gt;"Complete","",IF(AND(ISNUMBER($G17),$G17&gt;=Setup!$B$31),Setup!$B$32,0)+IF(AND($F17&lt;$L17,$L17-$F17&lt;=Setup!$B$33),Setup!$B$34,0))</f>
        <v/>
      </c>
      <c r="J17" t="str">
        <f t="shared" si="0"/>
        <v/>
      </c>
      <c r="K17" t="str">
        <f>IF($S17="","",IFERROR(INDEX(Teams!$D$4:$D$67,MATCH($B17&amp;"-"&amp;$S17,Teams!$E$4:$E$67,0)),""))</f>
        <v>Team A6</v>
      </c>
      <c r="L17" s="88"/>
      <c r="M17" s="88"/>
      <c r="N17" s="88"/>
      <c r="O17" t="str">
        <f>IF($Q17&lt;&gt;"Complete","",IF(AND(ISNUMBER($M17),$M17&gt;=Setup!$B$31),Setup!$B$32,0)+IF(AND($L17&lt;$F17,$F17-$L17&lt;=Setup!$B$33),Setup!$B$34,0))</f>
        <v/>
      </c>
      <c r="P17" t="str">
        <f t="shared" si="1"/>
        <v/>
      </c>
      <c r="Q17" t="str">
        <f t="shared" si="2"/>
        <v>Waiting</v>
      </c>
      <c r="R17">
        <f>IF(OR($B17="",$C17&gt;Setup!$B$15),"",IFERROR(INDEX('Fixture Library'!$E$4:$E$200,MATCH(Setup!$B$6&amp;"-"&amp;$C17,'Fixture Library'!$A$4:$A$200,0)),""))</f>
        <v>4</v>
      </c>
      <c r="S17">
        <f>IF(OR($B17="",$C17&gt;Setup!$B$15),"",IFERROR(INDEX('Fixture Library'!$F$4:$F$200,MATCH(Setup!$B$6&amp;"-"&amp;$C17,'Fixture Library'!$A$4:$A$200,0)),""))</f>
        <v>6</v>
      </c>
      <c r="T17">
        <f t="shared" si="3"/>
        <v>0</v>
      </c>
      <c r="U17">
        <f t="shared" si="4"/>
        <v>0</v>
      </c>
      <c r="V17">
        <f t="shared" si="5"/>
        <v>0</v>
      </c>
    </row>
    <row r="18" spans="1:22">
      <c r="A18">
        <v>15</v>
      </c>
      <c r="B18" t="str">
        <f>IF(INT(($A18-1)/Setup!$B$15)+1&lt;=Setup!$B$5,INDEX(Setup!$B$21:$B$28,INT(($A18-1)/Setup!$B$15)+1),"")</f>
        <v>A</v>
      </c>
      <c r="C18">
        <f>IF($B18="","",MOD($A18-1,Setup!$B$15)+1)</f>
        <v>15</v>
      </c>
      <c r="D18">
        <f>IF(OR($B18="",$C18&gt;Setup!$B$15),"",IFERROR(INDEX('Fixture Library'!$D$4:$D$200,MATCH(Setup!$B$6&amp;"-"&amp;$C18,'Fixture Library'!$A$4:$A$200,0)),""))</f>
        <v>4</v>
      </c>
      <c r="E18" t="str">
        <f>IF($R18="","",IFERROR(INDEX(Teams!$D$4:$D$67,MATCH($B18&amp;"-"&amp;$R18,Teams!$E$4:$E$67,0)),""))</f>
        <v>Team A3</v>
      </c>
      <c r="F18" s="88"/>
      <c r="G18" s="88"/>
      <c r="H18" s="88"/>
      <c r="I18" t="str">
        <f>IF($Q18&lt;&gt;"Complete","",IF(AND(ISNUMBER($G18),$G18&gt;=Setup!$B$31),Setup!$B$32,0)+IF(AND($F18&lt;$L18,$L18-$F18&lt;=Setup!$B$33),Setup!$B$34,0))</f>
        <v/>
      </c>
      <c r="J18" t="str">
        <f t="shared" si="0"/>
        <v/>
      </c>
      <c r="K18" t="str">
        <f>IF($S18="","",IFERROR(INDEX(Teams!$D$4:$D$67,MATCH($B18&amp;"-"&amp;$S18,Teams!$E$4:$E$67,0)),""))</f>
        <v>Team A7</v>
      </c>
      <c r="L18" s="88"/>
      <c r="M18" s="88"/>
      <c r="N18" s="88"/>
      <c r="O18" t="str">
        <f>IF($Q18&lt;&gt;"Complete","",IF(AND(ISNUMBER($M18),$M18&gt;=Setup!$B$31),Setup!$B$32,0)+IF(AND($L18&lt;$F18,$F18-$L18&lt;=Setup!$B$33),Setup!$B$34,0))</f>
        <v/>
      </c>
      <c r="P18" t="str">
        <f t="shared" si="1"/>
        <v/>
      </c>
      <c r="Q18" t="str">
        <f t="shared" si="2"/>
        <v>Waiting</v>
      </c>
      <c r="R18">
        <f>IF(OR($B18="",$C18&gt;Setup!$B$15),"",IFERROR(INDEX('Fixture Library'!$E$4:$E$200,MATCH(Setup!$B$6&amp;"-"&amp;$C18,'Fixture Library'!$A$4:$A$200,0)),""))</f>
        <v>3</v>
      </c>
      <c r="S18">
        <f>IF(OR($B18="",$C18&gt;Setup!$B$15),"",IFERROR(INDEX('Fixture Library'!$F$4:$F$200,MATCH(Setup!$B$6&amp;"-"&amp;$C18,'Fixture Library'!$A$4:$A$200,0)),""))</f>
        <v>7</v>
      </c>
      <c r="T18">
        <f t="shared" si="3"/>
        <v>0</v>
      </c>
      <c r="U18">
        <f t="shared" si="4"/>
        <v>0</v>
      </c>
      <c r="V18">
        <f t="shared" si="5"/>
        <v>0</v>
      </c>
    </row>
    <row r="19" spans="1:22">
      <c r="A19">
        <v>16</v>
      </c>
      <c r="B19" t="str">
        <f>IF(INT(($A19-1)/Setup!$B$15)+1&lt;=Setup!$B$5,INDEX(Setup!$B$21:$B$28,INT(($A19-1)/Setup!$B$15)+1),"")</f>
        <v>A</v>
      </c>
      <c r="C19">
        <f>IF($B19="","",MOD($A19-1,Setup!$B$15)+1)</f>
        <v>16</v>
      </c>
      <c r="D19">
        <f>IF(OR($B19="",$C19&gt;Setup!$B$15),"",IFERROR(INDEX('Fixture Library'!$D$4:$D$200,MATCH(Setup!$B$6&amp;"-"&amp;$C19,'Fixture Library'!$A$4:$A$200,0)),""))</f>
        <v>4</v>
      </c>
      <c r="E19" t="str">
        <f>IF($R19="","",IFERROR(INDEX(Teams!$D$4:$D$67,MATCH($B19&amp;"-"&amp;$R19,Teams!$E$4:$E$67,0)),""))</f>
        <v>Team A2</v>
      </c>
      <c r="F19" s="88"/>
      <c r="G19" s="88"/>
      <c r="H19" s="88"/>
      <c r="I19" t="str">
        <f>IF($Q19&lt;&gt;"Complete","",IF(AND(ISNUMBER($G19),$G19&gt;=Setup!$B$31),Setup!$B$32,0)+IF(AND($F19&lt;$L19,$L19-$F19&lt;=Setup!$B$33),Setup!$B$34,0))</f>
        <v/>
      </c>
      <c r="J19" t="str">
        <f t="shared" si="0"/>
        <v/>
      </c>
      <c r="K19" t="str">
        <f>IF($S19="","",IFERROR(INDEX(Teams!$D$4:$D$67,MATCH($B19&amp;"-"&amp;$S19,Teams!$E$4:$E$67,0)),""))</f>
        <v>Team A8</v>
      </c>
      <c r="L19" s="88"/>
      <c r="M19" s="88"/>
      <c r="N19" s="88"/>
      <c r="O19" t="str">
        <f>IF($Q19&lt;&gt;"Complete","",IF(AND(ISNUMBER($M19),$M19&gt;=Setup!$B$31),Setup!$B$32,0)+IF(AND($L19&lt;$F19,$F19-$L19&lt;=Setup!$B$33),Setup!$B$34,0))</f>
        <v/>
      </c>
      <c r="P19" t="str">
        <f t="shared" si="1"/>
        <v/>
      </c>
      <c r="Q19" t="str">
        <f t="shared" si="2"/>
        <v>Waiting</v>
      </c>
      <c r="R19">
        <f>IF(OR($B19="",$C19&gt;Setup!$B$15),"",IFERROR(INDEX('Fixture Library'!$E$4:$E$200,MATCH(Setup!$B$6&amp;"-"&amp;$C19,'Fixture Library'!$A$4:$A$200,0)),""))</f>
        <v>2</v>
      </c>
      <c r="S19">
        <f>IF(OR($B19="",$C19&gt;Setup!$B$15),"",IFERROR(INDEX('Fixture Library'!$F$4:$F$200,MATCH(Setup!$B$6&amp;"-"&amp;$C19,'Fixture Library'!$A$4:$A$200,0)),""))</f>
        <v>8</v>
      </c>
      <c r="T19">
        <f t="shared" si="3"/>
        <v>0</v>
      </c>
      <c r="U19">
        <f t="shared" si="4"/>
        <v>0</v>
      </c>
      <c r="V19">
        <f t="shared" si="5"/>
        <v>0</v>
      </c>
    </row>
    <row r="20" spans="1:22">
      <c r="A20">
        <v>17</v>
      </c>
      <c r="B20" t="str">
        <f>IF(INT(($A20-1)/Setup!$B$15)+1&lt;=Setup!$B$5,INDEX(Setup!$B$21:$B$28,INT(($A20-1)/Setup!$B$15)+1),"")</f>
        <v>A</v>
      </c>
      <c r="C20">
        <f>IF($B20="","",MOD($A20-1,Setup!$B$15)+1)</f>
        <v>17</v>
      </c>
      <c r="D20">
        <f>IF(OR($B20="",$C20&gt;Setup!$B$15),"",IFERROR(INDEX('Fixture Library'!$D$4:$D$200,MATCH(Setup!$B$6&amp;"-"&amp;$C20,'Fixture Library'!$A$4:$A$200,0)),""))</f>
        <v>5</v>
      </c>
      <c r="E20" t="str">
        <f>IF($R20="","",IFERROR(INDEX(Teams!$D$4:$D$67,MATCH($B20&amp;"-"&amp;$R20,Teams!$E$4:$E$67,0)),""))</f>
        <v>Team A1</v>
      </c>
      <c r="F20" s="88"/>
      <c r="G20" s="88"/>
      <c r="H20" s="88"/>
      <c r="I20" t="str">
        <f>IF($Q20&lt;&gt;"Complete","",IF(AND(ISNUMBER($G20),$G20&gt;=Setup!$B$31),Setup!$B$32,0)+IF(AND($F20&lt;$L20,$L20-$F20&lt;=Setup!$B$33),Setup!$B$34,0))</f>
        <v/>
      </c>
      <c r="J20" t="str">
        <f t="shared" si="0"/>
        <v/>
      </c>
      <c r="K20" t="str">
        <f>IF($S20="","",IFERROR(INDEX(Teams!$D$4:$D$67,MATCH($B20&amp;"-"&amp;$S20,Teams!$E$4:$E$67,0)),""))</f>
        <v>Team A4</v>
      </c>
      <c r="L20" s="88"/>
      <c r="M20" s="88"/>
      <c r="N20" s="88"/>
      <c r="O20" t="str">
        <f>IF($Q20&lt;&gt;"Complete","",IF(AND(ISNUMBER($M20),$M20&gt;=Setup!$B$31),Setup!$B$32,0)+IF(AND($L20&lt;$F20,$F20-$L20&lt;=Setup!$B$33),Setup!$B$34,0))</f>
        <v/>
      </c>
      <c r="P20" t="str">
        <f t="shared" si="1"/>
        <v/>
      </c>
      <c r="Q20" t="str">
        <f t="shared" si="2"/>
        <v>Waiting</v>
      </c>
      <c r="R20">
        <f>IF(OR($B20="",$C20&gt;Setup!$B$15),"",IFERROR(INDEX('Fixture Library'!$E$4:$E$200,MATCH(Setup!$B$6&amp;"-"&amp;$C20,'Fixture Library'!$A$4:$A$200,0)),""))</f>
        <v>1</v>
      </c>
      <c r="S20">
        <f>IF(OR($B20="",$C20&gt;Setup!$B$15),"",IFERROR(INDEX('Fixture Library'!$F$4:$F$200,MATCH(Setup!$B$6&amp;"-"&amp;$C20,'Fixture Library'!$A$4:$A$200,0)),""))</f>
        <v>4</v>
      </c>
      <c r="T20">
        <f t="shared" si="3"/>
        <v>0</v>
      </c>
      <c r="U20">
        <f t="shared" si="4"/>
        <v>0</v>
      </c>
      <c r="V20">
        <f t="shared" si="5"/>
        <v>0</v>
      </c>
    </row>
    <row r="21" spans="1:22">
      <c r="A21">
        <v>18</v>
      </c>
      <c r="B21" t="str">
        <f>IF(INT(($A21-1)/Setup!$B$15)+1&lt;=Setup!$B$5,INDEX(Setup!$B$21:$B$28,INT(($A21-1)/Setup!$B$15)+1),"")</f>
        <v>A</v>
      </c>
      <c r="C21">
        <f>IF($B21="","",MOD($A21-1,Setup!$B$15)+1)</f>
        <v>18</v>
      </c>
      <c r="D21">
        <f>IF(OR($B21="",$C21&gt;Setup!$B$15),"",IFERROR(INDEX('Fixture Library'!$D$4:$D$200,MATCH(Setup!$B$6&amp;"-"&amp;$C21,'Fixture Library'!$A$4:$A$200,0)),""))</f>
        <v>5</v>
      </c>
      <c r="E21" t="str">
        <f>IF($R21="","",IFERROR(INDEX(Teams!$D$4:$D$67,MATCH($B21&amp;"-"&amp;$R21,Teams!$E$4:$E$67,0)),""))</f>
        <v>Team A5</v>
      </c>
      <c r="F21" s="88"/>
      <c r="G21" s="88"/>
      <c r="H21" s="88"/>
      <c r="I21" t="str">
        <f>IF($Q21&lt;&gt;"Complete","",IF(AND(ISNUMBER($G21),$G21&gt;=Setup!$B$31),Setup!$B$32,0)+IF(AND($F21&lt;$L21,$L21-$F21&lt;=Setup!$B$33),Setup!$B$34,0))</f>
        <v/>
      </c>
      <c r="J21" t="str">
        <f t="shared" si="0"/>
        <v/>
      </c>
      <c r="K21" t="str">
        <f>IF($S21="","",IFERROR(INDEX(Teams!$D$4:$D$67,MATCH($B21&amp;"-"&amp;$S21,Teams!$E$4:$E$67,0)),""))</f>
        <v>Team A3</v>
      </c>
      <c r="L21" s="88"/>
      <c r="M21" s="88"/>
      <c r="N21" s="88"/>
      <c r="O21" t="str">
        <f>IF($Q21&lt;&gt;"Complete","",IF(AND(ISNUMBER($M21),$M21&gt;=Setup!$B$31),Setup!$B$32,0)+IF(AND($L21&lt;$F21,$F21-$L21&lt;=Setup!$B$33),Setup!$B$34,0))</f>
        <v/>
      </c>
      <c r="P21" t="str">
        <f t="shared" si="1"/>
        <v/>
      </c>
      <c r="Q21" t="str">
        <f t="shared" si="2"/>
        <v>Waiting</v>
      </c>
      <c r="R21">
        <f>IF(OR($B21="",$C21&gt;Setup!$B$15),"",IFERROR(INDEX('Fixture Library'!$E$4:$E$200,MATCH(Setup!$B$6&amp;"-"&amp;$C21,'Fixture Library'!$A$4:$A$200,0)),""))</f>
        <v>5</v>
      </c>
      <c r="S21">
        <f>IF(OR($B21="",$C21&gt;Setup!$B$15),"",IFERROR(INDEX('Fixture Library'!$F$4:$F$200,MATCH(Setup!$B$6&amp;"-"&amp;$C21,'Fixture Library'!$A$4:$A$200,0)),""))</f>
        <v>3</v>
      </c>
      <c r="T21">
        <f t="shared" si="3"/>
        <v>0</v>
      </c>
      <c r="U21">
        <f t="shared" si="4"/>
        <v>0</v>
      </c>
      <c r="V21">
        <f t="shared" si="5"/>
        <v>0</v>
      </c>
    </row>
    <row r="22" spans="1:22">
      <c r="A22">
        <v>19</v>
      </c>
      <c r="B22" t="str">
        <f>IF(INT(($A22-1)/Setup!$B$15)+1&lt;=Setup!$B$5,INDEX(Setup!$B$21:$B$28,INT(($A22-1)/Setup!$B$15)+1),"")</f>
        <v>A</v>
      </c>
      <c r="C22">
        <f>IF($B22="","",MOD($A22-1,Setup!$B$15)+1)</f>
        <v>19</v>
      </c>
      <c r="D22">
        <f>IF(OR($B22="",$C22&gt;Setup!$B$15),"",IFERROR(INDEX('Fixture Library'!$D$4:$D$200,MATCH(Setup!$B$6&amp;"-"&amp;$C22,'Fixture Library'!$A$4:$A$200,0)),""))</f>
        <v>5</v>
      </c>
      <c r="E22" t="str">
        <f>IF($R22="","",IFERROR(INDEX(Teams!$D$4:$D$67,MATCH($B22&amp;"-"&amp;$R22,Teams!$E$4:$E$67,0)),""))</f>
        <v>Team A6</v>
      </c>
      <c r="F22" s="88"/>
      <c r="G22" s="88"/>
      <c r="H22" s="88"/>
      <c r="I22" t="str">
        <f>IF($Q22&lt;&gt;"Complete","",IF(AND(ISNUMBER($G22),$G22&gt;=Setup!$B$31),Setup!$B$32,0)+IF(AND($F22&lt;$L22,$L22-$F22&lt;=Setup!$B$33),Setup!$B$34,0))</f>
        <v/>
      </c>
      <c r="J22" t="str">
        <f t="shared" si="0"/>
        <v/>
      </c>
      <c r="K22" t="str">
        <f>IF($S22="","",IFERROR(INDEX(Teams!$D$4:$D$67,MATCH($B22&amp;"-"&amp;$S22,Teams!$E$4:$E$67,0)),""))</f>
        <v>Team A2</v>
      </c>
      <c r="L22" s="88"/>
      <c r="M22" s="88"/>
      <c r="N22" s="88"/>
      <c r="O22" t="str">
        <f>IF($Q22&lt;&gt;"Complete","",IF(AND(ISNUMBER($M22),$M22&gt;=Setup!$B$31),Setup!$B$32,0)+IF(AND($L22&lt;$F22,$F22-$L22&lt;=Setup!$B$33),Setup!$B$34,0))</f>
        <v/>
      </c>
      <c r="P22" t="str">
        <f t="shared" si="1"/>
        <v/>
      </c>
      <c r="Q22" t="str">
        <f t="shared" si="2"/>
        <v>Waiting</v>
      </c>
      <c r="R22">
        <f>IF(OR($B22="",$C22&gt;Setup!$B$15),"",IFERROR(INDEX('Fixture Library'!$E$4:$E$200,MATCH(Setup!$B$6&amp;"-"&amp;$C22,'Fixture Library'!$A$4:$A$200,0)),""))</f>
        <v>6</v>
      </c>
      <c r="S22">
        <f>IF(OR($B22="",$C22&gt;Setup!$B$15),"",IFERROR(INDEX('Fixture Library'!$F$4:$F$200,MATCH(Setup!$B$6&amp;"-"&amp;$C22,'Fixture Library'!$A$4:$A$200,0)),""))</f>
        <v>2</v>
      </c>
      <c r="T22">
        <f t="shared" si="3"/>
        <v>0</v>
      </c>
      <c r="U22">
        <f t="shared" si="4"/>
        <v>0</v>
      </c>
      <c r="V22">
        <f t="shared" si="5"/>
        <v>0</v>
      </c>
    </row>
    <row r="23" spans="1:22">
      <c r="A23">
        <v>20</v>
      </c>
      <c r="B23" t="str">
        <f>IF(INT(($A23-1)/Setup!$B$15)+1&lt;=Setup!$B$5,INDEX(Setup!$B$21:$B$28,INT(($A23-1)/Setup!$B$15)+1),"")</f>
        <v>A</v>
      </c>
      <c r="C23">
        <f>IF($B23="","",MOD($A23-1,Setup!$B$15)+1)</f>
        <v>20</v>
      </c>
      <c r="D23">
        <f>IF(OR($B23="",$C23&gt;Setup!$B$15),"",IFERROR(INDEX('Fixture Library'!$D$4:$D$200,MATCH(Setup!$B$6&amp;"-"&amp;$C23,'Fixture Library'!$A$4:$A$200,0)),""))</f>
        <v>5</v>
      </c>
      <c r="E23" t="str">
        <f>IF($R23="","",IFERROR(INDEX(Teams!$D$4:$D$67,MATCH($B23&amp;"-"&amp;$R23,Teams!$E$4:$E$67,0)),""))</f>
        <v>Team A7</v>
      </c>
      <c r="F23" s="88"/>
      <c r="G23" s="88"/>
      <c r="H23" s="88"/>
      <c r="I23" t="str">
        <f>IF($Q23&lt;&gt;"Complete","",IF(AND(ISNUMBER($G23),$G23&gt;=Setup!$B$31),Setup!$B$32,0)+IF(AND($F23&lt;$L23,$L23-$F23&lt;=Setup!$B$33),Setup!$B$34,0))</f>
        <v/>
      </c>
      <c r="J23" t="str">
        <f t="shared" si="0"/>
        <v/>
      </c>
      <c r="K23" t="str">
        <f>IF($S23="","",IFERROR(INDEX(Teams!$D$4:$D$67,MATCH($B23&amp;"-"&amp;$S23,Teams!$E$4:$E$67,0)),""))</f>
        <v>Team A8</v>
      </c>
      <c r="L23" s="88"/>
      <c r="M23" s="88"/>
      <c r="N23" s="88"/>
      <c r="O23" t="str">
        <f>IF($Q23&lt;&gt;"Complete","",IF(AND(ISNUMBER($M23),$M23&gt;=Setup!$B$31),Setup!$B$32,0)+IF(AND($L23&lt;$F23,$F23-$L23&lt;=Setup!$B$33),Setup!$B$34,0))</f>
        <v/>
      </c>
      <c r="P23" t="str">
        <f t="shared" si="1"/>
        <v/>
      </c>
      <c r="Q23" t="str">
        <f t="shared" si="2"/>
        <v>Waiting</v>
      </c>
      <c r="R23">
        <f>IF(OR($B23="",$C23&gt;Setup!$B$15),"",IFERROR(INDEX('Fixture Library'!$E$4:$E$200,MATCH(Setup!$B$6&amp;"-"&amp;$C23,'Fixture Library'!$A$4:$A$200,0)),""))</f>
        <v>7</v>
      </c>
      <c r="S23">
        <f>IF(OR($B23="",$C23&gt;Setup!$B$15),"",IFERROR(INDEX('Fixture Library'!$F$4:$F$200,MATCH(Setup!$B$6&amp;"-"&amp;$C23,'Fixture Library'!$A$4:$A$200,0)),""))</f>
        <v>8</v>
      </c>
      <c r="T23">
        <f t="shared" si="3"/>
        <v>0</v>
      </c>
      <c r="U23">
        <f t="shared" si="4"/>
        <v>0</v>
      </c>
      <c r="V23">
        <f t="shared" si="5"/>
        <v>0</v>
      </c>
    </row>
    <row r="24" spans="1:22">
      <c r="A24">
        <v>21</v>
      </c>
      <c r="B24" t="str">
        <f>IF(INT(($A24-1)/Setup!$B$15)+1&lt;=Setup!$B$5,INDEX(Setup!$B$21:$B$28,INT(($A24-1)/Setup!$B$15)+1),"")</f>
        <v>A</v>
      </c>
      <c r="C24">
        <f>IF($B24="","",MOD($A24-1,Setup!$B$15)+1)</f>
        <v>21</v>
      </c>
      <c r="D24">
        <f>IF(OR($B24="",$C24&gt;Setup!$B$15),"",IFERROR(INDEX('Fixture Library'!$D$4:$D$200,MATCH(Setup!$B$6&amp;"-"&amp;$C24,'Fixture Library'!$A$4:$A$200,0)),""))</f>
        <v>6</v>
      </c>
      <c r="E24" t="str">
        <f>IF($R24="","",IFERROR(INDEX(Teams!$D$4:$D$67,MATCH($B24&amp;"-"&amp;$R24,Teams!$E$4:$E$67,0)),""))</f>
        <v>Team A3</v>
      </c>
      <c r="F24" s="88"/>
      <c r="G24" s="88"/>
      <c r="H24" s="88"/>
      <c r="I24" t="str">
        <f>IF($Q24&lt;&gt;"Complete","",IF(AND(ISNUMBER($G24),$G24&gt;=Setup!$B$31),Setup!$B$32,0)+IF(AND($F24&lt;$L24,$L24-$F24&lt;=Setup!$B$33),Setup!$B$34,0))</f>
        <v/>
      </c>
      <c r="J24" t="str">
        <f t="shared" si="0"/>
        <v/>
      </c>
      <c r="K24" t="str">
        <f>IF($S24="","",IFERROR(INDEX(Teams!$D$4:$D$67,MATCH($B24&amp;"-"&amp;$S24,Teams!$E$4:$E$67,0)),""))</f>
        <v>Team A1</v>
      </c>
      <c r="L24" s="88"/>
      <c r="M24" s="88"/>
      <c r="N24" s="88"/>
      <c r="O24" t="str">
        <f>IF($Q24&lt;&gt;"Complete","",IF(AND(ISNUMBER($M24),$M24&gt;=Setup!$B$31),Setup!$B$32,0)+IF(AND($L24&lt;$F24,$F24-$L24&lt;=Setup!$B$33),Setup!$B$34,0))</f>
        <v/>
      </c>
      <c r="P24" t="str">
        <f t="shared" si="1"/>
        <v/>
      </c>
      <c r="Q24" t="str">
        <f t="shared" si="2"/>
        <v>Waiting</v>
      </c>
      <c r="R24">
        <f>IF(OR($B24="",$C24&gt;Setup!$B$15),"",IFERROR(INDEX('Fixture Library'!$E$4:$E$200,MATCH(Setup!$B$6&amp;"-"&amp;$C24,'Fixture Library'!$A$4:$A$200,0)),""))</f>
        <v>3</v>
      </c>
      <c r="S24">
        <f>IF(OR($B24="",$C24&gt;Setup!$B$15),"",IFERROR(INDEX('Fixture Library'!$F$4:$F$200,MATCH(Setup!$B$6&amp;"-"&amp;$C24,'Fixture Library'!$A$4:$A$200,0)),""))</f>
        <v>1</v>
      </c>
      <c r="T24">
        <f t="shared" si="3"/>
        <v>0</v>
      </c>
      <c r="U24">
        <f t="shared" si="4"/>
        <v>0</v>
      </c>
      <c r="V24">
        <f t="shared" si="5"/>
        <v>0</v>
      </c>
    </row>
    <row r="25" spans="1:22">
      <c r="A25">
        <v>22</v>
      </c>
      <c r="B25" t="str">
        <f>IF(INT(($A25-1)/Setup!$B$15)+1&lt;=Setup!$B$5,INDEX(Setup!$B$21:$B$28,INT(($A25-1)/Setup!$B$15)+1),"")</f>
        <v>A</v>
      </c>
      <c r="C25">
        <f>IF($B25="","",MOD($A25-1,Setup!$B$15)+1)</f>
        <v>22</v>
      </c>
      <c r="D25">
        <f>IF(OR($B25="",$C25&gt;Setup!$B$15),"",IFERROR(INDEX('Fixture Library'!$D$4:$D$200,MATCH(Setup!$B$6&amp;"-"&amp;$C25,'Fixture Library'!$A$4:$A$200,0)),""))</f>
        <v>6</v>
      </c>
      <c r="E25" t="str">
        <f>IF($R25="","",IFERROR(INDEX(Teams!$D$4:$D$67,MATCH($B25&amp;"-"&amp;$R25,Teams!$E$4:$E$67,0)),""))</f>
        <v>Team A2</v>
      </c>
      <c r="F25" s="88"/>
      <c r="G25" s="88"/>
      <c r="H25" s="88"/>
      <c r="I25" t="str">
        <f>IF($Q25&lt;&gt;"Complete","",IF(AND(ISNUMBER($G25),$G25&gt;=Setup!$B$31),Setup!$B$32,0)+IF(AND($F25&lt;$L25,$L25-$F25&lt;=Setup!$B$33),Setup!$B$34,0))</f>
        <v/>
      </c>
      <c r="J25" t="str">
        <f t="shared" si="0"/>
        <v/>
      </c>
      <c r="K25" t="str">
        <f>IF($S25="","",IFERROR(INDEX(Teams!$D$4:$D$67,MATCH($B25&amp;"-"&amp;$S25,Teams!$E$4:$E$67,0)),""))</f>
        <v>Team A4</v>
      </c>
      <c r="L25" s="88"/>
      <c r="M25" s="88"/>
      <c r="N25" s="88"/>
      <c r="O25" t="str">
        <f>IF($Q25&lt;&gt;"Complete","",IF(AND(ISNUMBER($M25),$M25&gt;=Setup!$B$31),Setup!$B$32,0)+IF(AND($L25&lt;$F25,$F25-$L25&lt;=Setup!$B$33),Setup!$B$34,0))</f>
        <v/>
      </c>
      <c r="P25" t="str">
        <f t="shared" si="1"/>
        <v/>
      </c>
      <c r="Q25" t="str">
        <f t="shared" si="2"/>
        <v>Waiting</v>
      </c>
      <c r="R25">
        <f>IF(OR($B25="",$C25&gt;Setup!$B$15),"",IFERROR(INDEX('Fixture Library'!$E$4:$E$200,MATCH(Setup!$B$6&amp;"-"&amp;$C25,'Fixture Library'!$A$4:$A$200,0)),""))</f>
        <v>2</v>
      </c>
      <c r="S25">
        <f>IF(OR($B25="",$C25&gt;Setup!$B$15),"",IFERROR(INDEX('Fixture Library'!$F$4:$F$200,MATCH(Setup!$B$6&amp;"-"&amp;$C25,'Fixture Library'!$A$4:$A$200,0)),""))</f>
        <v>4</v>
      </c>
      <c r="T25">
        <f t="shared" si="3"/>
        <v>0</v>
      </c>
      <c r="U25">
        <f t="shared" si="4"/>
        <v>0</v>
      </c>
      <c r="V25">
        <f t="shared" si="5"/>
        <v>0</v>
      </c>
    </row>
    <row r="26" spans="1:22">
      <c r="A26">
        <v>23</v>
      </c>
      <c r="B26" t="str">
        <f>IF(INT(($A26-1)/Setup!$B$15)+1&lt;=Setup!$B$5,INDEX(Setup!$B$21:$B$28,INT(($A26-1)/Setup!$B$15)+1),"")</f>
        <v>A</v>
      </c>
      <c r="C26">
        <f>IF($B26="","",MOD($A26-1,Setup!$B$15)+1)</f>
        <v>23</v>
      </c>
      <c r="D26">
        <f>IF(OR($B26="",$C26&gt;Setup!$B$15),"",IFERROR(INDEX('Fixture Library'!$D$4:$D$200,MATCH(Setup!$B$6&amp;"-"&amp;$C26,'Fixture Library'!$A$4:$A$200,0)),""))</f>
        <v>6</v>
      </c>
      <c r="E26" t="str">
        <f>IF($R26="","",IFERROR(INDEX(Teams!$D$4:$D$67,MATCH($B26&amp;"-"&amp;$R26,Teams!$E$4:$E$67,0)),""))</f>
        <v>Team A8</v>
      </c>
      <c r="F26" s="88"/>
      <c r="G26" s="88"/>
      <c r="H26" s="88"/>
      <c r="I26" t="str">
        <f>IF($Q26&lt;&gt;"Complete","",IF(AND(ISNUMBER($G26),$G26&gt;=Setup!$B$31),Setup!$B$32,0)+IF(AND($F26&lt;$L26,$L26-$F26&lt;=Setup!$B$33),Setup!$B$34,0))</f>
        <v/>
      </c>
      <c r="J26" t="str">
        <f t="shared" si="0"/>
        <v/>
      </c>
      <c r="K26" t="str">
        <f>IF($S26="","",IFERROR(INDEX(Teams!$D$4:$D$67,MATCH($B26&amp;"-"&amp;$S26,Teams!$E$4:$E$67,0)),""))</f>
        <v>Team A5</v>
      </c>
      <c r="L26" s="88"/>
      <c r="M26" s="88"/>
      <c r="N26" s="88"/>
      <c r="O26" t="str">
        <f>IF($Q26&lt;&gt;"Complete","",IF(AND(ISNUMBER($M26),$M26&gt;=Setup!$B$31),Setup!$B$32,0)+IF(AND($L26&lt;$F26,$F26-$L26&lt;=Setup!$B$33),Setup!$B$34,0))</f>
        <v/>
      </c>
      <c r="P26" t="str">
        <f t="shared" si="1"/>
        <v/>
      </c>
      <c r="Q26" t="str">
        <f t="shared" si="2"/>
        <v>Waiting</v>
      </c>
      <c r="R26">
        <f>IF(OR($B26="",$C26&gt;Setup!$B$15),"",IFERROR(INDEX('Fixture Library'!$E$4:$E$200,MATCH(Setup!$B$6&amp;"-"&amp;$C26,'Fixture Library'!$A$4:$A$200,0)),""))</f>
        <v>8</v>
      </c>
      <c r="S26">
        <f>IF(OR($B26="",$C26&gt;Setup!$B$15),"",IFERROR(INDEX('Fixture Library'!$F$4:$F$200,MATCH(Setup!$B$6&amp;"-"&amp;$C26,'Fixture Library'!$A$4:$A$200,0)),""))</f>
        <v>5</v>
      </c>
      <c r="T26">
        <f t="shared" si="3"/>
        <v>0</v>
      </c>
      <c r="U26">
        <f t="shared" si="4"/>
        <v>0</v>
      </c>
      <c r="V26">
        <f t="shared" si="5"/>
        <v>0</v>
      </c>
    </row>
    <row r="27" spans="1:22">
      <c r="A27">
        <v>24</v>
      </c>
      <c r="B27" t="str">
        <f>IF(INT(($A27-1)/Setup!$B$15)+1&lt;=Setup!$B$5,INDEX(Setup!$B$21:$B$28,INT(($A27-1)/Setup!$B$15)+1),"")</f>
        <v>A</v>
      </c>
      <c r="C27">
        <f>IF($B27="","",MOD($A27-1,Setup!$B$15)+1)</f>
        <v>24</v>
      </c>
      <c r="D27">
        <f>IF(OR($B27="",$C27&gt;Setup!$B$15),"",IFERROR(INDEX('Fixture Library'!$D$4:$D$200,MATCH(Setup!$B$6&amp;"-"&amp;$C27,'Fixture Library'!$A$4:$A$200,0)),""))</f>
        <v>6</v>
      </c>
      <c r="E27" t="str">
        <f>IF($R27="","",IFERROR(INDEX(Teams!$D$4:$D$67,MATCH($B27&amp;"-"&amp;$R27,Teams!$E$4:$E$67,0)),""))</f>
        <v>Team A7</v>
      </c>
      <c r="F27" s="88"/>
      <c r="G27" s="88"/>
      <c r="H27" s="88"/>
      <c r="I27" t="str">
        <f>IF($Q27&lt;&gt;"Complete","",IF(AND(ISNUMBER($G27),$G27&gt;=Setup!$B$31),Setup!$B$32,0)+IF(AND($F27&lt;$L27,$L27-$F27&lt;=Setup!$B$33),Setup!$B$34,0))</f>
        <v/>
      </c>
      <c r="J27" t="str">
        <f t="shared" si="0"/>
        <v/>
      </c>
      <c r="K27" t="str">
        <f>IF($S27="","",IFERROR(INDEX(Teams!$D$4:$D$67,MATCH($B27&amp;"-"&amp;$S27,Teams!$E$4:$E$67,0)),""))</f>
        <v>Team A6</v>
      </c>
      <c r="L27" s="88"/>
      <c r="M27" s="88"/>
      <c r="N27" s="88"/>
      <c r="O27" t="str">
        <f>IF($Q27&lt;&gt;"Complete","",IF(AND(ISNUMBER($M27),$M27&gt;=Setup!$B$31),Setup!$B$32,0)+IF(AND($L27&lt;$F27,$F27-$L27&lt;=Setup!$B$33),Setup!$B$34,0))</f>
        <v/>
      </c>
      <c r="P27" t="str">
        <f t="shared" si="1"/>
        <v/>
      </c>
      <c r="Q27" t="str">
        <f t="shared" si="2"/>
        <v>Waiting</v>
      </c>
      <c r="R27">
        <f>IF(OR($B27="",$C27&gt;Setup!$B$15),"",IFERROR(INDEX('Fixture Library'!$E$4:$E$200,MATCH(Setup!$B$6&amp;"-"&amp;$C27,'Fixture Library'!$A$4:$A$200,0)),""))</f>
        <v>7</v>
      </c>
      <c r="S27">
        <f>IF(OR($B27="",$C27&gt;Setup!$B$15),"",IFERROR(INDEX('Fixture Library'!$F$4:$F$200,MATCH(Setup!$B$6&amp;"-"&amp;$C27,'Fixture Library'!$A$4:$A$200,0)),""))</f>
        <v>6</v>
      </c>
      <c r="T27">
        <f t="shared" si="3"/>
        <v>0</v>
      </c>
      <c r="U27">
        <f t="shared" si="4"/>
        <v>0</v>
      </c>
      <c r="V27">
        <f t="shared" si="5"/>
        <v>0</v>
      </c>
    </row>
    <row r="28" spans="1:22">
      <c r="A28">
        <v>25</v>
      </c>
      <c r="B28" t="str">
        <f>IF(INT(($A28-1)/Setup!$B$15)+1&lt;=Setup!$B$5,INDEX(Setup!$B$21:$B$28,INT(($A28-1)/Setup!$B$15)+1),"")</f>
        <v>A</v>
      </c>
      <c r="C28">
        <f>IF($B28="","",MOD($A28-1,Setup!$B$15)+1)</f>
        <v>25</v>
      </c>
      <c r="D28">
        <f>IF(OR($B28="",$C28&gt;Setup!$B$15),"",IFERROR(INDEX('Fixture Library'!$D$4:$D$200,MATCH(Setup!$B$6&amp;"-"&amp;$C28,'Fixture Library'!$A$4:$A$200,0)),""))</f>
        <v>7</v>
      </c>
      <c r="E28" t="str">
        <f>IF($R28="","",IFERROR(INDEX(Teams!$D$4:$D$67,MATCH($B28&amp;"-"&amp;$R28,Teams!$E$4:$E$67,0)),""))</f>
        <v>Team A1</v>
      </c>
      <c r="F28" s="88"/>
      <c r="G28" s="88"/>
      <c r="H28" s="88"/>
      <c r="I28" t="str">
        <f>IF($Q28&lt;&gt;"Complete","",IF(AND(ISNUMBER($G28),$G28&gt;=Setup!$B$31),Setup!$B$32,0)+IF(AND($F28&lt;$L28,$L28-$F28&lt;=Setup!$B$33),Setup!$B$34,0))</f>
        <v/>
      </c>
      <c r="J28" t="str">
        <f t="shared" si="0"/>
        <v/>
      </c>
      <c r="K28" t="str">
        <f>IF($S28="","",IFERROR(INDEX(Teams!$D$4:$D$67,MATCH($B28&amp;"-"&amp;$S28,Teams!$E$4:$E$67,0)),""))</f>
        <v>Team A2</v>
      </c>
      <c r="L28" s="88"/>
      <c r="M28" s="88"/>
      <c r="N28" s="88"/>
      <c r="O28" t="str">
        <f>IF($Q28&lt;&gt;"Complete","",IF(AND(ISNUMBER($M28),$M28&gt;=Setup!$B$31),Setup!$B$32,0)+IF(AND($L28&lt;$F28,$F28-$L28&lt;=Setup!$B$33),Setup!$B$34,0))</f>
        <v/>
      </c>
      <c r="P28" t="str">
        <f t="shared" si="1"/>
        <v/>
      </c>
      <c r="Q28" t="str">
        <f t="shared" si="2"/>
        <v>Waiting</v>
      </c>
      <c r="R28">
        <f>IF(OR($B28="",$C28&gt;Setup!$B$15),"",IFERROR(INDEX('Fixture Library'!$E$4:$E$200,MATCH(Setup!$B$6&amp;"-"&amp;$C28,'Fixture Library'!$A$4:$A$200,0)),""))</f>
        <v>1</v>
      </c>
      <c r="S28">
        <f>IF(OR($B28="",$C28&gt;Setup!$B$15),"",IFERROR(INDEX('Fixture Library'!$F$4:$F$200,MATCH(Setup!$B$6&amp;"-"&amp;$C28,'Fixture Library'!$A$4:$A$200,0)),""))</f>
        <v>2</v>
      </c>
      <c r="T28">
        <f t="shared" si="3"/>
        <v>0</v>
      </c>
      <c r="U28">
        <f t="shared" si="4"/>
        <v>0</v>
      </c>
      <c r="V28">
        <f t="shared" si="5"/>
        <v>0</v>
      </c>
    </row>
    <row r="29" spans="1:22">
      <c r="A29">
        <v>26</v>
      </c>
      <c r="B29" t="str">
        <f>IF(INT(($A29-1)/Setup!$B$15)+1&lt;=Setup!$B$5,INDEX(Setup!$B$21:$B$28,INT(($A29-1)/Setup!$B$15)+1),"")</f>
        <v>A</v>
      </c>
      <c r="C29">
        <f>IF($B29="","",MOD($A29-1,Setup!$B$15)+1)</f>
        <v>26</v>
      </c>
      <c r="D29">
        <f>IF(OR($B29="",$C29&gt;Setup!$B$15),"",IFERROR(INDEX('Fixture Library'!$D$4:$D$200,MATCH(Setup!$B$6&amp;"-"&amp;$C29,'Fixture Library'!$A$4:$A$200,0)),""))</f>
        <v>7</v>
      </c>
      <c r="E29" t="str">
        <f>IF($R29="","",IFERROR(INDEX(Teams!$D$4:$D$67,MATCH($B29&amp;"-"&amp;$R29,Teams!$E$4:$E$67,0)),""))</f>
        <v>Team A3</v>
      </c>
      <c r="F29" s="88"/>
      <c r="G29" s="88"/>
      <c r="H29" s="88"/>
      <c r="I29" t="str">
        <f>IF($Q29&lt;&gt;"Complete","",IF(AND(ISNUMBER($G29),$G29&gt;=Setup!$B$31),Setup!$B$32,0)+IF(AND($F29&lt;$L29,$L29-$F29&lt;=Setup!$B$33),Setup!$B$34,0))</f>
        <v/>
      </c>
      <c r="J29" t="str">
        <f t="shared" si="0"/>
        <v/>
      </c>
      <c r="K29" t="str">
        <f>IF($S29="","",IFERROR(INDEX(Teams!$D$4:$D$67,MATCH($B29&amp;"-"&amp;$S29,Teams!$E$4:$E$67,0)),""))</f>
        <v>Team A8</v>
      </c>
      <c r="L29" s="88"/>
      <c r="M29" s="88"/>
      <c r="N29" s="88"/>
      <c r="O29" t="str">
        <f>IF($Q29&lt;&gt;"Complete","",IF(AND(ISNUMBER($M29),$M29&gt;=Setup!$B$31),Setup!$B$32,0)+IF(AND($L29&lt;$F29,$F29-$L29&lt;=Setup!$B$33),Setup!$B$34,0))</f>
        <v/>
      </c>
      <c r="P29" t="str">
        <f t="shared" si="1"/>
        <v/>
      </c>
      <c r="Q29" t="str">
        <f t="shared" si="2"/>
        <v>Waiting</v>
      </c>
      <c r="R29">
        <f>IF(OR($B29="",$C29&gt;Setup!$B$15),"",IFERROR(INDEX('Fixture Library'!$E$4:$E$200,MATCH(Setup!$B$6&amp;"-"&amp;$C29,'Fixture Library'!$A$4:$A$200,0)),""))</f>
        <v>3</v>
      </c>
      <c r="S29">
        <f>IF(OR($B29="",$C29&gt;Setup!$B$15),"",IFERROR(INDEX('Fixture Library'!$F$4:$F$200,MATCH(Setup!$B$6&amp;"-"&amp;$C29,'Fixture Library'!$A$4:$A$200,0)),""))</f>
        <v>8</v>
      </c>
      <c r="T29">
        <f t="shared" si="3"/>
        <v>0</v>
      </c>
      <c r="U29">
        <f t="shared" si="4"/>
        <v>0</v>
      </c>
      <c r="V29">
        <f t="shared" si="5"/>
        <v>0</v>
      </c>
    </row>
    <row r="30" spans="1:22">
      <c r="A30">
        <v>27</v>
      </c>
      <c r="B30" t="str">
        <f>IF(INT(($A30-1)/Setup!$B$15)+1&lt;=Setup!$B$5,INDEX(Setup!$B$21:$B$28,INT(($A30-1)/Setup!$B$15)+1),"")</f>
        <v>A</v>
      </c>
      <c r="C30">
        <f>IF($B30="","",MOD($A30-1,Setup!$B$15)+1)</f>
        <v>27</v>
      </c>
      <c r="D30">
        <f>IF(OR($B30="",$C30&gt;Setup!$B$15),"",IFERROR(INDEX('Fixture Library'!$D$4:$D$200,MATCH(Setup!$B$6&amp;"-"&amp;$C30,'Fixture Library'!$A$4:$A$200,0)),""))</f>
        <v>7</v>
      </c>
      <c r="E30" t="str">
        <f>IF($R30="","",IFERROR(INDEX(Teams!$D$4:$D$67,MATCH($B30&amp;"-"&amp;$R30,Teams!$E$4:$E$67,0)),""))</f>
        <v>Team A4</v>
      </c>
      <c r="F30" s="88"/>
      <c r="G30" s="88"/>
      <c r="H30" s="88"/>
      <c r="I30" t="str">
        <f>IF($Q30&lt;&gt;"Complete","",IF(AND(ISNUMBER($G30),$G30&gt;=Setup!$B$31),Setup!$B$32,0)+IF(AND($F30&lt;$L30,$L30-$F30&lt;=Setup!$B$33),Setup!$B$34,0))</f>
        <v/>
      </c>
      <c r="J30" t="str">
        <f t="shared" si="0"/>
        <v/>
      </c>
      <c r="K30" t="str">
        <f>IF($S30="","",IFERROR(INDEX(Teams!$D$4:$D$67,MATCH($B30&amp;"-"&amp;$S30,Teams!$E$4:$E$67,0)),""))</f>
        <v>Team A7</v>
      </c>
      <c r="L30" s="88"/>
      <c r="M30" s="88"/>
      <c r="N30" s="88"/>
      <c r="O30" t="str">
        <f>IF($Q30&lt;&gt;"Complete","",IF(AND(ISNUMBER($M30),$M30&gt;=Setup!$B$31),Setup!$B$32,0)+IF(AND($L30&lt;$F30,$F30-$L30&lt;=Setup!$B$33),Setup!$B$34,0))</f>
        <v/>
      </c>
      <c r="P30" t="str">
        <f t="shared" si="1"/>
        <v/>
      </c>
      <c r="Q30" t="str">
        <f t="shared" si="2"/>
        <v>Waiting</v>
      </c>
      <c r="R30">
        <f>IF(OR($B30="",$C30&gt;Setup!$B$15),"",IFERROR(INDEX('Fixture Library'!$E$4:$E$200,MATCH(Setup!$B$6&amp;"-"&amp;$C30,'Fixture Library'!$A$4:$A$200,0)),""))</f>
        <v>4</v>
      </c>
      <c r="S30">
        <f>IF(OR($B30="",$C30&gt;Setup!$B$15),"",IFERROR(INDEX('Fixture Library'!$F$4:$F$200,MATCH(Setup!$B$6&amp;"-"&amp;$C30,'Fixture Library'!$A$4:$A$200,0)),""))</f>
        <v>7</v>
      </c>
      <c r="T30">
        <f t="shared" si="3"/>
        <v>0</v>
      </c>
      <c r="U30">
        <f t="shared" si="4"/>
        <v>0</v>
      </c>
      <c r="V30">
        <f t="shared" si="5"/>
        <v>0</v>
      </c>
    </row>
    <row r="31" spans="1:22">
      <c r="A31">
        <v>28</v>
      </c>
      <c r="B31" t="str">
        <f>IF(INT(($A31-1)/Setup!$B$15)+1&lt;=Setup!$B$5,INDEX(Setup!$B$21:$B$28,INT(($A31-1)/Setup!$B$15)+1),"")</f>
        <v>A</v>
      </c>
      <c r="C31">
        <f>IF($B31="","",MOD($A31-1,Setup!$B$15)+1)</f>
        <v>28</v>
      </c>
      <c r="D31">
        <f>IF(OR($B31="",$C31&gt;Setup!$B$15),"",IFERROR(INDEX('Fixture Library'!$D$4:$D$200,MATCH(Setup!$B$6&amp;"-"&amp;$C31,'Fixture Library'!$A$4:$A$200,0)),""))</f>
        <v>7</v>
      </c>
      <c r="E31" t="str">
        <f>IF($R31="","",IFERROR(INDEX(Teams!$D$4:$D$67,MATCH($B31&amp;"-"&amp;$R31,Teams!$E$4:$E$67,0)),""))</f>
        <v>Team A5</v>
      </c>
      <c r="F31" s="88"/>
      <c r="G31" s="88"/>
      <c r="H31" s="88"/>
      <c r="I31" t="str">
        <f>IF($Q31&lt;&gt;"Complete","",IF(AND(ISNUMBER($G31),$G31&gt;=Setup!$B$31),Setup!$B$32,0)+IF(AND($F31&lt;$L31,$L31-$F31&lt;=Setup!$B$33),Setup!$B$34,0))</f>
        <v/>
      </c>
      <c r="J31" t="str">
        <f t="shared" si="0"/>
        <v/>
      </c>
      <c r="K31" t="str">
        <f>IF($S31="","",IFERROR(INDEX(Teams!$D$4:$D$67,MATCH($B31&amp;"-"&amp;$S31,Teams!$E$4:$E$67,0)),""))</f>
        <v>Team A6</v>
      </c>
      <c r="L31" s="88"/>
      <c r="M31" s="88"/>
      <c r="N31" s="88"/>
      <c r="O31" t="str">
        <f>IF($Q31&lt;&gt;"Complete","",IF(AND(ISNUMBER($M31),$M31&gt;=Setup!$B$31),Setup!$B$32,0)+IF(AND($L31&lt;$F31,$F31-$L31&lt;=Setup!$B$33),Setup!$B$34,0))</f>
        <v/>
      </c>
      <c r="P31" t="str">
        <f t="shared" si="1"/>
        <v/>
      </c>
      <c r="Q31" t="str">
        <f t="shared" si="2"/>
        <v>Waiting</v>
      </c>
      <c r="R31">
        <f>IF(OR($B31="",$C31&gt;Setup!$B$15),"",IFERROR(INDEX('Fixture Library'!$E$4:$E$200,MATCH(Setup!$B$6&amp;"-"&amp;$C31,'Fixture Library'!$A$4:$A$200,0)),""))</f>
        <v>5</v>
      </c>
      <c r="S31">
        <f>IF(OR($B31="",$C31&gt;Setup!$B$15),"",IFERROR(INDEX('Fixture Library'!$F$4:$F$200,MATCH(Setup!$B$6&amp;"-"&amp;$C31,'Fixture Library'!$A$4:$A$200,0)),""))</f>
        <v>6</v>
      </c>
      <c r="T31">
        <f t="shared" si="3"/>
        <v>0</v>
      </c>
      <c r="U31">
        <f t="shared" si="4"/>
        <v>0</v>
      </c>
      <c r="V31">
        <f t="shared" si="5"/>
        <v>0</v>
      </c>
    </row>
    <row r="32" spans="1:22">
      <c r="A32">
        <v>29</v>
      </c>
      <c r="B32" t="str">
        <f>IF(INT(($A32-1)/Setup!$B$15)+1&lt;=Setup!$B$5,INDEX(Setup!$B$21:$B$28,INT(($A32-1)/Setup!$B$15)+1),"")</f>
        <v>B</v>
      </c>
      <c r="C32">
        <f>IF($B32="","",MOD($A32-1,Setup!$B$15)+1)</f>
        <v>1</v>
      </c>
      <c r="D32">
        <f>IF(OR($B32="",$C32&gt;Setup!$B$15),"",IFERROR(INDEX('Fixture Library'!$D$4:$D$200,MATCH(Setup!$B$6&amp;"-"&amp;$C32,'Fixture Library'!$A$4:$A$200,0)),""))</f>
        <v>1</v>
      </c>
      <c r="E32" t="str">
        <f>IF($R32="","",IFERROR(INDEX(Teams!$D$4:$D$67,MATCH($B32&amp;"-"&amp;$R32,Teams!$E$4:$E$67,0)),""))</f>
        <v>Team B1</v>
      </c>
      <c r="F32" s="88"/>
      <c r="G32" s="88"/>
      <c r="H32" s="88"/>
      <c r="I32" t="str">
        <f>IF($Q32&lt;&gt;"Complete","",IF(AND(ISNUMBER($G32),$G32&gt;=Setup!$B$31),Setup!$B$32,0)+IF(AND($F32&lt;$L32,$L32-$F32&lt;=Setup!$B$33),Setup!$B$34,0))</f>
        <v/>
      </c>
      <c r="J32" t="str">
        <f t="shared" si="0"/>
        <v/>
      </c>
      <c r="K32" t="str">
        <f>IF($S32="","",IFERROR(INDEX(Teams!$D$4:$D$67,MATCH($B32&amp;"-"&amp;$S32,Teams!$E$4:$E$67,0)),""))</f>
        <v>Team B8</v>
      </c>
      <c r="L32" s="88"/>
      <c r="M32" s="88"/>
      <c r="N32" s="88"/>
      <c r="O32" t="str">
        <f>IF($Q32&lt;&gt;"Complete","",IF(AND(ISNUMBER($M32),$M32&gt;=Setup!$B$31),Setup!$B$32,0)+IF(AND($L32&lt;$F32,$F32-$L32&lt;=Setup!$B$33),Setup!$B$34,0))</f>
        <v/>
      </c>
      <c r="P32" t="str">
        <f t="shared" si="1"/>
        <v/>
      </c>
      <c r="Q32" t="str">
        <f t="shared" si="2"/>
        <v>Waiting</v>
      </c>
      <c r="R32">
        <f>IF(OR($B32="",$C32&gt;Setup!$B$15),"",IFERROR(INDEX('Fixture Library'!$E$4:$E$200,MATCH(Setup!$B$6&amp;"-"&amp;$C32,'Fixture Library'!$A$4:$A$200,0)),""))</f>
        <v>1</v>
      </c>
      <c r="S32">
        <f>IF(OR($B32="",$C32&gt;Setup!$B$15),"",IFERROR(INDEX('Fixture Library'!$F$4:$F$200,MATCH(Setup!$B$6&amp;"-"&amp;$C32,'Fixture Library'!$A$4:$A$200,0)),""))</f>
        <v>8</v>
      </c>
      <c r="T32">
        <f t="shared" si="3"/>
        <v>0</v>
      </c>
      <c r="U32">
        <f t="shared" si="4"/>
        <v>0</v>
      </c>
      <c r="V32">
        <f t="shared" si="5"/>
        <v>0</v>
      </c>
    </row>
    <row r="33" spans="1:22">
      <c r="A33">
        <v>30</v>
      </c>
      <c r="B33" t="str">
        <f>IF(INT(($A33-1)/Setup!$B$15)+1&lt;=Setup!$B$5,INDEX(Setup!$B$21:$B$28,INT(($A33-1)/Setup!$B$15)+1),"")</f>
        <v>B</v>
      </c>
      <c r="C33">
        <f>IF($B33="","",MOD($A33-1,Setup!$B$15)+1)</f>
        <v>2</v>
      </c>
      <c r="D33">
        <f>IF(OR($B33="",$C33&gt;Setup!$B$15),"",IFERROR(INDEX('Fixture Library'!$D$4:$D$200,MATCH(Setup!$B$6&amp;"-"&amp;$C33,'Fixture Library'!$A$4:$A$200,0)),""))</f>
        <v>1</v>
      </c>
      <c r="E33" t="str">
        <f>IF($R33="","",IFERROR(INDEX(Teams!$D$4:$D$67,MATCH($B33&amp;"-"&amp;$R33,Teams!$E$4:$E$67,0)),""))</f>
        <v>Team B2</v>
      </c>
      <c r="F33" s="88"/>
      <c r="G33" s="88"/>
      <c r="H33" s="88"/>
      <c r="I33" t="str">
        <f>IF($Q33&lt;&gt;"Complete","",IF(AND(ISNUMBER($G33),$G33&gt;=Setup!$B$31),Setup!$B$32,0)+IF(AND($F33&lt;$L33,$L33-$F33&lt;=Setup!$B$33),Setup!$B$34,0))</f>
        <v/>
      </c>
      <c r="J33" t="str">
        <f t="shared" si="0"/>
        <v/>
      </c>
      <c r="K33" t="str">
        <f>IF($S33="","",IFERROR(INDEX(Teams!$D$4:$D$67,MATCH($B33&amp;"-"&amp;$S33,Teams!$E$4:$E$67,0)),""))</f>
        <v>Team B7</v>
      </c>
      <c r="L33" s="88"/>
      <c r="M33" s="88"/>
      <c r="N33" s="88"/>
      <c r="O33" t="str">
        <f>IF($Q33&lt;&gt;"Complete","",IF(AND(ISNUMBER($M33),$M33&gt;=Setup!$B$31),Setup!$B$32,0)+IF(AND($L33&lt;$F33,$F33-$L33&lt;=Setup!$B$33),Setup!$B$34,0))</f>
        <v/>
      </c>
      <c r="P33" t="str">
        <f t="shared" si="1"/>
        <v/>
      </c>
      <c r="Q33" t="str">
        <f t="shared" si="2"/>
        <v>Waiting</v>
      </c>
      <c r="R33">
        <f>IF(OR($B33="",$C33&gt;Setup!$B$15),"",IFERROR(INDEX('Fixture Library'!$E$4:$E$200,MATCH(Setup!$B$6&amp;"-"&amp;$C33,'Fixture Library'!$A$4:$A$200,0)),""))</f>
        <v>2</v>
      </c>
      <c r="S33">
        <f>IF(OR($B33="",$C33&gt;Setup!$B$15),"",IFERROR(INDEX('Fixture Library'!$F$4:$F$200,MATCH(Setup!$B$6&amp;"-"&amp;$C33,'Fixture Library'!$A$4:$A$200,0)),""))</f>
        <v>7</v>
      </c>
      <c r="T33">
        <f t="shared" si="3"/>
        <v>0</v>
      </c>
      <c r="U33">
        <f t="shared" si="4"/>
        <v>0</v>
      </c>
      <c r="V33">
        <f t="shared" si="5"/>
        <v>0</v>
      </c>
    </row>
    <row r="34" spans="1:22">
      <c r="A34">
        <v>31</v>
      </c>
      <c r="B34" t="str">
        <f>IF(INT(($A34-1)/Setup!$B$15)+1&lt;=Setup!$B$5,INDEX(Setup!$B$21:$B$28,INT(($A34-1)/Setup!$B$15)+1),"")</f>
        <v>B</v>
      </c>
      <c r="C34">
        <f>IF($B34="","",MOD($A34-1,Setup!$B$15)+1)</f>
        <v>3</v>
      </c>
      <c r="D34">
        <f>IF(OR($B34="",$C34&gt;Setup!$B$15),"",IFERROR(INDEX('Fixture Library'!$D$4:$D$200,MATCH(Setup!$B$6&amp;"-"&amp;$C34,'Fixture Library'!$A$4:$A$200,0)),""))</f>
        <v>1</v>
      </c>
      <c r="E34" t="str">
        <f>IF($R34="","",IFERROR(INDEX(Teams!$D$4:$D$67,MATCH($B34&amp;"-"&amp;$R34,Teams!$E$4:$E$67,0)),""))</f>
        <v>Team B3</v>
      </c>
      <c r="F34" s="88"/>
      <c r="G34" s="88"/>
      <c r="H34" s="88"/>
      <c r="I34" t="str">
        <f>IF($Q34&lt;&gt;"Complete","",IF(AND(ISNUMBER($G34),$G34&gt;=Setup!$B$31),Setup!$B$32,0)+IF(AND($F34&lt;$L34,$L34-$F34&lt;=Setup!$B$33),Setup!$B$34,0))</f>
        <v/>
      </c>
      <c r="J34" t="str">
        <f t="shared" si="0"/>
        <v/>
      </c>
      <c r="K34" t="str">
        <f>IF($S34="","",IFERROR(INDEX(Teams!$D$4:$D$67,MATCH($B34&amp;"-"&amp;$S34,Teams!$E$4:$E$67,0)),""))</f>
        <v>Team B6</v>
      </c>
      <c r="L34" s="88"/>
      <c r="M34" s="88"/>
      <c r="N34" s="88"/>
      <c r="O34" t="str">
        <f>IF($Q34&lt;&gt;"Complete","",IF(AND(ISNUMBER($M34),$M34&gt;=Setup!$B$31),Setup!$B$32,0)+IF(AND($L34&lt;$F34,$F34-$L34&lt;=Setup!$B$33),Setup!$B$34,0))</f>
        <v/>
      </c>
      <c r="P34" t="str">
        <f t="shared" si="1"/>
        <v/>
      </c>
      <c r="Q34" t="str">
        <f t="shared" si="2"/>
        <v>Waiting</v>
      </c>
      <c r="R34">
        <f>IF(OR($B34="",$C34&gt;Setup!$B$15),"",IFERROR(INDEX('Fixture Library'!$E$4:$E$200,MATCH(Setup!$B$6&amp;"-"&amp;$C34,'Fixture Library'!$A$4:$A$200,0)),""))</f>
        <v>3</v>
      </c>
      <c r="S34">
        <f>IF(OR($B34="",$C34&gt;Setup!$B$15),"",IFERROR(INDEX('Fixture Library'!$F$4:$F$200,MATCH(Setup!$B$6&amp;"-"&amp;$C34,'Fixture Library'!$A$4:$A$200,0)),""))</f>
        <v>6</v>
      </c>
      <c r="T34">
        <f t="shared" si="3"/>
        <v>0</v>
      </c>
      <c r="U34">
        <f t="shared" si="4"/>
        <v>0</v>
      </c>
      <c r="V34">
        <f t="shared" si="5"/>
        <v>0</v>
      </c>
    </row>
    <row r="35" spans="1:22">
      <c r="A35">
        <v>32</v>
      </c>
      <c r="B35" t="str">
        <f>IF(INT(($A35-1)/Setup!$B$15)+1&lt;=Setup!$B$5,INDEX(Setup!$B$21:$B$28,INT(($A35-1)/Setup!$B$15)+1),"")</f>
        <v>B</v>
      </c>
      <c r="C35">
        <f>IF($B35="","",MOD($A35-1,Setup!$B$15)+1)</f>
        <v>4</v>
      </c>
      <c r="D35">
        <f>IF(OR($B35="",$C35&gt;Setup!$B$15),"",IFERROR(INDEX('Fixture Library'!$D$4:$D$200,MATCH(Setup!$B$6&amp;"-"&amp;$C35,'Fixture Library'!$A$4:$A$200,0)),""))</f>
        <v>1</v>
      </c>
      <c r="E35" t="str">
        <f>IF($R35="","",IFERROR(INDEX(Teams!$D$4:$D$67,MATCH($B35&amp;"-"&amp;$R35,Teams!$E$4:$E$67,0)),""))</f>
        <v>Team B4</v>
      </c>
      <c r="F35" s="88"/>
      <c r="G35" s="88"/>
      <c r="H35" s="88"/>
      <c r="I35" t="str">
        <f>IF($Q35&lt;&gt;"Complete","",IF(AND(ISNUMBER($G35),$G35&gt;=Setup!$B$31),Setup!$B$32,0)+IF(AND($F35&lt;$L35,$L35-$F35&lt;=Setup!$B$33),Setup!$B$34,0))</f>
        <v/>
      </c>
      <c r="J35" t="str">
        <f t="shared" si="0"/>
        <v/>
      </c>
      <c r="K35" t="str">
        <f>IF($S35="","",IFERROR(INDEX(Teams!$D$4:$D$67,MATCH($B35&amp;"-"&amp;$S35,Teams!$E$4:$E$67,0)),""))</f>
        <v>Team B5</v>
      </c>
      <c r="L35" s="88"/>
      <c r="M35" s="88"/>
      <c r="N35" s="88"/>
      <c r="O35" t="str">
        <f>IF($Q35&lt;&gt;"Complete","",IF(AND(ISNUMBER($M35),$M35&gt;=Setup!$B$31),Setup!$B$32,0)+IF(AND($L35&lt;$F35,$F35-$L35&lt;=Setup!$B$33),Setup!$B$34,0))</f>
        <v/>
      </c>
      <c r="P35" t="str">
        <f t="shared" si="1"/>
        <v/>
      </c>
      <c r="Q35" t="str">
        <f t="shared" si="2"/>
        <v>Waiting</v>
      </c>
      <c r="R35">
        <f>IF(OR($B35="",$C35&gt;Setup!$B$15),"",IFERROR(INDEX('Fixture Library'!$E$4:$E$200,MATCH(Setup!$B$6&amp;"-"&amp;$C35,'Fixture Library'!$A$4:$A$200,0)),""))</f>
        <v>4</v>
      </c>
      <c r="S35">
        <f>IF(OR($B35="",$C35&gt;Setup!$B$15),"",IFERROR(INDEX('Fixture Library'!$F$4:$F$200,MATCH(Setup!$B$6&amp;"-"&amp;$C35,'Fixture Library'!$A$4:$A$200,0)),""))</f>
        <v>5</v>
      </c>
      <c r="T35">
        <f t="shared" si="3"/>
        <v>0</v>
      </c>
      <c r="U35">
        <f t="shared" si="4"/>
        <v>0</v>
      </c>
      <c r="V35">
        <f t="shared" si="5"/>
        <v>0</v>
      </c>
    </row>
    <row r="36" spans="1:22">
      <c r="A36">
        <v>33</v>
      </c>
      <c r="B36" t="str">
        <f>IF(INT(($A36-1)/Setup!$B$15)+1&lt;=Setup!$B$5,INDEX(Setup!$B$21:$B$28,INT(($A36-1)/Setup!$B$15)+1),"")</f>
        <v>B</v>
      </c>
      <c r="C36">
        <f>IF($B36="","",MOD($A36-1,Setup!$B$15)+1)</f>
        <v>5</v>
      </c>
      <c r="D36">
        <f>IF(OR($B36="",$C36&gt;Setup!$B$15),"",IFERROR(INDEX('Fixture Library'!$D$4:$D$200,MATCH(Setup!$B$6&amp;"-"&amp;$C36,'Fixture Library'!$A$4:$A$200,0)),""))</f>
        <v>2</v>
      </c>
      <c r="E36" t="str">
        <f>IF($R36="","",IFERROR(INDEX(Teams!$D$4:$D$67,MATCH($B36&amp;"-"&amp;$R36,Teams!$E$4:$E$67,0)),""))</f>
        <v>Team B7</v>
      </c>
      <c r="F36" s="88"/>
      <c r="G36" s="88"/>
      <c r="H36" s="88"/>
      <c r="I36" t="str">
        <f>IF($Q36&lt;&gt;"Complete","",IF(AND(ISNUMBER($G36),$G36&gt;=Setup!$B$31),Setup!$B$32,0)+IF(AND($F36&lt;$L36,$L36-$F36&lt;=Setup!$B$33),Setup!$B$34,0))</f>
        <v/>
      </c>
      <c r="J36" t="str">
        <f t="shared" si="0"/>
        <v/>
      </c>
      <c r="K36" t="str">
        <f>IF($S36="","",IFERROR(INDEX(Teams!$D$4:$D$67,MATCH($B36&amp;"-"&amp;$S36,Teams!$E$4:$E$67,0)),""))</f>
        <v>Team B1</v>
      </c>
      <c r="L36" s="88"/>
      <c r="M36" s="88"/>
      <c r="N36" s="88"/>
      <c r="O36" t="str">
        <f>IF($Q36&lt;&gt;"Complete","",IF(AND(ISNUMBER($M36),$M36&gt;=Setup!$B$31),Setup!$B$32,0)+IF(AND($L36&lt;$F36,$F36-$L36&lt;=Setup!$B$33),Setup!$B$34,0))</f>
        <v/>
      </c>
      <c r="P36" t="str">
        <f t="shared" si="1"/>
        <v/>
      </c>
      <c r="Q36" t="str">
        <f t="shared" si="2"/>
        <v>Waiting</v>
      </c>
      <c r="R36">
        <f>IF(OR($B36="",$C36&gt;Setup!$B$15),"",IFERROR(INDEX('Fixture Library'!$E$4:$E$200,MATCH(Setup!$B$6&amp;"-"&amp;$C36,'Fixture Library'!$A$4:$A$200,0)),""))</f>
        <v>7</v>
      </c>
      <c r="S36">
        <f>IF(OR($B36="",$C36&gt;Setup!$B$15),"",IFERROR(INDEX('Fixture Library'!$F$4:$F$200,MATCH(Setup!$B$6&amp;"-"&amp;$C36,'Fixture Library'!$A$4:$A$200,0)),""))</f>
        <v>1</v>
      </c>
      <c r="T36">
        <f t="shared" si="3"/>
        <v>0</v>
      </c>
      <c r="U36">
        <f t="shared" si="4"/>
        <v>0</v>
      </c>
      <c r="V36">
        <f t="shared" si="5"/>
        <v>0</v>
      </c>
    </row>
    <row r="37" spans="1:22">
      <c r="A37">
        <v>34</v>
      </c>
      <c r="B37" t="str">
        <f>IF(INT(($A37-1)/Setup!$B$15)+1&lt;=Setup!$B$5,INDEX(Setup!$B$21:$B$28,INT(($A37-1)/Setup!$B$15)+1),"")</f>
        <v>B</v>
      </c>
      <c r="C37">
        <f>IF($B37="","",MOD($A37-1,Setup!$B$15)+1)</f>
        <v>6</v>
      </c>
      <c r="D37">
        <f>IF(OR($B37="",$C37&gt;Setup!$B$15),"",IFERROR(INDEX('Fixture Library'!$D$4:$D$200,MATCH(Setup!$B$6&amp;"-"&amp;$C37,'Fixture Library'!$A$4:$A$200,0)),""))</f>
        <v>2</v>
      </c>
      <c r="E37" t="str">
        <f>IF($R37="","",IFERROR(INDEX(Teams!$D$4:$D$67,MATCH($B37&amp;"-"&amp;$R37,Teams!$E$4:$E$67,0)),""))</f>
        <v>Team B6</v>
      </c>
      <c r="F37" s="88"/>
      <c r="G37" s="88"/>
      <c r="H37" s="88"/>
      <c r="I37" t="str">
        <f>IF($Q37&lt;&gt;"Complete","",IF(AND(ISNUMBER($G37),$G37&gt;=Setup!$B$31),Setup!$B$32,0)+IF(AND($F37&lt;$L37,$L37-$F37&lt;=Setup!$B$33),Setup!$B$34,0))</f>
        <v/>
      </c>
      <c r="J37" t="str">
        <f t="shared" si="0"/>
        <v/>
      </c>
      <c r="K37" t="str">
        <f>IF($S37="","",IFERROR(INDEX(Teams!$D$4:$D$67,MATCH($B37&amp;"-"&amp;$S37,Teams!$E$4:$E$67,0)),""))</f>
        <v>Team B8</v>
      </c>
      <c r="L37" s="88"/>
      <c r="M37" s="88"/>
      <c r="N37" s="88"/>
      <c r="O37" t="str">
        <f>IF($Q37&lt;&gt;"Complete","",IF(AND(ISNUMBER($M37),$M37&gt;=Setup!$B$31),Setup!$B$32,0)+IF(AND($L37&lt;$F37,$F37-$L37&lt;=Setup!$B$33),Setup!$B$34,0))</f>
        <v/>
      </c>
      <c r="P37" t="str">
        <f t="shared" si="1"/>
        <v/>
      </c>
      <c r="Q37" t="str">
        <f t="shared" si="2"/>
        <v>Waiting</v>
      </c>
      <c r="R37">
        <f>IF(OR($B37="",$C37&gt;Setup!$B$15),"",IFERROR(INDEX('Fixture Library'!$E$4:$E$200,MATCH(Setup!$B$6&amp;"-"&amp;$C37,'Fixture Library'!$A$4:$A$200,0)),""))</f>
        <v>6</v>
      </c>
      <c r="S37">
        <f>IF(OR($B37="",$C37&gt;Setup!$B$15),"",IFERROR(INDEX('Fixture Library'!$F$4:$F$200,MATCH(Setup!$B$6&amp;"-"&amp;$C37,'Fixture Library'!$A$4:$A$200,0)),""))</f>
        <v>8</v>
      </c>
      <c r="T37">
        <f t="shared" si="3"/>
        <v>0</v>
      </c>
      <c r="U37">
        <f t="shared" si="4"/>
        <v>0</v>
      </c>
      <c r="V37">
        <f t="shared" si="5"/>
        <v>0</v>
      </c>
    </row>
    <row r="38" spans="1:22">
      <c r="A38">
        <v>35</v>
      </c>
      <c r="B38" t="str">
        <f>IF(INT(($A38-1)/Setup!$B$15)+1&lt;=Setup!$B$5,INDEX(Setup!$B$21:$B$28,INT(($A38-1)/Setup!$B$15)+1),"")</f>
        <v>B</v>
      </c>
      <c r="C38">
        <f>IF($B38="","",MOD($A38-1,Setup!$B$15)+1)</f>
        <v>7</v>
      </c>
      <c r="D38">
        <f>IF(OR($B38="",$C38&gt;Setup!$B$15),"",IFERROR(INDEX('Fixture Library'!$D$4:$D$200,MATCH(Setup!$B$6&amp;"-"&amp;$C38,'Fixture Library'!$A$4:$A$200,0)),""))</f>
        <v>2</v>
      </c>
      <c r="E38" t="str">
        <f>IF($R38="","",IFERROR(INDEX(Teams!$D$4:$D$67,MATCH($B38&amp;"-"&amp;$R38,Teams!$E$4:$E$67,0)),""))</f>
        <v>Team B5</v>
      </c>
      <c r="F38" s="88"/>
      <c r="G38" s="88"/>
      <c r="H38" s="88"/>
      <c r="I38" t="str">
        <f>IF($Q38&lt;&gt;"Complete","",IF(AND(ISNUMBER($G38),$G38&gt;=Setup!$B$31),Setup!$B$32,0)+IF(AND($F38&lt;$L38,$L38-$F38&lt;=Setup!$B$33),Setup!$B$34,0))</f>
        <v/>
      </c>
      <c r="J38" t="str">
        <f t="shared" si="0"/>
        <v/>
      </c>
      <c r="K38" t="str">
        <f>IF($S38="","",IFERROR(INDEX(Teams!$D$4:$D$67,MATCH($B38&amp;"-"&amp;$S38,Teams!$E$4:$E$67,0)),""))</f>
        <v>Team B2</v>
      </c>
      <c r="L38" s="88"/>
      <c r="M38" s="88"/>
      <c r="N38" s="88"/>
      <c r="O38" t="str">
        <f>IF($Q38&lt;&gt;"Complete","",IF(AND(ISNUMBER($M38),$M38&gt;=Setup!$B$31),Setup!$B$32,0)+IF(AND($L38&lt;$F38,$F38-$L38&lt;=Setup!$B$33),Setup!$B$34,0))</f>
        <v/>
      </c>
      <c r="P38" t="str">
        <f t="shared" si="1"/>
        <v/>
      </c>
      <c r="Q38" t="str">
        <f t="shared" si="2"/>
        <v>Waiting</v>
      </c>
      <c r="R38">
        <f>IF(OR($B38="",$C38&gt;Setup!$B$15),"",IFERROR(INDEX('Fixture Library'!$E$4:$E$200,MATCH(Setup!$B$6&amp;"-"&amp;$C38,'Fixture Library'!$A$4:$A$200,0)),""))</f>
        <v>5</v>
      </c>
      <c r="S38">
        <f>IF(OR($B38="",$C38&gt;Setup!$B$15),"",IFERROR(INDEX('Fixture Library'!$F$4:$F$200,MATCH(Setup!$B$6&amp;"-"&amp;$C38,'Fixture Library'!$A$4:$A$200,0)),""))</f>
        <v>2</v>
      </c>
      <c r="T38">
        <f t="shared" si="3"/>
        <v>0</v>
      </c>
      <c r="U38">
        <f t="shared" si="4"/>
        <v>0</v>
      </c>
      <c r="V38">
        <f t="shared" si="5"/>
        <v>0</v>
      </c>
    </row>
    <row r="39" spans="1:22">
      <c r="A39">
        <v>36</v>
      </c>
      <c r="B39" t="str">
        <f>IF(INT(($A39-1)/Setup!$B$15)+1&lt;=Setup!$B$5,INDEX(Setup!$B$21:$B$28,INT(($A39-1)/Setup!$B$15)+1),"")</f>
        <v>B</v>
      </c>
      <c r="C39">
        <f>IF($B39="","",MOD($A39-1,Setup!$B$15)+1)</f>
        <v>8</v>
      </c>
      <c r="D39">
        <f>IF(OR($B39="",$C39&gt;Setup!$B$15),"",IFERROR(INDEX('Fixture Library'!$D$4:$D$200,MATCH(Setup!$B$6&amp;"-"&amp;$C39,'Fixture Library'!$A$4:$A$200,0)),""))</f>
        <v>2</v>
      </c>
      <c r="E39" t="str">
        <f>IF($R39="","",IFERROR(INDEX(Teams!$D$4:$D$67,MATCH($B39&amp;"-"&amp;$R39,Teams!$E$4:$E$67,0)),""))</f>
        <v>Team B4</v>
      </c>
      <c r="F39" s="88"/>
      <c r="G39" s="88"/>
      <c r="H39" s="88"/>
      <c r="I39" t="str">
        <f>IF($Q39&lt;&gt;"Complete","",IF(AND(ISNUMBER($G39),$G39&gt;=Setup!$B$31),Setup!$B$32,0)+IF(AND($F39&lt;$L39,$L39-$F39&lt;=Setup!$B$33),Setup!$B$34,0))</f>
        <v/>
      </c>
      <c r="J39" t="str">
        <f t="shared" si="0"/>
        <v/>
      </c>
      <c r="K39" t="str">
        <f>IF($S39="","",IFERROR(INDEX(Teams!$D$4:$D$67,MATCH($B39&amp;"-"&amp;$S39,Teams!$E$4:$E$67,0)),""))</f>
        <v>Team B3</v>
      </c>
      <c r="L39" s="88"/>
      <c r="M39" s="88"/>
      <c r="N39" s="88"/>
      <c r="O39" t="str">
        <f>IF($Q39&lt;&gt;"Complete","",IF(AND(ISNUMBER($M39),$M39&gt;=Setup!$B$31),Setup!$B$32,0)+IF(AND($L39&lt;$F39,$F39-$L39&lt;=Setup!$B$33),Setup!$B$34,0))</f>
        <v/>
      </c>
      <c r="P39" t="str">
        <f t="shared" si="1"/>
        <v/>
      </c>
      <c r="Q39" t="str">
        <f t="shared" si="2"/>
        <v>Waiting</v>
      </c>
      <c r="R39">
        <f>IF(OR($B39="",$C39&gt;Setup!$B$15),"",IFERROR(INDEX('Fixture Library'!$E$4:$E$200,MATCH(Setup!$B$6&amp;"-"&amp;$C39,'Fixture Library'!$A$4:$A$200,0)),""))</f>
        <v>4</v>
      </c>
      <c r="S39">
        <f>IF(OR($B39="",$C39&gt;Setup!$B$15),"",IFERROR(INDEX('Fixture Library'!$F$4:$F$200,MATCH(Setup!$B$6&amp;"-"&amp;$C39,'Fixture Library'!$A$4:$A$200,0)),""))</f>
        <v>3</v>
      </c>
      <c r="T39">
        <f t="shared" si="3"/>
        <v>0</v>
      </c>
      <c r="U39">
        <f t="shared" si="4"/>
        <v>0</v>
      </c>
      <c r="V39">
        <f t="shared" si="5"/>
        <v>0</v>
      </c>
    </row>
    <row r="40" spans="1:22">
      <c r="A40">
        <v>37</v>
      </c>
      <c r="B40" t="str">
        <f>IF(INT(($A40-1)/Setup!$B$15)+1&lt;=Setup!$B$5,INDEX(Setup!$B$21:$B$28,INT(($A40-1)/Setup!$B$15)+1),"")</f>
        <v>B</v>
      </c>
      <c r="C40">
        <f>IF($B40="","",MOD($A40-1,Setup!$B$15)+1)</f>
        <v>9</v>
      </c>
      <c r="D40">
        <f>IF(OR($B40="",$C40&gt;Setup!$B$15),"",IFERROR(INDEX('Fixture Library'!$D$4:$D$200,MATCH(Setup!$B$6&amp;"-"&amp;$C40,'Fixture Library'!$A$4:$A$200,0)),""))</f>
        <v>3</v>
      </c>
      <c r="E40" t="str">
        <f>IF($R40="","",IFERROR(INDEX(Teams!$D$4:$D$67,MATCH($B40&amp;"-"&amp;$R40,Teams!$E$4:$E$67,0)),""))</f>
        <v>Team B1</v>
      </c>
      <c r="F40" s="88"/>
      <c r="G40" s="88"/>
      <c r="H40" s="88"/>
      <c r="I40" t="str">
        <f>IF($Q40&lt;&gt;"Complete","",IF(AND(ISNUMBER($G40),$G40&gt;=Setup!$B$31),Setup!$B$32,0)+IF(AND($F40&lt;$L40,$L40-$F40&lt;=Setup!$B$33),Setup!$B$34,0))</f>
        <v/>
      </c>
      <c r="J40" t="str">
        <f t="shared" si="0"/>
        <v/>
      </c>
      <c r="K40" t="str">
        <f>IF($S40="","",IFERROR(INDEX(Teams!$D$4:$D$67,MATCH($B40&amp;"-"&amp;$S40,Teams!$E$4:$E$67,0)),""))</f>
        <v>Team B6</v>
      </c>
      <c r="L40" s="88"/>
      <c r="M40" s="88"/>
      <c r="N40" s="88"/>
      <c r="O40" t="str">
        <f>IF($Q40&lt;&gt;"Complete","",IF(AND(ISNUMBER($M40),$M40&gt;=Setup!$B$31),Setup!$B$32,0)+IF(AND($L40&lt;$F40,$F40-$L40&lt;=Setup!$B$33),Setup!$B$34,0))</f>
        <v/>
      </c>
      <c r="P40" t="str">
        <f t="shared" si="1"/>
        <v/>
      </c>
      <c r="Q40" t="str">
        <f t="shared" si="2"/>
        <v>Waiting</v>
      </c>
      <c r="R40">
        <f>IF(OR($B40="",$C40&gt;Setup!$B$15),"",IFERROR(INDEX('Fixture Library'!$E$4:$E$200,MATCH(Setup!$B$6&amp;"-"&amp;$C40,'Fixture Library'!$A$4:$A$200,0)),""))</f>
        <v>1</v>
      </c>
      <c r="S40">
        <f>IF(OR($B40="",$C40&gt;Setup!$B$15),"",IFERROR(INDEX('Fixture Library'!$F$4:$F$200,MATCH(Setup!$B$6&amp;"-"&amp;$C40,'Fixture Library'!$A$4:$A$200,0)),""))</f>
        <v>6</v>
      </c>
      <c r="T40">
        <f t="shared" si="3"/>
        <v>0</v>
      </c>
      <c r="U40">
        <f t="shared" si="4"/>
        <v>0</v>
      </c>
      <c r="V40">
        <f t="shared" si="5"/>
        <v>0</v>
      </c>
    </row>
    <row r="41" spans="1:22">
      <c r="A41">
        <v>38</v>
      </c>
      <c r="B41" t="str">
        <f>IF(INT(($A41-1)/Setup!$B$15)+1&lt;=Setup!$B$5,INDEX(Setup!$B$21:$B$28,INT(($A41-1)/Setup!$B$15)+1),"")</f>
        <v>B</v>
      </c>
      <c r="C41">
        <f>IF($B41="","",MOD($A41-1,Setup!$B$15)+1)</f>
        <v>10</v>
      </c>
      <c r="D41">
        <f>IF(OR($B41="",$C41&gt;Setup!$B$15),"",IFERROR(INDEX('Fixture Library'!$D$4:$D$200,MATCH(Setup!$B$6&amp;"-"&amp;$C41,'Fixture Library'!$A$4:$A$200,0)),""))</f>
        <v>3</v>
      </c>
      <c r="E41" t="str">
        <f>IF($R41="","",IFERROR(INDEX(Teams!$D$4:$D$67,MATCH($B41&amp;"-"&amp;$R41,Teams!$E$4:$E$67,0)),""))</f>
        <v>Team B7</v>
      </c>
      <c r="F41" s="88"/>
      <c r="G41" s="88"/>
      <c r="H41" s="88"/>
      <c r="I41" t="str">
        <f>IF($Q41&lt;&gt;"Complete","",IF(AND(ISNUMBER($G41),$G41&gt;=Setup!$B$31),Setup!$B$32,0)+IF(AND($F41&lt;$L41,$L41-$F41&lt;=Setup!$B$33),Setup!$B$34,0))</f>
        <v/>
      </c>
      <c r="J41" t="str">
        <f t="shared" si="0"/>
        <v/>
      </c>
      <c r="K41" t="str">
        <f>IF($S41="","",IFERROR(INDEX(Teams!$D$4:$D$67,MATCH($B41&amp;"-"&amp;$S41,Teams!$E$4:$E$67,0)),""))</f>
        <v>Team B5</v>
      </c>
      <c r="L41" s="88"/>
      <c r="M41" s="88"/>
      <c r="N41" s="88"/>
      <c r="O41" t="str">
        <f>IF($Q41&lt;&gt;"Complete","",IF(AND(ISNUMBER($M41),$M41&gt;=Setup!$B$31),Setup!$B$32,0)+IF(AND($L41&lt;$F41,$F41-$L41&lt;=Setup!$B$33),Setup!$B$34,0))</f>
        <v/>
      </c>
      <c r="P41" t="str">
        <f t="shared" si="1"/>
        <v/>
      </c>
      <c r="Q41" t="str">
        <f t="shared" si="2"/>
        <v>Waiting</v>
      </c>
      <c r="R41">
        <f>IF(OR($B41="",$C41&gt;Setup!$B$15),"",IFERROR(INDEX('Fixture Library'!$E$4:$E$200,MATCH(Setup!$B$6&amp;"-"&amp;$C41,'Fixture Library'!$A$4:$A$200,0)),""))</f>
        <v>7</v>
      </c>
      <c r="S41">
        <f>IF(OR($B41="",$C41&gt;Setup!$B$15),"",IFERROR(INDEX('Fixture Library'!$F$4:$F$200,MATCH(Setup!$B$6&amp;"-"&amp;$C41,'Fixture Library'!$A$4:$A$200,0)),""))</f>
        <v>5</v>
      </c>
      <c r="T41">
        <f t="shared" si="3"/>
        <v>0</v>
      </c>
      <c r="U41">
        <f t="shared" si="4"/>
        <v>0</v>
      </c>
      <c r="V41">
        <f t="shared" si="5"/>
        <v>0</v>
      </c>
    </row>
    <row r="42" spans="1:22">
      <c r="A42">
        <v>39</v>
      </c>
      <c r="B42" t="str">
        <f>IF(INT(($A42-1)/Setup!$B$15)+1&lt;=Setup!$B$5,INDEX(Setup!$B$21:$B$28,INT(($A42-1)/Setup!$B$15)+1),"")</f>
        <v>B</v>
      </c>
      <c r="C42">
        <f>IF($B42="","",MOD($A42-1,Setup!$B$15)+1)</f>
        <v>11</v>
      </c>
      <c r="D42">
        <f>IF(OR($B42="",$C42&gt;Setup!$B$15),"",IFERROR(INDEX('Fixture Library'!$D$4:$D$200,MATCH(Setup!$B$6&amp;"-"&amp;$C42,'Fixture Library'!$A$4:$A$200,0)),""))</f>
        <v>3</v>
      </c>
      <c r="E42" t="str">
        <f>IF($R42="","",IFERROR(INDEX(Teams!$D$4:$D$67,MATCH($B42&amp;"-"&amp;$R42,Teams!$E$4:$E$67,0)),""))</f>
        <v>Team B8</v>
      </c>
      <c r="F42" s="88"/>
      <c r="G42" s="88"/>
      <c r="H42" s="88"/>
      <c r="I42" t="str">
        <f>IF($Q42&lt;&gt;"Complete","",IF(AND(ISNUMBER($G42),$G42&gt;=Setup!$B$31),Setup!$B$32,0)+IF(AND($F42&lt;$L42,$L42-$F42&lt;=Setup!$B$33),Setup!$B$34,0))</f>
        <v/>
      </c>
      <c r="J42" t="str">
        <f t="shared" si="0"/>
        <v/>
      </c>
      <c r="K42" t="str">
        <f>IF($S42="","",IFERROR(INDEX(Teams!$D$4:$D$67,MATCH($B42&amp;"-"&amp;$S42,Teams!$E$4:$E$67,0)),""))</f>
        <v>Team B4</v>
      </c>
      <c r="L42" s="88"/>
      <c r="M42" s="88"/>
      <c r="N42" s="88"/>
      <c r="O42" t="str">
        <f>IF($Q42&lt;&gt;"Complete","",IF(AND(ISNUMBER($M42),$M42&gt;=Setup!$B$31),Setup!$B$32,0)+IF(AND($L42&lt;$F42,$F42-$L42&lt;=Setup!$B$33),Setup!$B$34,0))</f>
        <v/>
      </c>
      <c r="P42" t="str">
        <f t="shared" si="1"/>
        <v/>
      </c>
      <c r="Q42" t="str">
        <f t="shared" si="2"/>
        <v>Waiting</v>
      </c>
      <c r="R42">
        <f>IF(OR($B42="",$C42&gt;Setup!$B$15),"",IFERROR(INDEX('Fixture Library'!$E$4:$E$200,MATCH(Setup!$B$6&amp;"-"&amp;$C42,'Fixture Library'!$A$4:$A$200,0)),""))</f>
        <v>8</v>
      </c>
      <c r="S42">
        <f>IF(OR($B42="",$C42&gt;Setup!$B$15),"",IFERROR(INDEX('Fixture Library'!$F$4:$F$200,MATCH(Setup!$B$6&amp;"-"&amp;$C42,'Fixture Library'!$A$4:$A$200,0)),""))</f>
        <v>4</v>
      </c>
      <c r="T42">
        <f t="shared" si="3"/>
        <v>0</v>
      </c>
      <c r="U42">
        <f t="shared" si="4"/>
        <v>0</v>
      </c>
      <c r="V42">
        <f t="shared" si="5"/>
        <v>0</v>
      </c>
    </row>
    <row r="43" spans="1:22">
      <c r="A43">
        <v>40</v>
      </c>
      <c r="B43" t="str">
        <f>IF(INT(($A43-1)/Setup!$B$15)+1&lt;=Setup!$B$5,INDEX(Setup!$B$21:$B$28,INT(($A43-1)/Setup!$B$15)+1),"")</f>
        <v>B</v>
      </c>
      <c r="C43">
        <f>IF($B43="","",MOD($A43-1,Setup!$B$15)+1)</f>
        <v>12</v>
      </c>
      <c r="D43">
        <f>IF(OR($B43="",$C43&gt;Setup!$B$15),"",IFERROR(INDEX('Fixture Library'!$D$4:$D$200,MATCH(Setup!$B$6&amp;"-"&amp;$C43,'Fixture Library'!$A$4:$A$200,0)),""))</f>
        <v>3</v>
      </c>
      <c r="E43" t="str">
        <f>IF($R43="","",IFERROR(INDEX(Teams!$D$4:$D$67,MATCH($B43&amp;"-"&amp;$R43,Teams!$E$4:$E$67,0)),""))</f>
        <v>Team B2</v>
      </c>
      <c r="F43" s="88"/>
      <c r="G43" s="88"/>
      <c r="H43" s="88"/>
      <c r="I43" t="str">
        <f>IF($Q43&lt;&gt;"Complete","",IF(AND(ISNUMBER($G43),$G43&gt;=Setup!$B$31),Setup!$B$32,0)+IF(AND($F43&lt;$L43,$L43-$F43&lt;=Setup!$B$33),Setup!$B$34,0))</f>
        <v/>
      </c>
      <c r="J43" t="str">
        <f t="shared" si="0"/>
        <v/>
      </c>
      <c r="K43" t="str">
        <f>IF($S43="","",IFERROR(INDEX(Teams!$D$4:$D$67,MATCH($B43&amp;"-"&amp;$S43,Teams!$E$4:$E$67,0)),""))</f>
        <v>Team B3</v>
      </c>
      <c r="L43" s="88"/>
      <c r="M43" s="88"/>
      <c r="N43" s="88"/>
      <c r="O43" t="str">
        <f>IF($Q43&lt;&gt;"Complete","",IF(AND(ISNUMBER($M43),$M43&gt;=Setup!$B$31),Setup!$B$32,0)+IF(AND($L43&lt;$F43,$F43-$L43&lt;=Setup!$B$33),Setup!$B$34,0))</f>
        <v/>
      </c>
      <c r="P43" t="str">
        <f t="shared" si="1"/>
        <v/>
      </c>
      <c r="Q43" t="str">
        <f t="shared" si="2"/>
        <v>Waiting</v>
      </c>
      <c r="R43">
        <f>IF(OR($B43="",$C43&gt;Setup!$B$15),"",IFERROR(INDEX('Fixture Library'!$E$4:$E$200,MATCH(Setup!$B$6&amp;"-"&amp;$C43,'Fixture Library'!$A$4:$A$200,0)),""))</f>
        <v>2</v>
      </c>
      <c r="S43">
        <f>IF(OR($B43="",$C43&gt;Setup!$B$15),"",IFERROR(INDEX('Fixture Library'!$F$4:$F$200,MATCH(Setup!$B$6&amp;"-"&amp;$C43,'Fixture Library'!$A$4:$A$200,0)),""))</f>
        <v>3</v>
      </c>
      <c r="T43">
        <f t="shared" si="3"/>
        <v>0</v>
      </c>
      <c r="U43">
        <f t="shared" si="4"/>
        <v>0</v>
      </c>
      <c r="V43">
        <f t="shared" si="5"/>
        <v>0</v>
      </c>
    </row>
    <row r="44" spans="1:22">
      <c r="A44">
        <v>41</v>
      </c>
      <c r="B44" t="str">
        <f>IF(INT(($A44-1)/Setup!$B$15)+1&lt;=Setup!$B$5,INDEX(Setup!$B$21:$B$28,INT(($A44-1)/Setup!$B$15)+1),"")</f>
        <v>B</v>
      </c>
      <c r="C44">
        <f>IF($B44="","",MOD($A44-1,Setup!$B$15)+1)</f>
        <v>13</v>
      </c>
      <c r="D44">
        <f>IF(OR($B44="",$C44&gt;Setup!$B$15),"",IFERROR(INDEX('Fixture Library'!$D$4:$D$200,MATCH(Setup!$B$6&amp;"-"&amp;$C44,'Fixture Library'!$A$4:$A$200,0)),""))</f>
        <v>4</v>
      </c>
      <c r="E44" t="str">
        <f>IF($R44="","",IFERROR(INDEX(Teams!$D$4:$D$67,MATCH($B44&amp;"-"&amp;$R44,Teams!$E$4:$E$67,0)),""))</f>
        <v>Team B5</v>
      </c>
      <c r="F44" s="88"/>
      <c r="G44" s="88"/>
      <c r="H44" s="88"/>
      <c r="I44" t="str">
        <f>IF($Q44&lt;&gt;"Complete","",IF(AND(ISNUMBER($G44),$G44&gt;=Setup!$B$31),Setup!$B$32,0)+IF(AND($F44&lt;$L44,$L44-$F44&lt;=Setup!$B$33),Setup!$B$34,0))</f>
        <v/>
      </c>
      <c r="J44" t="str">
        <f t="shared" si="0"/>
        <v/>
      </c>
      <c r="K44" t="str">
        <f>IF($S44="","",IFERROR(INDEX(Teams!$D$4:$D$67,MATCH($B44&amp;"-"&amp;$S44,Teams!$E$4:$E$67,0)),""))</f>
        <v>Team B1</v>
      </c>
      <c r="L44" s="88"/>
      <c r="M44" s="88"/>
      <c r="N44" s="88"/>
      <c r="O44" t="str">
        <f>IF($Q44&lt;&gt;"Complete","",IF(AND(ISNUMBER($M44),$M44&gt;=Setup!$B$31),Setup!$B$32,0)+IF(AND($L44&lt;$F44,$F44-$L44&lt;=Setup!$B$33),Setup!$B$34,0))</f>
        <v/>
      </c>
      <c r="P44" t="str">
        <f t="shared" si="1"/>
        <v/>
      </c>
      <c r="Q44" t="str">
        <f t="shared" si="2"/>
        <v>Waiting</v>
      </c>
      <c r="R44">
        <f>IF(OR($B44="",$C44&gt;Setup!$B$15),"",IFERROR(INDEX('Fixture Library'!$E$4:$E$200,MATCH(Setup!$B$6&amp;"-"&amp;$C44,'Fixture Library'!$A$4:$A$200,0)),""))</f>
        <v>5</v>
      </c>
      <c r="S44">
        <f>IF(OR($B44="",$C44&gt;Setup!$B$15),"",IFERROR(INDEX('Fixture Library'!$F$4:$F$200,MATCH(Setup!$B$6&amp;"-"&amp;$C44,'Fixture Library'!$A$4:$A$200,0)),""))</f>
        <v>1</v>
      </c>
      <c r="T44">
        <f t="shared" si="3"/>
        <v>0</v>
      </c>
      <c r="U44">
        <f t="shared" si="4"/>
        <v>0</v>
      </c>
      <c r="V44">
        <f t="shared" si="5"/>
        <v>0</v>
      </c>
    </row>
    <row r="45" spans="1:22">
      <c r="A45">
        <v>42</v>
      </c>
      <c r="B45" t="str">
        <f>IF(INT(($A45-1)/Setup!$B$15)+1&lt;=Setup!$B$5,INDEX(Setup!$B$21:$B$28,INT(($A45-1)/Setup!$B$15)+1),"")</f>
        <v>B</v>
      </c>
      <c r="C45">
        <f>IF($B45="","",MOD($A45-1,Setup!$B$15)+1)</f>
        <v>14</v>
      </c>
      <c r="D45">
        <f>IF(OR($B45="",$C45&gt;Setup!$B$15),"",IFERROR(INDEX('Fixture Library'!$D$4:$D$200,MATCH(Setup!$B$6&amp;"-"&amp;$C45,'Fixture Library'!$A$4:$A$200,0)),""))</f>
        <v>4</v>
      </c>
      <c r="E45" t="str">
        <f>IF($R45="","",IFERROR(INDEX(Teams!$D$4:$D$67,MATCH($B45&amp;"-"&amp;$R45,Teams!$E$4:$E$67,0)),""))</f>
        <v>Team B4</v>
      </c>
      <c r="F45" s="88"/>
      <c r="G45" s="88"/>
      <c r="H45" s="88"/>
      <c r="I45" t="str">
        <f>IF($Q45&lt;&gt;"Complete","",IF(AND(ISNUMBER($G45),$G45&gt;=Setup!$B$31),Setup!$B$32,0)+IF(AND($F45&lt;$L45,$L45-$F45&lt;=Setup!$B$33),Setup!$B$34,0))</f>
        <v/>
      </c>
      <c r="J45" t="str">
        <f t="shared" si="0"/>
        <v/>
      </c>
      <c r="K45" t="str">
        <f>IF($S45="","",IFERROR(INDEX(Teams!$D$4:$D$67,MATCH($B45&amp;"-"&amp;$S45,Teams!$E$4:$E$67,0)),""))</f>
        <v>Team B6</v>
      </c>
      <c r="L45" s="88"/>
      <c r="M45" s="88"/>
      <c r="N45" s="88"/>
      <c r="O45" t="str">
        <f>IF($Q45&lt;&gt;"Complete","",IF(AND(ISNUMBER($M45),$M45&gt;=Setup!$B$31),Setup!$B$32,0)+IF(AND($L45&lt;$F45,$F45-$L45&lt;=Setup!$B$33),Setup!$B$34,0))</f>
        <v/>
      </c>
      <c r="P45" t="str">
        <f t="shared" si="1"/>
        <v/>
      </c>
      <c r="Q45" t="str">
        <f t="shared" si="2"/>
        <v>Waiting</v>
      </c>
      <c r="R45">
        <f>IF(OR($B45="",$C45&gt;Setup!$B$15),"",IFERROR(INDEX('Fixture Library'!$E$4:$E$200,MATCH(Setup!$B$6&amp;"-"&amp;$C45,'Fixture Library'!$A$4:$A$200,0)),""))</f>
        <v>4</v>
      </c>
      <c r="S45">
        <f>IF(OR($B45="",$C45&gt;Setup!$B$15),"",IFERROR(INDEX('Fixture Library'!$F$4:$F$200,MATCH(Setup!$B$6&amp;"-"&amp;$C45,'Fixture Library'!$A$4:$A$200,0)),""))</f>
        <v>6</v>
      </c>
      <c r="T45">
        <f t="shared" si="3"/>
        <v>0</v>
      </c>
      <c r="U45">
        <f t="shared" si="4"/>
        <v>0</v>
      </c>
      <c r="V45">
        <f t="shared" si="5"/>
        <v>0</v>
      </c>
    </row>
    <row r="46" spans="1:22">
      <c r="A46">
        <v>43</v>
      </c>
      <c r="B46" t="str">
        <f>IF(INT(($A46-1)/Setup!$B$15)+1&lt;=Setup!$B$5,INDEX(Setup!$B$21:$B$28,INT(($A46-1)/Setup!$B$15)+1),"")</f>
        <v>B</v>
      </c>
      <c r="C46">
        <f>IF($B46="","",MOD($A46-1,Setup!$B$15)+1)</f>
        <v>15</v>
      </c>
      <c r="D46">
        <f>IF(OR($B46="",$C46&gt;Setup!$B$15),"",IFERROR(INDEX('Fixture Library'!$D$4:$D$200,MATCH(Setup!$B$6&amp;"-"&amp;$C46,'Fixture Library'!$A$4:$A$200,0)),""))</f>
        <v>4</v>
      </c>
      <c r="E46" t="str">
        <f>IF($R46="","",IFERROR(INDEX(Teams!$D$4:$D$67,MATCH($B46&amp;"-"&amp;$R46,Teams!$E$4:$E$67,0)),""))</f>
        <v>Team B3</v>
      </c>
      <c r="F46" s="88"/>
      <c r="G46" s="88"/>
      <c r="H46" s="88"/>
      <c r="I46" t="str">
        <f>IF($Q46&lt;&gt;"Complete","",IF(AND(ISNUMBER($G46),$G46&gt;=Setup!$B$31),Setup!$B$32,0)+IF(AND($F46&lt;$L46,$L46-$F46&lt;=Setup!$B$33),Setup!$B$34,0))</f>
        <v/>
      </c>
      <c r="J46" t="str">
        <f t="shared" si="0"/>
        <v/>
      </c>
      <c r="K46" t="str">
        <f>IF($S46="","",IFERROR(INDEX(Teams!$D$4:$D$67,MATCH($B46&amp;"-"&amp;$S46,Teams!$E$4:$E$67,0)),""))</f>
        <v>Team B7</v>
      </c>
      <c r="L46" s="88"/>
      <c r="M46" s="88"/>
      <c r="N46" s="88"/>
      <c r="O46" t="str">
        <f>IF($Q46&lt;&gt;"Complete","",IF(AND(ISNUMBER($M46),$M46&gt;=Setup!$B$31),Setup!$B$32,0)+IF(AND($L46&lt;$F46,$F46-$L46&lt;=Setup!$B$33),Setup!$B$34,0))</f>
        <v/>
      </c>
      <c r="P46" t="str">
        <f t="shared" si="1"/>
        <v/>
      </c>
      <c r="Q46" t="str">
        <f t="shared" si="2"/>
        <v>Waiting</v>
      </c>
      <c r="R46">
        <f>IF(OR($B46="",$C46&gt;Setup!$B$15),"",IFERROR(INDEX('Fixture Library'!$E$4:$E$200,MATCH(Setup!$B$6&amp;"-"&amp;$C46,'Fixture Library'!$A$4:$A$200,0)),""))</f>
        <v>3</v>
      </c>
      <c r="S46">
        <f>IF(OR($B46="",$C46&gt;Setup!$B$15),"",IFERROR(INDEX('Fixture Library'!$F$4:$F$200,MATCH(Setup!$B$6&amp;"-"&amp;$C46,'Fixture Library'!$A$4:$A$200,0)),""))</f>
        <v>7</v>
      </c>
      <c r="T46">
        <f t="shared" si="3"/>
        <v>0</v>
      </c>
      <c r="U46">
        <f t="shared" si="4"/>
        <v>0</v>
      </c>
      <c r="V46">
        <f t="shared" si="5"/>
        <v>0</v>
      </c>
    </row>
    <row r="47" spans="1:22">
      <c r="A47">
        <v>44</v>
      </c>
      <c r="B47" t="str">
        <f>IF(INT(($A47-1)/Setup!$B$15)+1&lt;=Setup!$B$5,INDEX(Setup!$B$21:$B$28,INT(($A47-1)/Setup!$B$15)+1),"")</f>
        <v>B</v>
      </c>
      <c r="C47">
        <f>IF($B47="","",MOD($A47-1,Setup!$B$15)+1)</f>
        <v>16</v>
      </c>
      <c r="D47">
        <f>IF(OR($B47="",$C47&gt;Setup!$B$15),"",IFERROR(INDEX('Fixture Library'!$D$4:$D$200,MATCH(Setup!$B$6&amp;"-"&amp;$C47,'Fixture Library'!$A$4:$A$200,0)),""))</f>
        <v>4</v>
      </c>
      <c r="E47" t="str">
        <f>IF($R47="","",IFERROR(INDEX(Teams!$D$4:$D$67,MATCH($B47&amp;"-"&amp;$R47,Teams!$E$4:$E$67,0)),""))</f>
        <v>Team B2</v>
      </c>
      <c r="F47" s="88"/>
      <c r="G47" s="88"/>
      <c r="H47" s="88"/>
      <c r="I47" t="str">
        <f>IF($Q47&lt;&gt;"Complete","",IF(AND(ISNUMBER($G47),$G47&gt;=Setup!$B$31),Setup!$B$32,0)+IF(AND($F47&lt;$L47,$L47-$F47&lt;=Setup!$B$33),Setup!$B$34,0))</f>
        <v/>
      </c>
      <c r="J47" t="str">
        <f t="shared" si="0"/>
        <v/>
      </c>
      <c r="K47" t="str">
        <f>IF($S47="","",IFERROR(INDEX(Teams!$D$4:$D$67,MATCH($B47&amp;"-"&amp;$S47,Teams!$E$4:$E$67,0)),""))</f>
        <v>Team B8</v>
      </c>
      <c r="L47" s="88"/>
      <c r="M47" s="88"/>
      <c r="N47" s="88"/>
      <c r="O47" t="str">
        <f>IF($Q47&lt;&gt;"Complete","",IF(AND(ISNUMBER($M47),$M47&gt;=Setup!$B$31),Setup!$B$32,0)+IF(AND($L47&lt;$F47,$F47-$L47&lt;=Setup!$B$33),Setup!$B$34,0))</f>
        <v/>
      </c>
      <c r="P47" t="str">
        <f t="shared" si="1"/>
        <v/>
      </c>
      <c r="Q47" t="str">
        <f t="shared" si="2"/>
        <v>Waiting</v>
      </c>
      <c r="R47">
        <f>IF(OR($B47="",$C47&gt;Setup!$B$15),"",IFERROR(INDEX('Fixture Library'!$E$4:$E$200,MATCH(Setup!$B$6&amp;"-"&amp;$C47,'Fixture Library'!$A$4:$A$200,0)),""))</f>
        <v>2</v>
      </c>
      <c r="S47">
        <f>IF(OR($B47="",$C47&gt;Setup!$B$15),"",IFERROR(INDEX('Fixture Library'!$F$4:$F$200,MATCH(Setup!$B$6&amp;"-"&amp;$C47,'Fixture Library'!$A$4:$A$200,0)),""))</f>
        <v>8</v>
      </c>
      <c r="T47">
        <f t="shared" si="3"/>
        <v>0</v>
      </c>
      <c r="U47">
        <f t="shared" si="4"/>
        <v>0</v>
      </c>
      <c r="V47">
        <f t="shared" si="5"/>
        <v>0</v>
      </c>
    </row>
    <row r="48" spans="1:22">
      <c r="A48">
        <v>45</v>
      </c>
      <c r="B48" t="str">
        <f>IF(INT(($A48-1)/Setup!$B$15)+1&lt;=Setup!$B$5,INDEX(Setup!$B$21:$B$28,INT(($A48-1)/Setup!$B$15)+1),"")</f>
        <v>B</v>
      </c>
      <c r="C48">
        <f>IF($B48="","",MOD($A48-1,Setup!$B$15)+1)</f>
        <v>17</v>
      </c>
      <c r="D48">
        <f>IF(OR($B48="",$C48&gt;Setup!$B$15),"",IFERROR(INDEX('Fixture Library'!$D$4:$D$200,MATCH(Setup!$B$6&amp;"-"&amp;$C48,'Fixture Library'!$A$4:$A$200,0)),""))</f>
        <v>5</v>
      </c>
      <c r="E48" t="str">
        <f>IF($R48="","",IFERROR(INDEX(Teams!$D$4:$D$67,MATCH($B48&amp;"-"&amp;$R48,Teams!$E$4:$E$67,0)),""))</f>
        <v>Team B1</v>
      </c>
      <c r="F48" s="88"/>
      <c r="G48" s="88"/>
      <c r="H48" s="88"/>
      <c r="I48" t="str">
        <f>IF($Q48&lt;&gt;"Complete","",IF(AND(ISNUMBER($G48),$G48&gt;=Setup!$B$31),Setup!$B$32,0)+IF(AND($F48&lt;$L48,$L48-$F48&lt;=Setup!$B$33),Setup!$B$34,0))</f>
        <v/>
      </c>
      <c r="J48" t="str">
        <f t="shared" si="0"/>
        <v/>
      </c>
      <c r="K48" t="str">
        <f>IF($S48="","",IFERROR(INDEX(Teams!$D$4:$D$67,MATCH($B48&amp;"-"&amp;$S48,Teams!$E$4:$E$67,0)),""))</f>
        <v>Team B4</v>
      </c>
      <c r="L48" s="88"/>
      <c r="M48" s="88"/>
      <c r="N48" s="88"/>
      <c r="O48" t="str">
        <f>IF($Q48&lt;&gt;"Complete","",IF(AND(ISNUMBER($M48),$M48&gt;=Setup!$B$31),Setup!$B$32,0)+IF(AND($L48&lt;$F48,$F48-$L48&lt;=Setup!$B$33),Setup!$B$34,0))</f>
        <v/>
      </c>
      <c r="P48" t="str">
        <f t="shared" si="1"/>
        <v/>
      </c>
      <c r="Q48" t="str">
        <f t="shared" si="2"/>
        <v>Waiting</v>
      </c>
      <c r="R48">
        <f>IF(OR($B48="",$C48&gt;Setup!$B$15),"",IFERROR(INDEX('Fixture Library'!$E$4:$E$200,MATCH(Setup!$B$6&amp;"-"&amp;$C48,'Fixture Library'!$A$4:$A$200,0)),""))</f>
        <v>1</v>
      </c>
      <c r="S48">
        <f>IF(OR($B48="",$C48&gt;Setup!$B$15),"",IFERROR(INDEX('Fixture Library'!$F$4:$F$200,MATCH(Setup!$B$6&amp;"-"&amp;$C48,'Fixture Library'!$A$4:$A$200,0)),""))</f>
        <v>4</v>
      </c>
      <c r="T48">
        <f t="shared" si="3"/>
        <v>0</v>
      </c>
      <c r="U48">
        <f t="shared" si="4"/>
        <v>0</v>
      </c>
      <c r="V48">
        <f t="shared" si="5"/>
        <v>0</v>
      </c>
    </row>
    <row r="49" spans="1:22">
      <c r="A49">
        <v>46</v>
      </c>
      <c r="B49" t="str">
        <f>IF(INT(($A49-1)/Setup!$B$15)+1&lt;=Setup!$B$5,INDEX(Setup!$B$21:$B$28,INT(($A49-1)/Setup!$B$15)+1),"")</f>
        <v>B</v>
      </c>
      <c r="C49">
        <f>IF($B49="","",MOD($A49-1,Setup!$B$15)+1)</f>
        <v>18</v>
      </c>
      <c r="D49">
        <f>IF(OR($B49="",$C49&gt;Setup!$B$15),"",IFERROR(INDEX('Fixture Library'!$D$4:$D$200,MATCH(Setup!$B$6&amp;"-"&amp;$C49,'Fixture Library'!$A$4:$A$200,0)),""))</f>
        <v>5</v>
      </c>
      <c r="E49" t="str">
        <f>IF($R49="","",IFERROR(INDEX(Teams!$D$4:$D$67,MATCH($B49&amp;"-"&amp;$R49,Teams!$E$4:$E$67,0)),""))</f>
        <v>Team B5</v>
      </c>
      <c r="F49" s="88"/>
      <c r="G49" s="88"/>
      <c r="H49" s="88"/>
      <c r="I49" t="str">
        <f>IF($Q49&lt;&gt;"Complete","",IF(AND(ISNUMBER($G49),$G49&gt;=Setup!$B$31),Setup!$B$32,0)+IF(AND($F49&lt;$L49,$L49-$F49&lt;=Setup!$B$33),Setup!$B$34,0))</f>
        <v/>
      </c>
      <c r="J49" t="str">
        <f t="shared" si="0"/>
        <v/>
      </c>
      <c r="K49" t="str">
        <f>IF($S49="","",IFERROR(INDEX(Teams!$D$4:$D$67,MATCH($B49&amp;"-"&amp;$S49,Teams!$E$4:$E$67,0)),""))</f>
        <v>Team B3</v>
      </c>
      <c r="L49" s="88"/>
      <c r="M49" s="88"/>
      <c r="N49" s="88"/>
      <c r="O49" t="str">
        <f>IF($Q49&lt;&gt;"Complete","",IF(AND(ISNUMBER($M49),$M49&gt;=Setup!$B$31),Setup!$B$32,0)+IF(AND($L49&lt;$F49,$F49-$L49&lt;=Setup!$B$33),Setup!$B$34,0))</f>
        <v/>
      </c>
      <c r="P49" t="str">
        <f t="shared" si="1"/>
        <v/>
      </c>
      <c r="Q49" t="str">
        <f t="shared" si="2"/>
        <v>Waiting</v>
      </c>
      <c r="R49">
        <f>IF(OR($B49="",$C49&gt;Setup!$B$15),"",IFERROR(INDEX('Fixture Library'!$E$4:$E$200,MATCH(Setup!$B$6&amp;"-"&amp;$C49,'Fixture Library'!$A$4:$A$200,0)),""))</f>
        <v>5</v>
      </c>
      <c r="S49">
        <f>IF(OR($B49="",$C49&gt;Setup!$B$15),"",IFERROR(INDEX('Fixture Library'!$F$4:$F$200,MATCH(Setup!$B$6&amp;"-"&amp;$C49,'Fixture Library'!$A$4:$A$200,0)),""))</f>
        <v>3</v>
      </c>
      <c r="T49">
        <f t="shared" si="3"/>
        <v>0</v>
      </c>
      <c r="U49">
        <f t="shared" si="4"/>
        <v>0</v>
      </c>
      <c r="V49">
        <f t="shared" si="5"/>
        <v>0</v>
      </c>
    </row>
    <row r="50" spans="1:22">
      <c r="A50">
        <v>47</v>
      </c>
      <c r="B50" t="str">
        <f>IF(INT(($A50-1)/Setup!$B$15)+1&lt;=Setup!$B$5,INDEX(Setup!$B$21:$B$28,INT(($A50-1)/Setup!$B$15)+1),"")</f>
        <v>B</v>
      </c>
      <c r="C50">
        <f>IF($B50="","",MOD($A50-1,Setup!$B$15)+1)</f>
        <v>19</v>
      </c>
      <c r="D50">
        <f>IF(OR($B50="",$C50&gt;Setup!$B$15),"",IFERROR(INDEX('Fixture Library'!$D$4:$D$200,MATCH(Setup!$B$6&amp;"-"&amp;$C50,'Fixture Library'!$A$4:$A$200,0)),""))</f>
        <v>5</v>
      </c>
      <c r="E50" t="str">
        <f>IF($R50="","",IFERROR(INDEX(Teams!$D$4:$D$67,MATCH($B50&amp;"-"&amp;$R50,Teams!$E$4:$E$67,0)),""))</f>
        <v>Team B6</v>
      </c>
      <c r="F50" s="88"/>
      <c r="G50" s="88"/>
      <c r="H50" s="88"/>
      <c r="I50" t="str">
        <f>IF($Q50&lt;&gt;"Complete","",IF(AND(ISNUMBER($G50),$G50&gt;=Setup!$B$31),Setup!$B$32,0)+IF(AND($F50&lt;$L50,$L50-$F50&lt;=Setup!$B$33),Setup!$B$34,0))</f>
        <v/>
      </c>
      <c r="J50" t="str">
        <f t="shared" si="0"/>
        <v/>
      </c>
      <c r="K50" t="str">
        <f>IF($S50="","",IFERROR(INDEX(Teams!$D$4:$D$67,MATCH($B50&amp;"-"&amp;$S50,Teams!$E$4:$E$67,0)),""))</f>
        <v>Team B2</v>
      </c>
      <c r="L50" s="88"/>
      <c r="M50" s="88"/>
      <c r="N50" s="88"/>
      <c r="O50" t="str">
        <f>IF($Q50&lt;&gt;"Complete","",IF(AND(ISNUMBER($M50),$M50&gt;=Setup!$B$31),Setup!$B$32,0)+IF(AND($L50&lt;$F50,$F50-$L50&lt;=Setup!$B$33),Setup!$B$34,0))</f>
        <v/>
      </c>
      <c r="P50" t="str">
        <f t="shared" si="1"/>
        <v/>
      </c>
      <c r="Q50" t="str">
        <f t="shared" si="2"/>
        <v>Waiting</v>
      </c>
      <c r="R50">
        <f>IF(OR($B50="",$C50&gt;Setup!$B$15),"",IFERROR(INDEX('Fixture Library'!$E$4:$E$200,MATCH(Setup!$B$6&amp;"-"&amp;$C50,'Fixture Library'!$A$4:$A$200,0)),""))</f>
        <v>6</v>
      </c>
      <c r="S50">
        <f>IF(OR($B50="",$C50&gt;Setup!$B$15),"",IFERROR(INDEX('Fixture Library'!$F$4:$F$200,MATCH(Setup!$B$6&amp;"-"&amp;$C50,'Fixture Library'!$A$4:$A$200,0)),""))</f>
        <v>2</v>
      </c>
      <c r="T50">
        <f t="shared" si="3"/>
        <v>0</v>
      </c>
      <c r="U50">
        <f t="shared" si="4"/>
        <v>0</v>
      </c>
      <c r="V50">
        <f t="shared" si="5"/>
        <v>0</v>
      </c>
    </row>
    <row r="51" spans="1:22">
      <c r="A51">
        <v>48</v>
      </c>
      <c r="B51" t="str">
        <f>IF(INT(($A51-1)/Setup!$B$15)+1&lt;=Setup!$B$5,INDEX(Setup!$B$21:$B$28,INT(($A51-1)/Setup!$B$15)+1),"")</f>
        <v>B</v>
      </c>
      <c r="C51">
        <f>IF($B51="","",MOD($A51-1,Setup!$B$15)+1)</f>
        <v>20</v>
      </c>
      <c r="D51">
        <f>IF(OR($B51="",$C51&gt;Setup!$B$15),"",IFERROR(INDEX('Fixture Library'!$D$4:$D$200,MATCH(Setup!$B$6&amp;"-"&amp;$C51,'Fixture Library'!$A$4:$A$200,0)),""))</f>
        <v>5</v>
      </c>
      <c r="E51" t="str">
        <f>IF($R51="","",IFERROR(INDEX(Teams!$D$4:$D$67,MATCH($B51&amp;"-"&amp;$R51,Teams!$E$4:$E$67,0)),""))</f>
        <v>Team B7</v>
      </c>
      <c r="F51" s="88"/>
      <c r="G51" s="88"/>
      <c r="H51" s="88"/>
      <c r="I51" t="str">
        <f>IF($Q51&lt;&gt;"Complete","",IF(AND(ISNUMBER($G51),$G51&gt;=Setup!$B$31),Setup!$B$32,0)+IF(AND($F51&lt;$L51,$L51-$F51&lt;=Setup!$B$33),Setup!$B$34,0))</f>
        <v/>
      </c>
      <c r="J51" t="str">
        <f t="shared" si="0"/>
        <v/>
      </c>
      <c r="K51" t="str">
        <f>IF($S51="","",IFERROR(INDEX(Teams!$D$4:$D$67,MATCH($B51&amp;"-"&amp;$S51,Teams!$E$4:$E$67,0)),""))</f>
        <v>Team B8</v>
      </c>
      <c r="L51" s="88"/>
      <c r="M51" s="88"/>
      <c r="N51" s="88"/>
      <c r="O51" t="str">
        <f>IF($Q51&lt;&gt;"Complete","",IF(AND(ISNUMBER($M51),$M51&gt;=Setup!$B$31),Setup!$B$32,0)+IF(AND($L51&lt;$F51,$F51-$L51&lt;=Setup!$B$33),Setup!$B$34,0))</f>
        <v/>
      </c>
      <c r="P51" t="str">
        <f t="shared" si="1"/>
        <v/>
      </c>
      <c r="Q51" t="str">
        <f t="shared" si="2"/>
        <v>Waiting</v>
      </c>
      <c r="R51">
        <f>IF(OR($B51="",$C51&gt;Setup!$B$15),"",IFERROR(INDEX('Fixture Library'!$E$4:$E$200,MATCH(Setup!$B$6&amp;"-"&amp;$C51,'Fixture Library'!$A$4:$A$200,0)),""))</f>
        <v>7</v>
      </c>
      <c r="S51">
        <f>IF(OR($B51="",$C51&gt;Setup!$B$15),"",IFERROR(INDEX('Fixture Library'!$F$4:$F$200,MATCH(Setup!$B$6&amp;"-"&amp;$C51,'Fixture Library'!$A$4:$A$200,0)),""))</f>
        <v>8</v>
      </c>
      <c r="T51">
        <f t="shared" si="3"/>
        <v>0</v>
      </c>
      <c r="U51">
        <f t="shared" si="4"/>
        <v>0</v>
      </c>
      <c r="V51">
        <f t="shared" si="5"/>
        <v>0</v>
      </c>
    </row>
    <row r="52" spans="1:22">
      <c r="A52">
        <v>49</v>
      </c>
      <c r="B52" t="str">
        <f>IF(INT(($A52-1)/Setup!$B$15)+1&lt;=Setup!$B$5,INDEX(Setup!$B$21:$B$28,INT(($A52-1)/Setup!$B$15)+1),"")</f>
        <v>B</v>
      </c>
      <c r="C52">
        <f>IF($B52="","",MOD($A52-1,Setup!$B$15)+1)</f>
        <v>21</v>
      </c>
      <c r="D52">
        <f>IF(OR($B52="",$C52&gt;Setup!$B$15),"",IFERROR(INDEX('Fixture Library'!$D$4:$D$200,MATCH(Setup!$B$6&amp;"-"&amp;$C52,'Fixture Library'!$A$4:$A$200,0)),""))</f>
        <v>6</v>
      </c>
      <c r="E52" t="str">
        <f>IF($R52="","",IFERROR(INDEX(Teams!$D$4:$D$67,MATCH($B52&amp;"-"&amp;$R52,Teams!$E$4:$E$67,0)),""))</f>
        <v>Team B3</v>
      </c>
      <c r="F52" s="88"/>
      <c r="G52" s="88"/>
      <c r="H52" s="88"/>
      <c r="I52" t="str">
        <f>IF($Q52&lt;&gt;"Complete","",IF(AND(ISNUMBER($G52),$G52&gt;=Setup!$B$31),Setup!$B$32,0)+IF(AND($F52&lt;$L52,$L52-$F52&lt;=Setup!$B$33),Setup!$B$34,0))</f>
        <v/>
      </c>
      <c r="J52" t="str">
        <f t="shared" si="0"/>
        <v/>
      </c>
      <c r="K52" t="str">
        <f>IF($S52="","",IFERROR(INDEX(Teams!$D$4:$D$67,MATCH($B52&amp;"-"&amp;$S52,Teams!$E$4:$E$67,0)),""))</f>
        <v>Team B1</v>
      </c>
      <c r="L52" s="88"/>
      <c r="M52" s="88"/>
      <c r="N52" s="88"/>
      <c r="O52" t="str">
        <f>IF($Q52&lt;&gt;"Complete","",IF(AND(ISNUMBER($M52),$M52&gt;=Setup!$B$31),Setup!$B$32,0)+IF(AND($L52&lt;$F52,$F52-$L52&lt;=Setup!$B$33),Setup!$B$34,0))</f>
        <v/>
      </c>
      <c r="P52" t="str">
        <f t="shared" si="1"/>
        <v/>
      </c>
      <c r="Q52" t="str">
        <f t="shared" si="2"/>
        <v>Waiting</v>
      </c>
      <c r="R52">
        <f>IF(OR($B52="",$C52&gt;Setup!$B$15),"",IFERROR(INDEX('Fixture Library'!$E$4:$E$200,MATCH(Setup!$B$6&amp;"-"&amp;$C52,'Fixture Library'!$A$4:$A$200,0)),""))</f>
        <v>3</v>
      </c>
      <c r="S52">
        <f>IF(OR($B52="",$C52&gt;Setup!$B$15),"",IFERROR(INDEX('Fixture Library'!$F$4:$F$200,MATCH(Setup!$B$6&amp;"-"&amp;$C52,'Fixture Library'!$A$4:$A$200,0)),""))</f>
        <v>1</v>
      </c>
      <c r="T52">
        <f t="shared" si="3"/>
        <v>0</v>
      </c>
      <c r="U52">
        <f t="shared" si="4"/>
        <v>0</v>
      </c>
      <c r="V52">
        <f t="shared" si="5"/>
        <v>0</v>
      </c>
    </row>
    <row r="53" spans="1:22">
      <c r="A53">
        <v>50</v>
      </c>
      <c r="B53" t="str">
        <f>IF(INT(($A53-1)/Setup!$B$15)+1&lt;=Setup!$B$5,INDEX(Setup!$B$21:$B$28,INT(($A53-1)/Setup!$B$15)+1),"")</f>
        <v>B</v>
      </c>
      <c r="C53">
        <f>IF($B53="","",MOD($A53-1,Setup!$B$15)+1)</f>
        <v>22</v>
      </c>
      <c r="D53">
        <f>IF(OR($B53="",$C53&gt;Setup!$B$15),"",IFERROR(INDEX('Fixture Library'!$D$4:$D$200,MATCH(Setup!$B$6&amp;"-"&amp;$C53,'Fixture Library'!$A$4:$A$200,0)),""))</f>
        <v>6</v>
      </c>
      <c r="E53" t="str">
        <f>IF($R53="","",IFERROR(INDEX(Teams!$D$4:$D$67,MATCH($B53&amp;"-"&amp;$R53,Teams!$E$4:$E$67,0)),""))</f>
        <v>Team B2</v>
      </c>
      <c r="F53" s="88"/>
      <c r="G53" s="88"/>
      <c r="H53" s="88"/>
      <c r="I53" t="str">
        <f>IF($Q53&lt;&gt;"Complete","",IF(AND(ISNUMBER($G53),$G53&gt;=Setup!$B$31),Setup!$B$32,0)+IF(AND($F53&lt;$L53,$L53-$F53&lt;=Setup!$B$33),Setup!$B$34,0))</f>
        <v/>
      </c>
      <c r="J53" t="str">
        <f t="shared" si="0"/>
        <v/>
      </c>
      <c r="K53" t="str">
        <f>IF($S53="","",IFERROR(INDEX(Teams!$D$4:$D$67,MATCH($B53&amp;"-"&amp;$S53,Teams!$E$4:$E$67,0)),""))</f>
        <v>Team B4</v>
      </c>
      <c r="L53" s="88"/>
      <c r="M53" s="88"/>
      <c r="N53" s="88"/>
      <c r="O53" t="str">
        <f>IF($Q53&lt;&gt;"Complete","",IF(AND(ISNUMBER($M53),$M53&gt;=Setup!$B$31),Setup!$B$32,0)+IF(AND($L53&lt;$F53,$F53-$L53&lt;=Setup!$B$33),Setup!$B$34,0))</f>
        <v/>
      </c>
      <c r="P53" t="str">
        <f t="shared" si="1"/>
        <v/>
      </c>
      <c r="Q53" t="str">
        <f t="shared" si="2"/>
        <v>Waiting</v>
      </c>
      <c r="R53">
        <f>IF(OR($B53="",$C53&gt;Setup!$B$15),"",IFERROR(INDEX('Fixture Library'!$E$4:$E$200,MATCH(Setup!$B$6&amp;"-"&amp;$C53,'Fixture Library'!$A$4:$A$200,0)),""))</f>
        <v>2</v>
      </c>
      <c r="S53">
        <f>IF(OR($B53="",$C53&gt;Setup!$B$15),"",IFERROR(INDEX('Fixture Library'!$F$4:$F$200,MATCH(Setup!$B$6&amp;"-"&amp;$C53,'Fixture Library'!$A$4:$A$200,0)),""))</f>
        <v>4</v>
      </c>
      <c r="T53">
        <f t="shared" si="3"/>
        <v>0</v>
      </c>
      <c r="U53">
        <f t="shared" si="4"/>
        <v>0</v>
      </c>
      <c r="V53">
        <f t="shared" si="5"/>
        <v>0</v>
      </c>
    </row>
    <row r="54" spans="1:22">
      <c r="A54">
        <v>51</v>
      </c>
      <c r="B54" t="str">
        <f>IF(INT(($A54-1)/Setup!$B$15)+1&lt;=Setup!$B$5,INDEX(Setup!$B$21:$B$28,INT(($A54-1)/Setup!$B$15)+1),"")</f>
        <v>B</v>
      </c>
      <c r="C54">
        <f>IF($B54="","",MOD($A54-1,Setup!$B$15)+1)</f>
        <v>23</v>
      </c>
      <c r="D54">
        <f>IF(OR($B54="",$C54&gt;Setup!$B$15),"",IFERROR(INDEX('Fixture Library'!$D$4:$D$200,MATCH(Setup!$B$6&amp;"-"&amp;$C54,'Fixture Library'!$A$4:$A$200,0)),""))</f>
        <v>6</v>
      </c>
      <c r="E54" t="str">
        <f>IF($R54="","",IFERROR(INDEX(Teams!$D$4:$D$67,MATCH($B54&amp;"-"&amp;$R54,Teams!$E$4:$E$67,0)),""))</f>
        <v>Team B8</v>
      </c>
      <c r="F54" s="88"/>
      <c r="G54" s="88"/>
      <c r="H54" s="88"/>
      <c r="I54" t="str">
        <f>IF($Q54&lt;&gt;"Complete","",IF(AND(ISNUMBER($G54),$G54&gt;=Setup!$B$31),Setup!$B$32,0)+IF(AND($F54&lt;$L54,$L54-$F54&lt;=Setup!$B$33),Setup!$B$34,0))</f>
        <v/>
      </c>
      <c r="J54" t="str">
        <f t="shared" si="0"/>
        <v/>
      </c>
      <c r="K54" t="str">
        <f>IF($S54="","",IFERROR(INDEX(Teams!$D$4:$D$67,MATCH($B54&amp;"-"&amp;$S54,Teams!$E$4:$E$67,0)),""))</f>
        <v>Team B5</v>
      </c>
      <c r="L54" s="88"/>
      <c r="M54" s="88"/>
      <c r="N54" s="88"/>
      <c r="O54" t="str">
        <f>IF($Q54&lt;&gt;"Complete","",IF(AND(ISNUMBER($M54),$M54&gt;=Setup!$B$31),Setup!$B$32,0)+IF(AND($L54&lt;$F54,$F54-$L54&lt;=Setup!$B$33),Setup!$B$34,0))</f>
        <v/>
      </c>
      <c r="P54" t="str">
        <f t="shared" si="1"/>
        <v/>
      </c>
      <c r="Q54" t="str">
        <f t="shared" si="2"/>
        <v>Waiting</v>
      </c>
      <c r="R54">
        <f>IF(OR($B54="",$C54&gt;Setup!$B$15),"",IFERROR(INDEX('Fixture Library'!$E$4:$E$200,MATCH(Setup!$B$6&amp;"-"&amp;$C54,'Fixture Library'!$A$4:$A$200,0)),""))</f>
        <v>8</v>
      </c>
      <c r="S54">
        <f>IF(OR($B54="",$C54&gt;Setup!$B$15),"",IFERROR(INDEX('Fixture Library'!$F$4:$F$200,MATCH(Setup!$B$6&amp;"-"&amp;$C54,'Fixture Library'!$A$4:$A$200,0)),""))</f>
        <v>5</v>
      </c>
      <c r="T54">
        <f t="shared" si="3"/>
        <v>0</v>
      </c>
      <c r="U54">
        <f t="shared" si="4"/>
        <v>0</v>
      </c>
      <c r="V54">
        <f t="shared" si="5"/>
        <v>0</v>
      </c>
    </row>
    <row r="55" spans="1:22">
      <c r="A55">
        <v>52</v>
      </c>
      <c r="B55" t="str">
        <f>IF(INT(($A55-1)/Setup!$B$15)+1&lt;=Setup!$B$5,INDEX(Setup!$B$21:$B$28,INT(($A55-1)/Setup!$B$15)+1),"")</f>
        <v>B</v>
      </c>
      <c r="C55">
        <f>IF($B55="","",MOD($A55-1,Setup!$B$15)+1)</f>
        <v>24</v>
      </c>
      <c r="D55">
        <f>IF(OR($B55="",$C55&gt;Setup!$B$15),"",IFERROR(INDEX('Fixture Library'!$D$4:$D$200,MATCH(Setup!$B$6&amp;"-"&amp;$C55,'Fixture Library'!$A$4:$A$200,0)),""))</f>
        <v>6</v>
      </c>
      <c r="E55" t="str">
        <f>IF($R55="","",IFERROR(INDEX(Teams!$D$4:$D$67,MATCH($B55&amp;"-"&amp;$R55,Teams!$E$4:$E$67,0)),""))</f>
        <v>Team B7</v>
      </c>
      <c r="F55" s="88"/>
      <c r="G55" s="88"/>
      <c r="H55" s="88"/>
      <c r="I55" t="str">
        <f>IF($Q55&lt;&gt;"Complete","",IF(AND(ISNUMBER($G55),$G55&gt;=Setup!$B$31),Setup!$B$32,0)+IF(AND($F55&lt;$L55,$L55-$F55&lt;=Setup!$B$33),Setup!$B$34,0))</f>
        <v/>
      </c>
      <c r="J55" t="str">
        <f t="shared" si="0"/>
        <v/>
      </c>
      <c r="K55" t="str">
        <f>IF($S55="","",IFERROR(INDEX(Teams!$D$4:$D$67,MATCH($B55&amp;"-"&amp;$S55,Teams!$E$4:$E$67,0)),""))</f>
        <v>Team B6</v>
      </c>
      <c r="L55" s="88"/>
      <c r="M55" s="88"/>
      <c r="N55" s="88"/>
      <c r="O55" t="str">
        <f>IF($Q55&lt;&gt;"Complete","",IF(AND(ISNUMBER($M55),$M55&gt;=Setup!$B$31),Setup!$B$32,0)+IF(AND($L55&lt;$F55,$F55-$L55&lt;=Setup!$B$33),Setup!$B$34,0))</f>
        <v/>
      </c>
      <c r="P55" t="str">
        <f t="shared" si="1"/>
        <v/>
      </c>
      <c r="Q55" t="str">
        <f t="shared" si="2"/>
        <v>Waiting</v>
      </c>
      <c r="R55">
        <f>IF(OR($B55="",$C55&gt;Setup!$B$15),"",IFERROR(INDEX('Fixture Library'!$E$4:$E$200,MATCH(Setup!$B$6&amp;"-"&amp;$C55,'Fixture Library'!$A$4:$A$200,0)),""))</f>
        <v>7</v>
      </c>
      <c r="S55">
        <f>IF(OR($B55="",$C55&gt;Setup!$B$15),"",IFERROR(INDEX('Fixture Library'!$F$4:$F$200,MATCH(Setup!$B$6&amp;"-"&amp;$C55,'Fixture Library'!$A$4:$A$200,0)),""))</f>
        <v>6</v>
      </c>
      <c r="T55">
        <f t="shared" si="3"/>
        <v>0</v>
      </c>
      <c r="U55">
        <f t="shared" si="4"/>
        <v>0</v>
      </c>
      <c r="V55">
        <f t="shared" si="5"/>
        <v>0</v>
      </c>
    </row>
    <row r="56" spans="1:22">
      <c r="A56">
        <v>53</v>
      </c>
      <c r="B56" t="str">
        <f>IF(INT(($A56-1)/Setup!$B$15)+1&lt;=Setup!$B$5,INDEX(Setup!$B$21:$B$28,INT(($A56-1)/Setup!$B$15)+1),"")</f>
        <v>B</v>
      </c>
      <c r="C56">
        <f>IF($B56="","",MOD($A56-1,Setup!$B$15)+1)</f>
        <v>25</v>
      </c>
      <c r="D56">
        <f>IF(OR($B56="",$C56&gt;Setup!$B$15),"",IFERROR(INDEX('Fixture Library'!$D$4:$D$200,MATCH(Setup!$B$6&amp;"-"&amp;$C56,'Fixture Library'!$A$4:$A$200,0)),""))</f>
        <v>7</v>
      </c>
      <c r="E56" t="str">
        <f>IF($R56="","",IFERROR(INDEX(Teams!$D$4:$D$67,MATCH($B56&amp;"-"&amp;$R56,Teams!$E$4:$E$67,0)),""))</f>
        <v>Team B1</v>
      </c>
      <c r="F56" s="88"/>
      <c r="G56" s="88"/>
      <c r="H56" s="88"/>
      <c r="I56" t="str">
        <f>IF($Q56&lt;&gt;"Complete","",IF(AND(ISNUMBER($G56),$G56&gt;=Setup!$B$31),Setup!$B$32,0)+IF(AND($F56&lt;$L56,$L56-$F56&lt;=Setup!$B$33),Setup!$B$34,0))</f>
        <v/>
      </c>
      <c r="J56" t="str">
        <f t="shared" si="0"/>
        <v/>
      </c>
      <c r="K56" t="str">
        <f>IF($S56="","",IFERROR(INDEX(Teams!$D$4:$D$67,MATCH($B56&amp;"-"&amp;$S56,Teams!$E$4:$E$67,0)),""))</f>
        <v>Team B2</v>
      </c>
      <c r="L56" s="88"/>
      <c r="M56" s="88"/>
      <c r="N56" s="88"/>
      <c r="O56" t="str">
        <f>IF($Q56&lt;&gt;"Complete","",IF(AND(ISNUMBER($M56),$M56&gt;=Setup!$B$31),Setup!$B$32,0)+IF(AND($L56&lt;$F56,$F56-$L56&lt;=Setup!$B$33),Setup!$B$34,0))</f>
        <v/>
      </c>
      <c r="P56" t="str">
        <f t="shared" si="1"/>
        <v/>
      </c>
      <c r="Q56" t="str">
        <f t="shared" si="2"/>
        <v>Waiting</v>
      </c>
      <c r="R56">
        <f>IF(OR($B56="",$C56&gt;Setup!$B$15),"",IFERROR(INDEX('Fixture Library'!$E$4:$E$200,MATCH(Setup!$B$6&amp;"-"&amp;$C56,'Fixture Library'!$A$4:$A$200,0)),""))</f>
        <v>1</v>
      </c>
      <c r="S56">
        <f>IF(OR($B56="",$C56&gt;Setup!$B$15),"",IFERROR(INDEX('Fixture Library'!$F$4:$F$200,MATCH(Setup!$B$6&amp;"-"&amp;$C56,'Fixture Library'!$A$4:$A$200,0)),""))</f>
        <v>2</v>
      </c>
      <c r="T56">
        <f t="shared" si="3"/>
        <v>0</v>
      </c>
      <c r="U56">
        <f t="shared" si="4"/>
        <v>0</v>
      </c>
      <c r="V56">
        <f t="shared" si="5"/>
        <v>0</v>
      </c>
    </row>
    <row r="57" spans="1:22">
      <c r="A57">
        <v>54</v>
      </c>
      <c r="B57" t="str">
        <f>IF(INT(($A57-1)/Setup!$B$15)+1&lt;=Setup!$B$5,INDEX(Setup!$B$21:$B$28,INT(($A57-1)/Setup!$B$15)+1),"")</f>
        <v>B</v>
      </c>
      <c r="C57">
        <f>IF($B57="","",MOD($A57-1,Setup!$B$15)+1)</f>
        <v>26</v>
      </c>
      <c r="D57">
        <f>IF(OR($B57="",$C57&gt;Setup!$B$15),"",IFERROR(INDEX('Fixture Library'!$D$4:$D$200,MATCH(Setup!$B$6&amp;"-"&amp;$C57,'Fixture Library'!$A$4:$A$200,0)),""))</f>
        <v>7</v>
      </c>
      <c r="E57" t="str">
        <f>IF($R57="","",IFERROR(INDEX(Teams!$D$4:$D$67,MATCH($B57&amp;"-"&amp;$R57,Teams!$E$4:$E$67,0)),""))</f>
        <v>Team B3</v>
      </c>
      <c r="F57" s="88"/>
      <c r="G57" s="88"/>
      <c r="H57" s="88"/>
      <c r="I57" t="str">
        <f>IF($Q57&lt;&gt;"Complete","",IF(AND(ISNUMBER($G57),$G57&gt;=Setup!$B$31),Setup!$B$32,0)+IF(AND($F57&lt;$L57,$L57-$F57&lt;=Setup!$B$33),Setup!$B$34,0))</f>
        <v/>
      </c>
      <c r="J57" t="str">
        <f t="shared" si="0"/>
        <v/>
      </c>
      <c r="K57" t="str">
        <f>IF($S57="","",IFERROR(INDEX(Teams!$D$4:$D$67,MATCH($B57&amp;"-"&amp;$S57,Teams!$E$4:$E$67,0)),""))</f>
        <v>Team B8</v>
      </c>
      <c r="L57" s="88"/>
      <c r="M57" s="88"/>
      <c r="N57" s="88"/>
      <c r="O57" t="str">
        <f>IF($Q57&lt;&gt;"Complete","",IF(AND(ISNUMBER($M57),$M57&gt;=Setup!$B$31),Setup!$B$32,0)+IF(AND($L57&lt;$F57,$F57-$L57&lt;=Setup!$B$33),Setup!$B$34,0))</f>
        <v/>
      </c>
      <c r="P57" t="str">
        <f t="shared" si="1"/>
        <v/>
      </c>
      <c r="Q57" t="str">
        <f t="shared" si="2"/>
        <v>Waiting</v>
      </c>
      <c r="R57">
        <f>IF(OR($B57="",$C57&gt;Setup!$B$15),"",IFERROR(INDEX('Fixture Library'!$E$4:$E$200,MATCH(Setup!$B$6&amp;"-"&amp;$C57,'Fixture Library'!$A$4:$A$200,0)),""))</f>
        <v>3</v>
      </c>
      <c r="S57">
        <f>IF(OR($B57="",$C57&gt;Setup!$B$15),"",IFERROR(INDEX('Fixture Library'!$F$4:$F$200,MATCH(Setup!$B$6&amp;"-"&amp;$C57,'Fixture Library'!$A$4:$A$200,0)),""))</f>
        <v>8</v>
      </c>
      <c r="T57">
        <f t="shared" si="3"/>
        <v>0</v>
      </c>
      <c r="U57">
        <f t="shared" si="4"/>
        <v>0</v>
      </c>
      <c r="V57">
        <f t="shared" si="5"/>
        <v>0</v>
      </c>
    </row>
    <row r="58" spans="1:22">
      <c r="A58">
        <v>55</v>
      </c>
      <c r="B58" t="str">
        <f>IF(INT(($A58-1)/Setup!$B$15)+1&lt;=Setup!$B$5,INDEX(Setup!$B$21:$B$28,INT(($A58-1)/Setup!$B$15)+1),"")</f>
        <v>B</v>
      </c>
      <c r="C58">
        <f>IF($B58="","",MOD($A58-1,Setup!$B$15)+1)</f>
        <v>27</v>
      </c>
      <c r="D58">
        <f>IF(OR($B58="",$C58&gt;Setup!$B$15),"",IFERROR(INDEX('Fixture Library'!$D$4:$D$200,MATCH(Setup!$B$6&amp;"-"&amp;$C58,'Fixture Library'!$A$4:$A$200,0)),""))</f>
        <v>7</v>
      </c>
      <c r="E58" t="str">
        <f>IF($R58="","",IFERROR(INDEX(Teams!$D$4:$D$67,MATCH($B58&amp;"-"&amp;$R58,Teams!$E$4:$E$67,0)),""))</f>
        <v>Team B4</v>
      </c>
      <c r="F58" s="88"/>
      <c r="G58" s="88"/>
      <c r="H58" s="88"/>
      <c r="I58" t="str">
        <f>IF($Q58&lt;&gt;"Complete","",IF(AND(ISNUMBER($G58),$G58&gt;=Setup!$B$31),Setup!$B$32,0)+IF(AND($F58&lt;$L58,$L58-$F58&lt;=Setup!$B$33),Setup!$B$34,0))</f>
        <v/>
      </c>
      <c r="J58" t="str">
        <f t="shared" si="0"/>
        <v/>
      </c>
      <c r="K58" t="str">
        <f>IF($S58="","",IFERROR(INDEX(Teams!$D$4:$D$67,MATCH($B58&amp;"-"&amp;$S58,Teams!$E$4:$E$67,0)),""))</f>
        <v>Team B7</v>
      </c>
      <c r="L58" s="88"/>
      <c r="M58" s="88"/>
      <c r="N58" s="88"/>
      <c r="O58" t="str">
        <f>IF($Q58&lt;&gt;"Complete","",IF(AND(ISNUMBER($M58),$M58&gt;=Setup!$B$31),Setup!$B$32,0)+IF(AND($L58&lt;$F58,$F58-$L58&lt;=Setup!$B$33),Setup!$B$34,0))</f>
        <v/>
      </c>
      <c r="P58" t="str">
        <f t="shared" si="1"/>
        <v/>
      </c>
      <c r="Q58" t="str">
        <f t="shared" si="2"/>
        <v>Waiting</v>
      </c>
      <c r="R58">
        <f>IF(OR($B58="",$C58&gt;Setup!$B$15),"",IFERROR(INDEX('Fixture Library'!$E$4:$E$200,MATCH(Setup!$B$6&amp;"-"&amp;$C58,'Fixture Library'!$A$4:$A$200,0)),""))</f>
        <v>4</v>
      </c>
      <c r="S58">
        <f>IF(OR($B58="",$C58&gt;Setup!$B$15),"",IFERROR(INDEX('Fixture Library'!$F$4:$F$200,MATCH(Setup!$B$6&amp;"-"&amp;$C58,'Fixture Library'!$A$4:$A$200,0)),""))</f>
        <v>7</v>
      </c>
      <c r="T58">
        <f t="shared" si="3"/>
        <v>0</v>
      </c>
      <c r="U58">
        <f t="shared" si="4"/>
        <v>0</v>
      </c>
      <c r="V58">
        <f t="shared" si="5"/>
        <v>0</v>
      </c>
    </row>
    <row r="59" spans="1:22">
      <c r="A59">
        <v>56</v>
      </c>
      <c r="B59" t="str">
        <f>IF(INT(($A59-1)/Setup!$B$15)+1&lt;=Setup!$B$5,INDEX(Setup!$B$21:$B$28,INT(($A59-1)/Setup!$B$15)+1),"")</f>
        <v>B</v>
      </c>
      <c r="C59">
        <f>IF($B59="","",MOD($A59-1,Setup!$B$15)+1)</f>
        <v>28</v>
      </c>
      <c r="D59">
        <f>IF(OR($B59="",$C59&gt;Setup!$B$15),"",IFERROR(INDEX('Fixture Library'!$D$4:$D$200,MATCH(Setup!$B$6&amp;"-"&amp;$C59,'Fixture Library'!$A$4:$A$200,0)),""))</f>
        <v>7</v>
      </c>
      <c r="E59" t="str">
        <f>IF($R59="","",IFERROR(INDEX(Teams!$D$4:$D$67,MATCH($B59&amp;"-"&amp;$R59,Teams!$E$4:$E$67,0)),""))</f>
        <v>Team B5</v>
      </c>
      <c r="F59" s="88"/>
      <c r="G59" s="88"/>
      <c r="H59" s="88"/>
      <c r="I59" t="str">
        <f>IF($Q59&lt;&gt;"Complete","",IF(AND(ISNUMBER($G59),$G59&gt;=Setup!$B$31),Setup!$B$32,0)+IF(AND($F59&lt;$L59,$L59-$F59&lt;=Setup!$B$33),Setup!$B$34,0))</f>
        <v/>
      </c>
      <c r="J59" t="str">
        <f t="shared" si="0"/>
        <v/>
      </c>
      <c r="K59" t="str">
        <f>IF($S59="","",IFERROR(INDEX(Teams!$D$4:$D$67,MATCH($B59&amp;"-"&amp;$S59,Teams!$E$4:$E$67,0)),""))</f>
        <v>Team B6</v>
      </c>
      <c r="L59" s="88"/>
      <c r="M59" s="88"/>
      <c r="N59" s="88"/>
      <c r="O59" t="str">
        <f>IF($Q59&lt;&gt;"Complete","",IF(AND(ISNUMBER($M59),$M59&gt;=Setup!$B$31),Setup!$B$32,0)+IF(AND($L59&lt;$F59,$F59-$L59&lt;=Setup!$B$33),Setup!$B$34,0))</f>
        <v/>
      </c>
      <c r="P59" t="str">
        <f t="shared" si="1"/>
        <v/>
      </c>
      <c r="Q59" t="str">
        <f t="shared" si="2"/>
        <v>Waiting</v>
      </c>
      <c r="R59">
        <f>IF(OR($B59="",$C59&gt;Setup!$B$15),"",IFERROR(INDEX('Fixture Library'!$E$4:$E$200,MATCH(Setup!$B$6&amp;"-"&amp;$C59,'Fixture Library'!$A$4:$A$200,0)),""))</f>
        <v>5</v>
      </c>
      <c r="S59">
        <f>IF(OR($B59="",$C59&gt;Setup!$B$15),"",IFERROR(INDEX('Fixture Library'!$F$4:$F$200,MATCH(Setup!$B$6&amp;"-"&amp;$C59,'Fixture Library'!$A$4:$A$200,0)),""))</f>
        <v>6</v>
      </c>
      <c r="T59">
        <f t="shared" si="3"/>
        <v>0</v>
      </c>
      <c r="U59">
        <f t="shared" si="4"/>
        <v>0</v>
      </c>
      <c r="V59">
        <f t="shared" si="5"/>
        <v>0</v>
      </c>
    </row>
    <row r="60" spans="1:22">
      <c r="A60">
        <v>57</v>
      </c>
      <c r="B60" t="str">
        <f>IF(INT(($A60-1)/Setup!$B$15)+1&lt;=Setup!$B$5,INDEX(Setup!$B$21:$B$28,INT(($A60-1)/Setup!$B$15)+1),"")</f>
        <v>C</v>
      </c>
      <c r="C60">
        <f>IF($B60="","",MOD($A60-1,Setup!$B$15)+1)</f>
        <v>1</v>
      </c>
      <c r="D60">
        <f>IF(OR($B60="",$C60&gt;Setup!$B$15),"",IFERROR(INDEX('Fixture Library'!$D$4:$D$200,MATCH(Setup!$B$6&amp;"-"&amp;$C60,'Fixture Library'!$A$4:$A$200,0)),""))</f>
        <v>1</v>
      </c>
      <c r="E60" t="str">
        <f>IF($R60="","",IFERROR(INDEX(Teams!$D$4:$D$67,MATCH($B60&amp;"-"&amp;$R60,Teams!$E$4:$E$67,0)),""))</f>
        <v>Team C1</v>
      </c>
      <c r="F60" s="88"/>
      <c r="G60" s="88"/>
      <c r="H60" s="88"/>
      <c r="I60" t="str">
        <f>IF($Q60&lt;&gt;"Complete","",IF(AND(ISNUMBER($G60),$G60&gt;=Setup!$B$31),Setup!$B$32,0)+IF(AND($F60&lt;$L60,$L60-$F60&lt;=Setup!$B$33),Setup!$B$34,0))</f>
        <v/>
      </c>
      <c r="J60" t="str">
        <f t="shared" si="0"/>
        <v/>
      </c>
      <c r="K60" t="str">
        <f>IF($S60="","",IFERROR(INDEX(Teams!$D$4:$D$67,MATCH($B60&amp;"-"&amp;$S60,Teams!$E$4:$E$67,0)),""))</f>
        <v>Team C8</v>
      </c>
      <c r="L60" s="88"/>
      <c r="M60" s="88"/>
      <c r="N60" s="88"/>
      <c r="O60" t="str">
        <f>IF($Q60&lt;&gt;"Complete","",IF(AND(ISNUMBER($M60),$M60&gt;=Setup!$B$31),Setup!$B$32,0)+IF(AND($L60&lt;$F60,$F60-$L60&lt;=Setup!$B$33),Setup!$B$34,0))</f>
        <v/>
      </c>
      <c r="P60" t="str">
        <f t="shared" si="1"/>
        <v/>
      </c>
      <c r="Q60" t="str">
        <f t="shared" si="2"/>
        <v>Waiting</v>
      </c>
      <c r="R60">
        <f>IF(OR($B60="",$C60&gt;Setup!$B$15),"",IFERROR(INDEX('Fixture Library'!$E$4:$E$200,MATCH(Setup!$B$6&amp;"-"&amp;$C60,'Fixture Library'!$A$4:$A$200,0)),""))</f>
        <v>1</v>
      </c>
      <c r="S60">
        <f>IF(OR($B60="",$C60&gt;Setup!$B$15),"",IFERROR(INDEX('Fixture Library'!$F$4:$F$200,MATCH(Setup!$B$6&amp;"-"&amp;$C60,'Fixture Library'!$A$4:$A$200,0)),""))</f>
        <v>8</v>
      </c>
      <c r="T60">
        <f t="shared" si="3"/>
        <v>0</v>
      </c>
      <c r="U60">
        <f t="shared" si="4"/>
        <v>0</v>
      </c>
      <c r="V60">
        <f t="shared" si="5"/>
        <v>0</v>
      </c>
    </row>
    <row r="61" spans="1:22">
      <c r="A61">
        <v>58</v>
      </c>
      <c r="B61" t="str">
        <f>IF(INT(($A61-1)/Setup!$B$15)+1&lt;=Setup!$B$5,INDEX(Setup!$B$21:$B$28,INT(($A61-1)/Setup!$B$15)+1),"")</f>
        <v>C</v>
      </c>
      <c r="C61">
        <f>IF($B61="","",MOD($A61-1,Setup!$B$15)+1)</f>
        <v>2</v>
      </c>
      <c r="D61">
        <f>IF(OR($B61="",$C61&gt;Setup!$B$15),"",IFERROR(INDEX('Fixture Library'!$D$4:$D$200,MATCH(Setup!$B$6&amp;"-"&amp;$C61,'Fixture Library'!$A$4:$A$200,0)),""))</f>
        <v>1</v>
      </c>
      <c r="E61" t="str">
        <f>IF($R61="","",IFERROR(INDEX(Teams!$D$4:$D$67,MATCH($B61&amp;"-"&amp;$R61,Teams!$E$4:$E$67,0)),""))</f>
        <v>Team C2</v>
      </c>
      <c r="F61" s="88"/>
      <c r="G61" s="88"/>
      <c r="H61" s="88"/>
      <c r="I61" t="str">
        <f>IF($Q61&lt;&gt;"Complete","",IF(AND(ISNUMBER($G61),$G61&gt;=Setup!$B$31),Setup!$B$32,0)+IF(AND($F61&lt;$L61,$L61-$F61&lt;=Setup!$B$33),Setup!$B$34,0))</f>
        <v/>
      </c>
      <c r="J61" t="str">
        <f t="shared" si="0"/>
        <v/>
      </c>
      <c r="K61" t="str">
        <f>IF($S61="","",IFERROR(INDEX(Teams!$D$4:$D$67,MATCH($B61&amp;"-"&amp;$S61,Teams!$E$4:$E$67,0)),""))</f>
        <v>Team C7</v>
      </c>
      <c r="L61" s="88"/>
      <c r="M61" s="88"/>
      <c r="N61" s="88"/>
      <c r="O61" t="str">
        <f>IF($Q61&lt;&gt;"Complete","",IF(AND(ISNUMBER($M61),$M61&gt;=Setup!$B$31),Setup!$B$32,0)+IF(AND($L61&lt;$F61,$F61-$L61&lt;=Setup!$B$33),Setup!$B$34,0))</f>
        <v/>
      </c>
      <c r="P61" t="str">
        <f t="shared" si="1"/>
        <v/>
      </c>
      <c r="Q61" t="str">
        <f t="shared" si="2"/>
        <v>Waiting</v>
      </c>
      <c r="R61">
        <f>IF(OR($B61="",$C61&gt;Setup!$B$15),"",IFERROR(INDEX('Fixture Library'!$E$4:$E$200,MATCH(Setup!$B$6&amp;"-"&amp;$C61,'Fixture Library'!$A$4:$A$200,0)),""))</f>
        <v>2</v>
      </c>
      <c r="S61">
        <f>IF(OR($B61="",$C61&gt;Setup!$B$15),"",IFERROR(INDEX('Fixture Library'!$F$4:$F$200,MATCH(Setup!$B$6&amp;"-"&amp;$C61,'Fixture Library'!$A$4:$A$200,0)),""))</f>
        <v>7</v>
      </c>
      <c r="T61">
        <f t="shared" si="3"/>
        <v>0</v>
      </c>
      <c r="U61">
        <f t="shared" si="4"/>
        <v>0</v>
      </c>
      <c r="V61">
        <f t="shared" si="5"/>
        <v>0</v>
      </c>
    </row>
    <row r="62" spans="1:22">
      <c r="A62">
        <v>59</v>
      </c>
      <c r="B62" t="str">
        <f>IF(INT(($A62-1)/Setup!$B$15)+1&lt;=Setup!$B$5,INDEX(Setup!$B$21:$B$28,INT(($A62-1)/Setup!$B$15)+1),"")</f>
        <v>C</v>
      </c>
      <c r="C62">
        <f>IF($B62="","",MOD($A62-1,Setup!$B$15)+1)</f>
        <v>3</v>
      </c>
      <c r="D62">
        <f>IF(OR($B62="",$C62&gt;Setup!$B$15),"",IFERROR(INDEX('Fixture Library'!$D$4:$D$200,MATCH(Setup!$B$6&amp;"-"&amp;$C62,'Fixture Library'!$A$4:$A$200,0)),""))</f>
        <v>1</v>
      </c>
      <c r="E62" t="str">
        <f>IF($R62="","",IFERROR(INDEX(Teams!$D$4:$D$67,MATCH($B62&amp;"-"&amp;$R62,Teams!$E$4:$E$67,0)),""))</f>
        <v>Team C3</v>
      </c>
      <c r="F62" s="88"/>
      <c r="G62" s="88"/>
      <c r="H62" s="88"/>
      <c r="I62" t="str">
        <f>IF($Q62&lt;&gt;"Complete","",IF(AND(ISNUMBER($G62),$G62&gt;=Setup!$B$31),Setup!$B$32,0)+IF(AND($F62&lt;$L62,$L62-$F62&lt;=Setup!$B$33),Setup!$B$34,0))</f>
        <v/>
      </c>
      <c r="J62" t="str">
        <f t="shared" si="0"/>
        <v/>
      </c>
      <c r="K62" t="str">
        <f>IF($S62="","",IFERROR(INDEX(Teams!$D$4:$D$67,MATCH($B62&amp;"-"&amp;$S62,Teams!$E$4:$E$67,0)),""))</f>
        <v>Team C6</v>
      </c>
      <c r="L62" s="88"/>
      <c r="M62" s="88"/>
      <c r="N62" s="88"/>
      <c r="O62" t="str">
        <f>IF($Q62&lt;&gt;"Complete","",IF(AND(ISNUMBER($M62),$M62&gt;=Setup!$B$31),Setup!$B$32,0)+IF(AND($L62&lt;$F62,$F62-$L62&lt;=Setup!$B$33),Setup!$B$34,0))</f>
        <v/>
      </c>
      <c r="P62" t="str">
        <f t="shared" si="1"/>
        <v/>
      </c>
      <c r="Q62" t="str">
        <f t="shared" si="2"/>
        <v>Waiting</v>
      </c>
      <c r="R62">
        <f>IF(OR($B62="",$C62&gt;Setup!$B$15),"",IFERROR(INDEX('Fixture Library'!$E$4:$E$200,MATCH(Setup!$B$6&amp;"-"&amp;$C62,'Fixture Library'!$A$4:$A$200,0)),""))</f>
        <v>3</v>
      </c>
      <c r="S62">
        <f>IF(OR($B62="",$C62&gt;Setup!$B$15),"",IFERROR(INDEX('Fixture Library'!$F$4:$F$200,MATCH(Setup!$B$6&amp;"-"&amp;$C62,'Fixture Library'!$A$4:$A$200,0)),""))</f>
        <v>6</v>
      </c>
      <c r="T62">
        <f t="shared" si="3"/>
        <v>0</v>
      </c>
      <c r="U62">
        <f t="shared" si="4"/>
        <v>0</v>
      </c>
      <c r="V62">
        <f t="shared" si="5"/>
        <v>0</v>
      </c>
    </row>
    <row r="63" spans="1:22">
      <c r="A63">
        <v>60</v>
      </c>
      <c r="B63" t="str">
        <f>IF(INT(($A63-1)/Setup!$B$15)+1&lt;=Setup!$B$5,INDEX(Setup!$B$21:$B$28,INT(($A63-1)/Setup!$B$15)+1),"")</f>
        <v>C</v>
      </c>
      <c r="C63">
        <f>IF($B63="","",MOD($A63-1,Setup!$B$15)+1)</f>
        <v>4</v>
      </c>
      <c r="D63">
        <f>IF(OR($B63="",$C63&gt;Setup!$B$15),"",IFERROR(INDEX('Fixture Library'!$D$4:$D$200,MATCH(Setup!$B$6&amp;"-"&amp;$C63,'Fixture Library'!$A$4:$A$200,0)),""))</f>
        <v>1</v>
      </c>
      <c r="E63" t="str">
        <f>IF($R63="","",IFERROR(INDEX(Teams!$D$4:$D$67,MATCH($B63&amp;"-"&amp;$R63,Teams!$E$4:$E$67,0)),""))</f>
        <v>Team C4</v>
      </c>
      <c r="F63" s="88"/>
      <c r="G63" s="88"/>
      <c r="H63" s="88"/>
      <c r="I63" t="str">
        <f>IF($Q63&lt;&gt;"Complete","",IF(AND(ISNUMBER($G63),$G63&gt;=Setup!$B$31),Setup!$B$32,0)+IF(AND($F63&lt;$L63,$L63-$F63&lt;=Setup!$B$33),Setup!$B$34,0))</f>
        <v/>
      </c>
      <c r="J63" t="str">
        <f t="shared" si="0"/>
        <v/>
      </c>
      <c r="K63" t="str">
        <f>IF($S63="","",IFERROR(INDEX(Teams!$D$4:$D$67,MATCH($B63&amp;"-"&amp;$S63,Teams!$E$4:$E$67,0)),""))</f>
        <v>Team C5</v>
      </c>
      <c r="L63" s="88"/>
      <c r="M63" s="88"/>
      <c r="N63" s="88"/>
      <c r="O63" t="str">
        <f>IF($Q63&lt;&gt;"Complete","",IF(AND(ISNUMBER($M63),$M63&gt;=Setup!$B$31),Setup!$B$32,0)+IF(AND($L63&lt;$F63,$F63-$L63&lt;=Setup!$B$33),Setup!$B$34,0))</f>
        <v/>
      </c>
      <c r="P63" t="str">
        <f t="shared" si="1"/>
        <v/>
      </c>
      <c r="Q63" t="str">
        <f t="shared" si="2"/>
        <v>Waiting</v>
      </c>
      <c r="R63">
        <f>IF(OR($B63="",$C63&gt;Setup!$B$15),"",IFERROR(INDEX('Fixture Library'!$E$4:$E$200,MATCH(Setup!$B$6&amp;"-"&amp;$C63,'Fixture Library'!$A$4:$A$200,0)),""))</f>
        <v>4</v>
      </c>
      <c r="S63">
        <f>IF(OR($B63="",$C63&gt;Setup!$B$15),"",IFERROR(INDEX('Fixture Library'!$F$4:$F$200,MATCH(Setup!$B$6&amp;"-"&amp;$C63,'Fixture Library'!$A$4:$A$200,0)),""))</f>
        <v>5</v>
      </c>
      <c r="T63">
        <f t="shared" si="3"/>
        <v>0</v>
      </c>
      <c r="U63">
        <f t="shared" si="4"/>
        <v>0</v>
      </c>
      <c r="V63">
        <f t="shared" si="5"/>
        <v>0</v>
      </c>
    </row>
    <row r="64" spans="1:22">
      <c r="A64">
        <v>61</v>
      </c>
      <c r="B64" t="str">
        <f>IF(INT(($A64-1)/Setup!$B$15)+1&lt;=Setup!$B$5,INDEX(Setup!$B$21:$B$28,INT(($A64-1)/Setup!$B$15)+1),"")</f>
        <v>C</v>
      </c>
      <c r="C64">
        <f>IF($B64="","",MOD($A64-1,Setup!$B$15)+1)</f>
        <v>5</v>
      </c>
      <c r="D64">
        <f>IF(OR($B64="",$C64&gt;Setup!$B$15),"",IFERROR(INDEX('Fixture Library'!$D$4:$D$200,MATCH(Setup!$B$6&amp;"-"&amp;$C64,'Fixture Library'!$A$4:$A$200,0)),""))</f>
        <v>2</v>
      </c>
      <c r="E64" t="str">
        <f>IF($R64="","",IFERROR(INDEX(Teams!$D$4:$D$67,MATCH($B64&amp;"-"&amp;$R64,Teams!$E$4:$E$67,0)),""))</f>
        <v>Team C7</v>
      </c>
      <c r="F64" s="88"/>
      <c r="G64" s="88"/>
      <c r="H64" s="88"/>
      <c r="I64" t="str">
        <f>IF($Q64&lt;&gt;"Complete","",IF(AND(ISNUMBER($G64),$G64&gt;=Setup!$B$31),Setup!$B$32,0)+IF(AND($F64&lt;$L64,$L64-$F64&lt;=Setup!$B$33),Setup!$B$34,0))</f>
        <v/>
      </c>
      <c r="J64" t="str">
        <f t="shared" si="0"/>
        <v/>
      </c>
      <c r="K64" t="str">
        <f>IF($S64="","",IFERROR(INDEX(Teams!$D$4:$D$67,MATCH($B64&amp;"-"&amp;$S64,Teams!$E$4:$E$67,0)),""))</f>
        <v>Team C1</v>
      </c>
      <c r="L64" s="88"/>
      <c r="M64" s="88"/>
      <c r="N64" s="88"/>
      <c r="O64" t="str">
        <f>IF($Q64&lt;&gt;"Complete","",IF(AND(ISNUMBER($M64),$M64&gt;=Setup!$B$31),Setup!$B$32,0)+IF(AND($L64&lt;$F64,$F64-$L64&lt;=Setup!$B$33),Setup!$B$34,0))</f>
        <v/>
      </c>
      <c r="P64" t="str">
        <f t="shared" si="1"/>
        <v/>
      </c>
      <c r="Q64" t="str">
        <f t="shared" si="2"/>
        <v>Waiting</v>
      </c>
      <c r="R64">
        <f>IF(OR($B64="",$C64&gt;Setup!$B$15),"",IFERROR(INDEX('Fixture Library'!$E$4:$E$200,MATCH(Setup!$B$6&amp;"-"&amp;$C64,'Fixture Library'!$A$4:$A$200,0)),""))</f>
        <v>7</v>
      </c>
      <c r="S64">
        <f>IF(OR($B64="",$C64&gt;Setup!$B$15),"",IFERROR(INDEX('Fixture Library'!$F$4:$F$200,MATCH(Setup!$B$6&amp;"-"&amp;$C64,'Fixture Library'!$A$4:$A$200,0)),""))</f>
        <v>1</v>
      </c>
      <c r="T64">
        <f t="shared" si="3"/>
        <v>0</v>
      </c>
      <c r="U64">
        <f t="shared" si="4"/>
        <v>0</v>
      </c>
      <c r="V64">
        <f t="shared" si="5"/>
        <v>0</v>
      </c>
    </row>
    <row r="65" spans="1:22">
      <c r="A65">
        <v>62</v>
      </c>
      <c r="B65" t="str">
        <f>IF(INT(($A65-1)/Setup!$B$15)+1&lt;=Setup!$B$5,INDEX(Setup!$B$21:$B$28,INT(($A65-1)/Setup!$B$15)+1),"")</f>
        <v>C</v>
      </c>
      <c r="C65">
        <f>IF($B65="","",MOD($A65-1,Setup!$B$15)+1)</f>
        <v>6</v>
      </c>
      <c r="D65">
        <f>IF(OR($B65="",$C65&gt;Setup!$B$15),"",IFERROR(INDEX('Fixture Library'!$D$4:$D$200,MATCH(Setup!$B$6&amp;"-"&amp;$C65,'Fixture Library'!$A$4:$A$200,0)),""))</f>
        <v>2</v>
      </c>
      <c r="E65" t="str">
        <f>IF($R65="","",IFERROR(INDEX(Teams!$D$4:$D$67,MATCH($B65&amp;"-"&amp;$R65,Teams!$E$4:$E$67,0)),""))</f>
        <v>Team C6</v>
      </c>
      <c r="F65" s="88"/>
      <c r="G65" s="88"/>
      <c r="H65" s="88"/>
      <c r="I65" t="str">
        <f>IF($Q65&lt;&gt;"Complete","",IF(AND(ISNUMBER($G65),$G65&gt;=Setup!$B$31),Setup!$B$32,0)+IF(AND($F65&lt;$L65,$L65-$F65&lt;=Setup!$B$33),Setup!$B$34,0))</f>
        <v/>
      </c>
      <c r="J65" t="str">
        <f t="shared" si="0"/>
        <v/>
      </c>
      <c r="K65" t="str">
        <f>IF($S65="","",IFERROR(INDEX(Teams!$D$4:$D$67,MATCH($B65&amp;"-"&amp;$S65,Teams!$E$4:$E$67,0)),""))</f>
        <v>Team C8</v>
      </c>
      <c r="L65" s="88"/>
      <c r="M65" s="88"/>
      <c r="N65" s="88"/>
      <c r="O65" t="str">
        <f>IF($Q65&lt;&gt;"Complete","",IF(AND(ISNUMBER($M65),$M65&gt;=Setup!$B$31),Setup!$B$32,0)+IF(AND($L65&lt;$F65,$F65-$L65&lt;=Setup!$B$33),Setup!$B$34,0))</f>
        <v/>
      </c>
      <c r="P65" t="str">
        <f t="shared" si="1"/>
        <v/>
      </c>
      <c r="Q65" t="str">
        <f t="shared" si="2"/>
        <v>Waiting</v>
      </c>
      <c r="R65">
        <f>IF(OR($B65="",$C65&gt;Setup!$B$15),"",IFERROR(INDEX('Fixture Library'!$E$4:$E$200,MATCH(Setup!$B$6&amp;"-"&amp;$C65,'Fixture Library'!$A$4:$A$200,0)),""))</f>
        <v>6</v>
      </c>
      <c r="S65">
        <f>IF(OR($B65="",$C65&gt;Setup!$B$15),"",IFERROR(INDEX('Fixture Library'!$F$4:$F$200,MATCH(Setup!$B$6&amp;"-"&amp;$C65,'Fixture Library'!$A$4:$A$200,0)),""))</f>
        <v>8</v>
      </c>
      <c r="T65">
        <f t="shared" si="3"/>
        <v>0</v>
      </c>
      <c r="U65">
        <f t="shared" si="4"/>
        <v>0</v>
      </c>
      <c r="V65">
        <f t="shared" si="5"/>
        <v>0</v>
      </c>
    </row>
    <row r="66" spans="1:22">
      <c r="A66">
        <v>63</v>
      </c>
      <c r="B66" t="str">
        <f>IF(INT(($A66-1)/Setup!$B$15)+1&lt;=Setup!$B$5,INDEX(Setup!$B$21:$B$28,INT(($A66-1)/Setup!$B$15)+1),"")</f>
        <v>C</v>
      </c>
      <c r="C66">
        <f>IF($B66="","",MOD($A66-1,Setup!$B$15)+1)</f>
        <v>7</v>
      </c>
      <c r="D66">
        <f>IF(OR($B66="",$C66&gt;Setup!$B$15),"",IFERROR(INDEX('Fixture Library'!$D$4:$D$200,MATCH(Setup!$B$6&amp;"-"&amp;$C66,'Fixture Library'!$A$4:$A$200,0)),""))</f>
        <v>2</v>
      </c>
      <c r="E66" t="str">
        <f>IF($R66="","",IFERROR(INDEX(Teams!$D$4:$D$67,MATCH($B66&amp;"-"&amp;$R66,Teams!$E$4:$E$67,0)),""))</f>
        <v>Team C5</v>
      </c>
      <c r="F66" s="88"/>
      <c r="G66" s="88"/>
      <c r="H66" s="88"/>
      <c r="I66" t="str">
        <f>IF($Q66&lt;&gt;"Complete","",IF(AND(ISNUMBER($G66),$G66&gt;=Setup!$B$31),Setup!$B$32,0)+IF(AND($F66&lt;$L66,$L66-$F66&lt;=Setup!$B$33),Setup!$B$34,0))</f>
        <v/>
      </c>
      <c r="J66" t="str">
        <f t="shared" si="0"/>
        <v/>
      </c>
      <c r="K66" t="str">
        <f>IF($S66="","",IFERROR(INDEX(Teams!$D$4:$D$67,MATCH($B66&amp;"-"&amp;$S66,Teams!$E$4:$E$67,0)),""))</f>
        <v>Team C2</v>
      </c>
      <c r="L66" s="88"/>
      <c r="M66" s="88"/>
      <c r="N66" s="88"/>
      <c r="O66" t="str">
        <f>IF($Q66&lt;&gt;"Complete","",IF(AND(ISNUMBER($M66),$M66&gt;=Setup!$B$31),Setup!$B$32,0)+IF(AND($L66&lt;$F66,$F66-$L66&lt;=Setup!$B$33),Setup!$B$34,0))</f>
        <v/>
      </c>
      <c r="P66" t="str">
        <f t="shared" si="1"/>
        <v/>
      </c>
      <c r="Q66" t="str">
        <f t="shared" si="2"/>
        <v>Waiting</v>
      </c>
      <c r="R66">
        <f>IF(OR($B66="",$C66&gt;Setup!$B$15),"",IFERROR(INDEX('Fixture Library'!$E$4:$E$200,MATCH(Setup!$B$6&amp;"-"&amp;$C66,'Fixture Library'!$A$4:$A$200,0)),""))</f>
        <v>5</v>
      </c>
      <c r="S66">
        <f>IF(OR($B66="",$C66&gt;Setup!$B$15),"",IFERROR(INDEX('Fixture Library'!$F$4:$F$200,MATCH(Setup!$B$6&amp;"-"&amp;$C66,'Fixture Library'!$A$4:$A$200,0)),""))</f>
        <v>2</v>
      </c>
      <c r="T66">
        <f t="shared" si="3"/>
        <v>0</v>
      </c>
      <c r="U66">
        <f t="shared" si="4"/>
        <v>0</v>
      </c>
      <c r="V66">
        <f t="shared" si="5"/>
        <v>0</v>
      </c>
    </row>
    <row r="67" spans="1:22">
      <c r="A67">
        <v>64</v>
      </c>
      <c r="B67" t="str">
        <f>IF(INT(($A67-1)/Setup!$B$15)+1&lt;=Setup!$B$5,INDEX(Setup!$B$21:$B$28,INT(($A67-1)/Setup!$B$15)+1),"")</f>
        <v>C</v>
      </c>
      <c r="C67">
        <f>IF($B67="","",MOD($A67-1,Setup!$B$15)+1)</f>
        <v>8</v>
      </c>
      <c r="D67">
        <f>IF(OR($B67="",$C67&gt;Setup!$B$15),"",IFERROR(INDEX('Fixture Library'!$D$4:$D$200,MATCH(Setup!$B$6&amp;"-"&amp;$C67,'Fixture Library'!$A$4:$A$200,0)),""))</f>
        <v>2</v>
      </c>
      <c r="E67" t="str">
        <f>IF($R67="","",IFERROR(INDEX(Teams!$D$4:$D$67,MATCH($B67&amp;"-"&amp;$R67,Teams!$E$4:$E$67,0)),""))</f>
        <v>Team C4</v>
      </c>
      <c r="F67" s="88"/>
      <c r="G67" s="88"/>
      <c r="H67" s="88"/>
      <c r="I67" t="str">
        <f>IF($Q67&lt;&gt;"Complete","",IF(AND(ISNUMBER($G67),$G67&gt;=Setup!$B$31),Setup!$B$32,0)+IF(AND($F67&lt;$L67,$L67-$F67&lt;=Setup!$B$33),Setup!$B$34,0))</f>
        <v/>
      </c>
      <c r="J67" t="str">
        <f t="shared" si="0"/>
        <v/>
      </c>
      <c r="K67" t="str">
        <f>IF($S67="","",IFERROR(INDEX(Teams!$D$4:$D$67,MATCH($B67&amp;"-"&amp;$S67,Teams!$E$4:$E$67,0)),""))</f>
        <v>Team C3</v>
      </c>
      <c r="L67" s="88"/>
      <c r="M67" s="88"/>
      <c r="N67" s="88"/>
      <c r="O67" t="str">
        <f>IF($Q67&lt;&gt;"Complete","",IF(AND(ISNUMBER($M67),$M67&gt;=Setup!$B$31),Setup!$B$32,0)+IF(AND($L67&lt;$F67,$F67-$L67&lt;=Setup!$B$33),Setup!$B$34,0))</f>
        <v/>
      </c>
      <c r="P67" t="str">
        <f t="shared" si="1"/>
        <v/>
      </c>
      <c r="Q67" t="str">
        <f t="shared" si="2"/>
        <v>Waiting</v>
      </c>
      <c r="R67">
        <f>IF(OR($B67="",$C67&gt;Setup!$B$15),"",IFERROR(INDEX('Fixture Library'!$E$4:$E$200,MATCH(Setup!$B$6&amp;"-"&amp;$C67,'Fixture Library'!$A$4:$A$200,0)),""))</f>
        <v>4</v>
      </c>
      <c r="S67">
        <f>IF(OR($B67="",$C67&gt;Setup!$B$15),"",IFERROR(INDEX('Fixture Library'!$F$4:$F$200,MATCH(Setup!$B$6&amp;"-"&amp;$C67,'Fixture Library'!$A$4:$A$200,0)),""))</f>
        <v>3</v>
      </c>
      <c r="T67">
        <f t="shared" si="3"/>
        <v>0</v>
      </c>
      <c r="U67">
        <f t="shared" si="4"/>
        <v>0</v>
      </c>
      <c r="V67">
        <f t="shared" si="5"/>
        <v>0</v>
      </c>
    </row>
    <row r="68" spans="1:22">
      <c r="A68">
        <v>65</v>
      </c>
      <c r="B68" t="str">
        <f>IF(INT(($A68-1)/Setup!$B$15)+1&lt;=Setup!$B$5,INDEX(Setup!$B$21:$B$28,INT(($A68-1)/Setup!$B$15)+1),"")</f>
        <v>C</v>
      </c>
      <c r="C68">
        <f>IF($B68="","",MOD($A68-1,Setup!$B$15)+1)</f>
        <v>9</v>
      </c>
      <c r="D68">
        <f>IF(OR($B68="",$C68&gt;Setup!$B$15),"",IFERROR(INDEX('Fixture Library'!$D$4:$D$200,MATCH(Setup!$B$6&amp;"-"&amp;$C68,'Fixture Library'!$A$4:$A$200,0)),""))</f>
        <v>3</v>
      </c>
      <c r="E68" t="str">
        <f>IF($R68="","",IFERROR(INDEX(Teams!$D$4:$D$67,MATCH($B68&amp;"-"&amp;$R68,Teams!$E$4:$E$67,0)),""))</f>
        <v>Team C1</v>
      </c>
      <c r="F68" s="88"/>
      <c r="G68" s="88"/>
      <c r="H68" s="88"/>
      <c r="I68" t="str">
        <f>IF($Q68&lt;&gt;"Complete","",IF(AND(ISNUMBER($G68),$G68&gt;=Setup!$B$31),Setup!$B$32,0)+IF(AND($F68&lt;$L68,$L68-$F68&lt;=Setup!$B$33),Setup!$B$34,0))</f>
        <v/>
      </c>
      <c r="J68" t="str">
        <f t="shared" ref="J68:J131" si="6">IF($Q68&lt;&gt;"Complete","",IF(ISNUMBER($H68),$H68,$I68))</f>
        <v/>
      </c>
      <c r="K68" t="str">
        <f>IF($S68="","",IFERROR(INDEX(Teams!$D$4:$D$67,MATCH($B68&amp;"-"&amp;$S68,Teams!$E$4:$E$67,0)),""))</f>
        <v>Team C6</v>
      </c>
      <c r="L68" s="88"/>
      <c r="M68" s="88"/>
      <c r="N68" s="88"/>
      <c r="O68" t="str">
        <f>IF($Q68&lt;&gt;"Complete","",IF(AND(ISNUMBER($M68),$M68&gt;=Setup!$B$31),Setup!$B$32,0)+IF(AND($L68&lt;$F68,$F68-$L68&lt;=Setup!$B$33),Setup!$B$34,0))</f>
        <v/>
      </c>
      <c r="P68" t="str">
        <f t="shared" ref="P68:P131" si="7">IF($Q68&lt;&gt;"Complete","",IF(ISNUMBER($N68),$N68,$O68))</f>
        <v/>
      </c>
      <c r="Q68" t="str">
        <f t="shared" ref="Q68:Q131" si="8">IF(OR($E68="",$K68=""),"",IF(AND(ISNUMBER($F68),ISNUMBER($L68)),"Complete","Waiting"))</f>
        <v>Waiting</v>
      </c>
      <c r="R68">
        <f>IF(OR($B68="",$C68&gt;Setup!$B$15),"",IFERROR(INDEX('Fixture Library'!$E$4:$E$200,MATCH(Setup!$B$6&amp;"-"&amp;$C68,'Fixture Library'!$A$4:$A$200,0)),""))</f>
        <v>1</v>
      </c>
      <c r="S68">
        <f>IF(OR($B68="",$C68&gt;Setup!$B$15),"",IFERROR(INDEX('Fixture Library'!$F$4:$F$200,MATCH(Setup!$B$6&amp;"-"&amp;$C68,'Fixture Library'!$A$4:$A$200,0)),""))</f>
        <v>6</v>
      </c>
      <c r="T68">
        <f t="shared" ref="T68:T131" si="9">IF($Q68&lt;&gt;"Complete",0,IF($F68&gt;$L68,1,0))</f>
        <v>0</v>
      </c>
      <c r="U68">
        <f t="shared" ref="U68:U131" si="10">IF($Q68&lt;&gt;"Complete",0,IF($L68&gt;$F68,1,0))</f>
        <v>0</v>
      </c>
      <c r="V68">
        <f t="shared" ref="V68:V131" si="11">IF($Q68&lt;&gt;"Complete",0,IF($F68=$L68,1,0))</f>
        <v>0</v>
      </c>
    </row>
    <row r="69" spans="1:22">
      <c r="A69">
        <v>66</v>
      </c>
      <c r="B69" t="str">
        <f>IF(INT(($A69-1)/Setup!$B$15)+1&lt;=Setup!$B$5,INDEX(Setup!$B$21:$B$28,INT(($A69-1)/Setup!$B$15)+1),"")</f>
        <v>C</v>
      </c>
      <c r="C69">
        <f>IF($B69="","",MOD($A69-1,Setup!$B$15)+1)</f>
        <v>10</v>
      </c>
      <c r="D69">
        <f>IF(OR($B69="",$C69&gt;Setup!$B$15),"",IFERROR(INDEX('Fixture Library'!$D$4:$D$200,MATCH(Setup!$B$6&amp;"-"&amp;$C69,'Fixture Library'!$A$4:$A$200,0)),""))</f>
        <v>3</v>
      </c>
      <c r="E69" t="str">
        <f>IF($R69="","",IFERROR(INDEX(Teams!$D$4:$D$67,MATCH($B69&amp;"-"&amp;$R69,Teams!$E$4:$E$67,0)),""))</f>
        <v>Team C7</v>
      </c>
      <c r="F69" s="88"/>
      <c r="G69" s="88"/>
      <c r="H69" s="88"/>
      <c r="I69" t="str">
        <f>IF($Q69&lt;&gt;"Complete","",IF(AND(ISNUMBER($G69),$G69&gt;=Setup!$B$31),Setup!$B$32,0)+IF(AND($F69&lt;$L69,$L69-$F69&lt;=Setup!$B$33),Setup!$B$34,0))</f>
        <v/>
      </c>
      <c r="J69" t="str">
        <f t="shared" si="6"/>
        <v/>
      </c>
      <c r="K69" t="str">
        <f>IF($S69="","",IFERROR(INDEX(Teams!$D$4:$D$67,MATCH($B69&amp;"-"&amp;$S69,Teams!$E$4:$E$67,0)),""))</f>
        <v>Team C5</v>
      </c>
      <c r="L69" s="88"/>
      <c r="M69" s="88"/>
      <c r="N69" s="88"/>
      <c r="O69" t="str">
        <f>IF($Q69&lt;&gt;"Complete","",IF(AND(ISNUMBER($M69),$M69&gt;=Setup!$B$31),Setup!$B$32,0)+IF(AND($L69&lt;$F69,$F69-$L69&lt;=Setup!$B$33),Setup!$B$34,0))</f>
        <v/>
      </c>
      <c r="P69" t="str">
        <f t="shared" si="7"/>
        <v/>
      </c>
      <c r="Q69" t="str">
        <f t="shared" si="8"/>
        <v>Waiting</v>
      </c>
      <c r="R69">
        <f>IF(OR($B69="",$C69&gt;Setup!$B$15),"",IFERROR(INDEX('Fixture Library'!$E$4:$E$200,MATCH(Setup!$B$6&amp;"-"&amp;$C69,'Fixture Library'!$A$4:$A$200,0)),""))</f>
        <v>7</v>
      </c>
      <c r="S69">
        <f>IF(OR($B69="",$C69&gt;Setup!$B$15),"",IFERROR(INDEX('Fixture Library'!$F$4:$F$200,MATCH(Setup!$B$6&amp;"-"&amp;$C69,'Fixture Library'!$A$4:$A$200,0)),""))</f>
        <v>5</v>
      </c>
      <c r="T69">
        <f t="shared" si="9"/>
        <v>0</v>
      </c>
      <c r="U69">
        <f t="shared" si="10"/>
        <v>0</v>
      </c>
      <c r="V69">
        <f t="shared" si="11"/>
        <v>0</v>
      </c>
    </row>
    <row r="70" spans="1:22">
      <c r="A70">
        <v>67</v>
      </c>
      <c r="B70" t="str">
        <f>IF(INT(($A70-1)/Setup!$B$15)+1&lt;=Setup!$B$5,INDEX(Setup!$B$21:$B$28,INT(($A70-1)/Setup!$B$15)+1),"")</f>
        <v>C</v>
      </c>
      <c r="C70">
        <f>IF($B70="","",MOD($A70-1,Setup!$B$15)+1)</f>
        <v>11</v>
      </c>
      <c r="D70">
        <f>IF(OR($B70="",$C70&gt;Setup!$B$15),"",IFERROR(INDEX('Fixture Library'!$D$4:$D$200,MATCH(Setup!$B$6&amp;"-"&amp;$C70,'Fixture Library'!$A$4:$A$200,0)),""))</f>
        <v>3</v>
      </c>
      <c r="E70" t="str">
        <f>IF($R70="","",IFERROR(INDEX(Teams!$D$4:$D$67,MATCH($B70&amp;"-"&amp;$R70,Teams!$E$4:$E$67,0)),""))</f>
        <v>Team C8</v>
      </c>
      <c r="F70" s="88"/>
      <c r="G70" s="88"/>
      <c r="H70" s="88"/>
      <c r="I70" t="str">
        <f>IF($Q70&lt;&gt;"Complete","",IF(AND(ISNUMBER($G70),$G70&gt;=Setup!$B$31),Setup!$B$32,0)+IF(AND($F70&lt;$L70,$L70-$F70&lt;=Setup!$B$33),Setup!$B$34,0))</f>
        <v/>
      </c>
      <c r="J70" t="str">
        <f t="shared" si="6"/>
        <v/>
      </c>
      <c r="K70" t="str">
        <f>IF($S70="","",IFERROR(INDEX(Teams!$D$4:$D$67,MATCH($B70&amp;"-"&amp;$S70,Teams!$E$4:$E$67,0)),""))</f>
        <v>Team C4</v>
      </c>
      <c r="L70" s="88"/>
      <c r="M70" s="88"/>
      <c r="N70" s="88"/>
      <c r="O70" t="str">
        <f>IF($Q70&lt;&gt;"Complete","",IF(AND(ISNUMBER($M70),$M70&gt;=Setup!$B$31),Setup!$B$32,0)+IF(AND($L70&lt;$F70,$F70-$L70&lt;=Setup!$B$33),Setup!$B$34,0))</f>
        <v/>
      </c>
      <c r="P70" t="str">
        <f t="shared" si="7"/>
        <v/>
      </c>
      <c r="Q70" t="str">
        <f t="shared" si="8"/>
        <v>Waiting</v>
      </c>
      <c r="R70">
        <f>IF(OR($B70="",$C70&gt;Setup!$B$15),"",IFERROR(INDEX('Fixture Library'!$E$4:$E$200,MATCH(Setup!$B$6&amp;"-"&amp;$C70,'Fixture Library'!$A$4:$A$200,0)),""))</f>
        <v>8</v>
      </c>
      <c r="S70">
        <f>IF(OR($B70="",$C70&gt;Setup!$B$15),"",IFERROR(INDEX('Fixture Library'!$F$4:$F$200,MATCH(Setup!$B$6&amp;"-"&amp;$C70,'Fixture Library'!$A$4:$A$200,0)),""))</f>
        <v>4</v>
      </c>
      <c r="T70">
        <f t="shared" si="9"/>
        <v>0</v>
      </c>
      <c r="U70">
        <f t="shared" si="10"/>
        <v>0</v>
      </c>
      <c r="V70">
        <f t="shared" si="11"/>
        <v>0</v>
      </c>
    </row>
    <row r="71" spans="1:22">
      <c r="A71">
        <v>68</v>
      </c>
      <c r="B71" t="str">
        <f>IF(INT(($A71-1)/Setup!$B$15)+1&lt;=Setup!$B$5,INDEX(Setup!$B$21:$B$28,INT(($A71-1)/Setup!$B$15)+1),"")</f>
        <v>C</v>
      </c>
      <c r="C71">
        <f>IF($B71="","",MOD($A71-1,Setup!$B$15)+1)</f>
        <v>12</v>
      </c>
      <c r="D71">
        <f>IF(OR($B71="",$C71&gt;Setup!$B$15),"",IFERROR(INDEX('Fixture Library'!$D$4:$D$200,MATCH(Setup!$B$6&amp;"-"&amp;$C71,'Fixture Library'!$A$4:$A$200,0)),""))</f>
        <v>3</v>
      </c>
      <c r="E71" t="str">
        <f>IF($R71="","",IFERROR(INDEX(Teams!$D$4:$D$67,MATCH($B71&amp;"-"&amp;$R71,Teams!$E$4:$E$67,0)),""))</f>
        <v>Team C2</v>
      </c>
      <c r="F71" s="88"/>
      <c r="G71" s="88"/>
      <c r="H71" s="88"/>
      <c r="I71" t="str">
        <f>IF($Q71&lt;&gt;"Complete","",IF(AND(ISNUMBER($G71),$G71&gt;=Setup!$B$31),Setup!$B$32,0)+IF(AND($F71&lt;$L71,$L71-$F71&lt;=Setup!$B$33),Setup!$B$34,0))</f>
        <v/>
      </c>
      <c r="J71" t="str">
        <f t="shared" si="6"/>
        <v/>
      </c>
      <c r="K71" t="str">
        <f>IF($S71="","",IFERROR(INDEX(Teams!$D$4:$D$67,MATCH($B71&amp;"-"&amp;$S71,Teams!$E$4:$E$67,0)),""))</f>
        <v>Team C3</v>
      </c>
      <c r="L71" s="88"/>
      <c r="M71" s="88"/>
      <c r="N71" s="88"/>
      <c r="O71" t="str">
        <f>IF($Q71&lt;&gt;"Complete","",IF(AND(ISNUMBER($M71),$M71&gt;=Setup!$B$31),Setup!$B$32,0)+IF(AND($L71&lt;$F71,$F71-$L71&lt;=Setup!$B$33),Setup!$B$34,0))</f>
        <v/>
      </c>
      <c r="P71" t="str">
        <f t="shared" si="7"/>
        <v/>
      </c>
      <c r="Q71" t="str">
        <f t="shared" si="8"/>
        <v>Waiting</v>
      </c>
      <c r="R71">
        <f>IF(OR($B71="",$C71&gt;Setup!$B$15),"",IFERROR(INDEX('Fixture Library'!$E$4:$E$200,MATCH(Setup!$B$6&amp;"-"&amp;$C71,'Fixture Library'!$A$4:$A$200,0)),""))</f>
        <v>2</v>
      </c>
      <c r="S71">
        <f>IF(OR($B71="",$C71&gt;Setup!$B$15),"",IFERROR(INDEX('Fixture Library'!$F$4:$F$200,MATCH(Setup!$B$6&amp;"-"&amp;$C71,'Fixture Library'!$A$4:$A$200,0)),""))</f>
        <v>3</v>
      </c>
      <c r="T71">
        <f t="shared" si="9"/>
        <v>0</v>
      </c>
      <c r="U71">
        <f t="shared" si="10"/>
        <v>0</v>
      </c>
      <c r="V71">
        <f t="shared" si="11"/>
        <v>0</v>
      </c>
    </row>
    <row r="72" spans="1:22">
      <c r="A72">
        <v>69</v>
      </c>
      <c r="B72" t="str">
        <f>IF(INT(($A72-1)/Setup!$B$15)+1&lt;=Setup!$B$5,INDEX(Setup!$B$21:$B$28,INT(($A72-1)/Setup!$B$15)+1),"")</f>
        <v>C</v>
      </c>
      <c r="C72">
        <f>IF($B72="","",MOD($A72-1,Setup!$B$15)+1)</f>
        <v>13</v>
      </c>
      <c r="D72">
        <f>IF(OR($B72="",$C72&gt;Setup!$B$15),"",IFERROR(INDEX('Fixture Library'!$D$4:$D$200,MATCH(Setup!$B$6&amp;"-"&amp;$C72,'Fixture Library'!$A$4:$A$200,0)),""))</f>
        <v>4</v>
      </c>
      <c r="E72" t="str">
        <f>IF($R72="","",IFERROR(INDEX(Teams!$D$4:$D$67,MATCH($B72&amp;"-"&amp;$R72,Teams!$E$4:$E$67,0)),""))</f>
        <v>Team C5</v>
      </c>
      <c r="F72" s="88"/>
      <c r="G72" s="88"/>
      <c r="H72" s="88"/>
      <c r="I72" t="str">
        <f>IF($Q72&lt;&gt;"Complete","",IF(AND(ISNUMBER($G72),$G72&gt;=Setup!$B$31),Setup!$B$32,0)+IF(AND($F72&lt;$L72,$L72-$F72&lt;=Setup!$B$33),Setup!$B$34,0))</f>
        <v/>
      </c>
      <c r="J72" t="str">
        <f t="shared" si="6"/>
        <v/>
      </c>
      <c r="K72" t="str">
        <f>IF($S72="","",IFERROR(INDEX(Teams!$D$4:$D$67,MATCH($B72&amp;"-"&amp;$S72,Teams!$E$4:$E$67,0)),""))</f>
        <v>Team C1</v>
      </c>
      <c r="L72" s="88"/>
      <c r="M72" s="88"/>
      <c r="N72" s="88"/>
      <c r="O72" t="str">
        <f>IF($Q72&lt;&gt;"Complete","",IF(AND(ISNUMBER($M72),$M72&gt;=Setup!$B$31),Setup!$B$32,0)+IF(AND($L72&lt;$F72,$F72-$L72&lt;=Setup!$B$33),Setup!$B$34,0))</f>
        <v/>
      </c>
      <c r="P72" t="str">
        <f t="shared" si="7"/>
        <v/>
      </c>
      <c r="Q72" t="str">
        <f t="shared" si="8"/>
        <v>Waiting</v>
      </c>
      <c r="R72">
        <f>IF(OR($B72="",$C72&gt;Setup!$B$15),"",IFERROR(INDEX('Fixture Library'!$E$4:$E$200,MATCH(Setup!$B$6&amp;"-"&amp;$C72,'Fixture Library'!$A$4:$A$200,0)),""))</f>
        <v>5</v>
      </c>
      <c r="S72">
        <f>IF(OR($B72="",$C72&gt;Setup!$B$15),"",IFERROR(INDEX('Fixture Library'!$F$4:$F$200,MATCH(Setup!$B$6&amp;"-"&amp;$C72,'Fixture Library'!$A$4:$A$200,0)),""))</f>
        <v>1</v>
      </c>
      <c r="T72">
        <f t="shared" si="9"/>
        <v>0</v>
      </c>
      <c r="U72">
        <f t="shared" si="10"/>
        <v>0</v>
      </c>
      <c r="V72">
        <f t="shared" si="11"/>
        <v>0</v>
      </c>
    </row>
    <row r="73" spans="1:22">
      <c r="A73">
        <v>70</v>
      </c>
      <c r="B73" t="str">
        <f>IF(INT(($A73-1)/Setup!$B$15)+1&lt;=Setup!$B$5,INDEX(Setup!$B$21:$B$28,INT(($A73-1)/Setup!$B$15)+1),"")</f>
        <v>C</v>
      </c>
      <c r="C73">
        <f>IF($B73="","",MOD($A73-1,Setup!$B$15)+1)</f>
        <v>14</v>
      </c>
      <c r="D73">
        <f>IF(OR($B73="",$C73&gt;Setup!$B$15),"",IFERROR(INDEX('Fixture Library'!$D$4:$D$200,MATCH(Setup!$B$6&amp;"-"&amp;$C73,'Fixture Library'!$A$4:$A$200,0)),""))</f>
        <v>4</v>
      </c>
      <c r="E73" t="str">
        <f>IF($R73="","",IFERROR(INDEX(Teams!$D$4:$D$67,MATCH($B73&amp;"-"&amp;$R73,Teams!$E$4:$E$67,0)),""))</f>
        <v>Team C4</v>
      </c>
      <c r="F73" s="88"/>
      <c r="G73" s="88"/>
      <c r="H73" s="88"/>
      <c r="I73" t="str">
        <f>IF($Q73&lt;&gt;"Complete","",IF(AND(ISNUMBER($G73),$G73&gt;=Setup!$B$31),Setup!$B$32,0)+IF(AND($F73&lt;$L73,$L73-$F73&lt;=Setup!$B$33),Setup!$B$34,0))</f>
        <v/>
      </c>
      <c r="J73" t="str">
        <f t="shared" si="6"/>
        <v/>
      </c>
      <c r="K73" t="str">
        <f>IF($S73="","",IFERROR(INDEX(Teams!$D$4:$D$67,MATCH($B73&amp;"-"&amp;$S73,Teams!$E$4:$E$67,0)),""))</f>
        <v>Team C6</v>
      </c>
      <c r="L73" s="88"/>
      <c r="M73" s="88"/>
      <c r="N73" s="88"/>
      <c r="O73" t="str">
        <f>IF($Q73&lt;&gt;"Complete","",IF(AND(ISNUMBER($M73),$M73&gt;=Setup!$B$31),Setup!$B$32,0)+IF(AND($L73&lt;$F73,$F73-$L73&lt;=Setup!$B$33),Setup!$B$34,0))</f>
        <v/>
      </c>
      <c r="P73" t="str">
        <f t="shared" si="7"/>
        <v/>
      </c>
      <c r="Q73" t="str">
        <f t="shared" si="8"/>
        <v>Waiting</v>
      </c>
      <c r="R73">
        <f>IF(OR($B73="",$C73&gt;Setup!$B$15),"",IFERROR(INDEX('Fixture Library'!$E$4:$E$200,MATCH(Setup!$B$6&amp;"-"&amp;$C73,'Fixture Library'!$A$4:$A$200,0)),""))</f>
        <v>4</v>
      </c>
      <c r="S73">
        <f>IF(OR($B73="",$C73&gt;Setup!$B$15),"",IFERROR(INDEX('Fixture Library'!$F$4:$F$200,MATCH(Setup!$B$6&amp;"-"&amp;$C73,'Fixture Library'!$A$4:$A$200,0)),""))</f>
        <v>6</v>
      </c>
      <c r="T73">
        <f t="shared" si="9"/>
        <v>0</v>
      </c>
      <c r="U73">
        <f t="shared" si="10"/>
        <v>0</v>
      </c>
      <c r="V73">
        <f t="shared" si="11"/>
        <v>0</v>
      </c>
    </row>
    <row r="74" spans="1:22">
      <c r="A74">
        <v>71</v>
      </c>
      <c r="B74" t="str">
        <f>IF(INT(($A74-1)/Setup!$B$15)+1&lt;=Setup!$B$5,INDEX(Setup!$B$21:$B$28,INT(($A74-1)/Setup!$B$15)+1),"")</f>
        <v>C</v>
      </c>
      <c r="C74">
        <f>IF($B74="","",MOD($A74-1,Setup!$B$15)+1)</f>
        <v>15</v>
      </c>
      <c r="D74">
        <f>IF(OR($B74="",$C74&gt;Setup!$B$15),"",IFERROR(INDEX('Fixture Library'!$D$4:$D$200,MATCH(Setup!$B$6&amp;"-"&amp;$C74,'Fixture Library'!$A$4:$A$200,0)),""))</f>
        <v>4</v>
      </c>
      <c r="E74" t="str">
        <f>IF($R74="","",IFERROR(INDEX(Teams!$D$4:$D$67,MATCH($B74&amp;"-"&amp;$R74,Teams!$E$4:$E$67,0)),""))</f>
        <v>Team C3</v>
      </c>
      <c r="F74" s="88"/>
      <c r="G74" s="88"/>
      <c r="H74" s="88"/>
      <c r="I74" t="str">
        <f>IF($Q74&lt;&gt;"Complete","",IF(AND(ISNUMBER($G74),$G74&gt;=Setup!$B$31),Setup!$B$32,0)+IF(AND($F74&lt;$L74,$L74-$F74&lt;=Setup!$B$33),Setup!$B$34,0))</f>
        <v/>
      </c>
      <c r="J74" t="str">
        <f t="shared" si="6"/>
        <v/>
      </c>
      <c r="K74" t="str">
        <f>IF($S74="","",IFERROR(INDEX(Teams!$D$4:$D$67,MATCH($B74&amp;"-"&amp;$S74,Teams!$E$4:$E$67,0)),""))</f>
        <v>Team C7</v>
      </c>
      <c r="L74" s="88"/>
      <c r="M74" s="88"/>
      <c r="N74" s="88"/>
      <c r="O74" t="str">
        <f>IF($Q74&lt;&gt;"Complete","",IF(AND(ISNUMBER($M74),$M74&gt;=Setup!$B$31),Setup!$B$32,0)+IF(AND($L74&lt;$F74,$F74-$L74&lt;=Setup!$B$33),Setup!$B$34,0))</f>
        <v/>
      </c>
      <c r="P74" t="str">
        <f t="shared" si="7"/>
        <v/>
      </c>
      <c r="Q74" t="str">
        <f t="shared" si="8"/>
        <v>Waiting</v>
      </c>
      <c r="R74">
        <f>IF(OR($B74="",$C74&gt;Setup!$B$15),"",IFERROR(INDEX('Fixture Library'!$E$4:$E$200,MATCH(Setup!$B$6&amp;"-"&amp;$C74,'Fixture Library'!$A$4:$A$200,0)),""))</f>
        <v>3</v>
      </c>
      <c r="S74">
        <f>IF(OR($B74="",$C74&gt;Setup!$B$15),"",IFERROR(INDEX('Fixture Library'!$F$4:$F$200,MATCH(Setup!$B$6&amp;"-"&amp;$C74,'Fixture Library'!$A$4:$A$200,0)),""))</f>
        <v>7</v>
      </c>
      <c r="T74">
        <f t="shared" si="9"/>
        <v>0</v>
      </c>
      <c r="U74">
        <f t="shared" si="10"/>
        <v>0</v>
      </c>
      <c r="V74">
        <f t="shared" si="11"/>
        <v>0</v>
      </c>
    </row>
    <row r="75" spans="1:22">
      <c r="A75">
        <v>72</v>
      </c>
      <c r="B75" t="str">
        <f>IF(INT(($A75-1)/Setup!$B$15)+1&lt;=Setup!$B$5,INDEX(Setup!$B$21:$B$28,INT(($A75-1)/Setup!$B$15)+1),"")</f>
        <v>C</v>
      </c>
      <c r="C75">
        <f>IF($B75="","",MOD($A75-1,Setup!$B$15)+1)</f>
        <v>16</v>
      </c>
      <c r="D75">
        <f>IF(OR($B75="",$C75&gt;Setup!$B$15),"",IFERROR(INDEX('Fixture Library'!$D$4:$D$200,MATCH(Setup!$B$6&amp;"-"&amp;$C75,'Fixture Library'!$A$4:$A$200,0)),""))</f>
        <v>4</v>
      </c>
      <c r="E75" t="str">
        <f>IF($R75="","",IFERROR(INDEX(Teams!$D$4:$D$67,MATCH($B75&amp;"-"&amp;$R75,Teams!$E$4:$E$67,0)),""))</f>
        <v>Team C2</v>
      </c>
      <c r="F75" s="88"/>
      <c r="G75" s="88"/>
      <c r="H75" s="88"/>
      <c r="I75" t="str">
        <f>IF($Q75&lt;&gt;"Complete","",IF(AND(ISNUMBER($G75),$G75&gt;=Setup!$B$31),Setup!$B$32,0)+IF(AND($F75&lt;$L75,$L75-$F75&lt;=Setup!$B$33),Setup!$B$34,0))</f>
        <v/>
      </c>
      <c r="J75" t="str">
        <f t="shared" si="6"/>
        <v/>
      </c>
      <c r="K75" t="str">
        <f>IF($S75="","",IFERROR(INDEX(Teams!$D$4:$D$67,MATCH($B75&amp;"-"&amp;$S75,Teams!$E$4:$E$67,0)),""))</f>
        <v>Team C8</v>
      </c>
      <c r="L75" s="88"/>
      <c r="M75" s="88"/>
      <c r="N75" s="88"/>
      <c r="O75" t="str">
        <f>IF($Q75&lt;&gt;"Complete","",IF(AND(ISNUMBER($M75),$M75&gt;=Setup!$B$31),Setup!$B$32,0)+IF(AND($L75&lt;$F75,$F75-$L75&lt;=Setup!$B$33),Setup!$B$34,0))</f>
        <v/>
      </c>
      <c r="P75" t="str">
        <f t="shared" si="7"/>
        <v/>
      </c>
      <c r="Q75" t="str">
        <f t="shared" si="8"/>
        <v>Waiting</v>
      </c>
      <c r="R75">
        <f>IF(OR($B75="",$C75&gt;Setup!$B$15),"",IFERROR(INDEX('Fixture Library'!$E$4:$E$200,MATCH(Setup!$B$6&amp;"-"&amp;$C75,'Fixture Library'!$A$4:$A$200,0)),""))</f>
        <v>2</v>
      </c>
      <c r="S75">
        <f>IF(OR($B75="",$C75&gt;Setup!$B$15),"",IFERROR(INDEX('Fixture Library'!$F$4:$F$200,MATCH(Setup!$B$6&amp;"-"&amp;$C75,'Fixture Library'!$A$4:$A$200,0)),""))</f>
        <v>8</v>
      </c>
      <c r="T75">
        <f t="shared" si="9"/>
        <v>0</v>
      </c>
      <c r="U75">
        <f t="shared" si="10"/>
        <v>0</v>
      </c>
      <c r="V75">
        <f t="shared" si="11"/>
        <v>0</v>
      </c>
    </row>
    <row r="76" spans="1:22">
      <c r="A76">
        <v>73</v>
      </c>
      <c r="B76" t="str">
        <f>IF(INT(($A76-1)/Setup!$B$15)+1&lt;=Setup!$B$5,INDEX(Setup!$B$21:$B$28,INT(($A76-1)/Setup!$B$15)+1),"")</f>
        <v>C</v>
      </c>
      <c r="C76">
        <f>IF($B76="","",MOD($A76-1,Setup!$B$15)+1)</f>
        <v>17</v>
      </c>
      <c r="D76">
        <f>IF(OR($B76="",$C76&gt;Setup!$B$15),"",IFERROR(INDEX('Fixture Library'!$D$4:$D$200,MATCH(Setup!$B$6&amp;"-"&amp;$C76,'Fixture Library'!$A$4:$A$200,0)),""))</f>
        <v>5</v>
      </c>
      <c r="E76" t="str">
        <f>IF($R76="","",IFERROR(INDEX(Teams!$D$4:$D$67,MATCH($B76&amp;"-"&amp;$R76,Teams!$E$4:$E$67,0)),""))</f>
        <v>Team C1</v>
      </c>
      <c r="F76" s="88"/>
      <c r="G76" s="88"/>
      <c r="H76" s="88"/>
      <c r="I76" t="str">
        <f>IF($Q76&lt;&gt;"Complete","",IF(AND(ISNUMBER($G76),$G76&gt;=Setup!$B$31),Setup!$B$32,0)+IF(AND($F76&lt;$L76,$L76-$F76&lt;=Setup!$B$33),Setup!$B$34,0))</f>
        <v/>
      </c>
      <c r="J76" t="str">
        <f t="shared" si="6"/>
        <v/>
      </c>
      <c r="K76" t="str">
        <f>IF($S76="","",IFERROR(INDEX(Teams!$D$4:$D$67,MATCH($B76&amp;"-"&amp;$S76,Teams!$E$4:$E$67,0)),""))</f>
        <v>Team C4</v>
      </c>
      <c r="L76" s="88"/>
      <c r="M76" s="88"/>
      <c r="N76" s="88"/>
      <c r="O76" t="str">
        <f>IF($Q76&lt;&gt;"Complete","",IF(AND(ISNUMBER($M76),$M76&gt;=Setup!$B$31),Setup!$B$32,0)+IF(AND($L76&lt;$F76,$F76-$L76&lt;=Setup!$B$33),Setup!$B$34,0))</f>
        <v/>
      </c>
      <c r="P76" t="str">
        <f t="shared" si="7"/>
        <v/>
      </c>
      <c r="Q76" t="str">
        <f t="shared" si="8"/>
        <v>Waiting</v>
      </c>
      <c r="R76">
        <f>IF(OR($B76="",$C76&gt;Setup!$B$15),"",IFERROR(INDEX('Fixture Library'!$E$4:$E$200,MATCH(Setup!$B$6&amp;"-"&amp;$C76,'Fixture Library'!$A$4:$A$200,0)),""))</f>
        <v>1</v>
      </c>
      <c r="S76">
        <f>IF(OR($B76="",$C76&gt;Setup!$B$15),"",IFERROR(INDEX('Fixture Library'!$F$4:$F$200,MATCH(Setup!$B$6&amp;"-"&amp;$C76,'Fixture Library'!$A$4:$A$200,0)),""))</f>
        <v>4</v>
      </c>
      <c r="T76">
        <f t="shared" si="9"/>
        <v>0</v>
      </c>
      <c r="U76">
        <f t="shared" si="10"/>
        <v>0</v>
      </c>
      <c r="V76">
        <f t="shared" si="11"/>
        <v>0</v>
      </c>
    </row>
    <row r="77" spans="1:22">
      <c r="A77">
        <v>74</v>
      </c>
      <c r="B77" t="str">
        <f>IF(INT(($A77-1)/Setup!$B$15)+1&lt;=Setup!$B$5,INDEX(Setup!$B$21:$B$28,INT(($A77-1)/Setup!$B$15)+1),"")</f>
        <v>C</v>
      </c>
      <c r="C77">
        <f>IF($B77="","",MOD($A77-1,Setup!$B$15)+1)</f>
        <v>18</v>
      </c>
      <c r="D77">
        <f>IF(OR($B77="",$C77&gt;Setup!$B$15),"",IFERROR(INDEX('Fixture Library'!$D$4:$D$200,MATCH(Setup!$B$6&amp;"-"&amp;$C77,'Fixture Library'!$A$4:$A$200,0)),""))</f>
        <v>5</v>
      </c>
      <c r="E77" t="str">
        <f>IF($R77="","",IFERROR(INDEX(Teams!$D$4:$D$67,MATCH($B77&amp;"-"&amp;$R77,Teams!$E$4:$E$67,0)),""))</f>
        <v>Team C5</v>
      </c>
      <c r="F77" s="88"/>
      <c r="G77" s="88"/>
      <c r="H77" s="88"/>
      <c r="I77" t="str">
        <f>IF($Q77&lt;&gt;"Complete","",IF(AND(ISNUMBER($G77),$G77&gt;=Setup!$B$31),Setup!$B$32,0)+IF(AND($F77&lt;$L77,$L77-$F77&lt;=Setup!$B$33),Setup!$B$34,0))</f>
        <v/>
      </c>
      <c r="J77" t="str">
        <f t="shared" si="6"/>
        <v/>
      </c>
      <c r="K77" t="str">
        <f>IF($S77="","",IFERROR(INDEX(Teams!$D$4:$D$67,MATCH($B77&amp;"-"&amp;$S77,Teams!$E$4:$E$67,0)),""))</f>
        <v>Team C3</v>
      </c>
      <c r="L77" s="88"/>
      <c r="M77" s="88"/>
      <c r="N77" s="88"/>
      <c r="O77" t="str">
        <f>IF($Q77&lt;&gt;"Complete","",IF(AND(ISNUMBER($M77),$M77&gt;=Setup!$B$31),Setup!$B$32,0)+IF(AND($L77&lt;$F77,$F77-$L77&lt;=Setup!$B$33),Setup!$B$34,0))</f>
        <v/>
      </c>
      <c r="P77" t="str">
        <f t="shared" si="7"/>
        <v/>
      </c>
      <c r="Q77" t="str">
        <f t="shared" si="8"/>
        <v>Waiting</v>
      </c>
      <c r="R77">
        <f>IF(OR($B77="",$C77&gt;Setup!$B$15),"",IFERROR(INDEX('Fixture Library'!$E$4:$E$200,MATCH(Setup!$B$6&amp;"-"&amp;$C77,'Fixture Library'!$A$4:$A$200,0)),""))</f>
        <v>5</v>
      </c>
      <c r="S77">
        <f>IF(OR($B77="",$C77&gt;Setup!$B$15),"",IFERROR(INDEX('Fixture Library'!$F$4:$F$200,MATCH(Setup!$B$6&amp;"-"&amp;$C77,'Fixture Library'!$A$4:$A$200,0)),""))</f>
        <v>3</v>
      </c>
      <c r="T77">
        <f t="shared" si="9"/>
        <v>0</v>
      </c>
      <c r="U77">
        <f t="shared" si="10"/>
        <v>0</v>
      </c>
      <c r="V77">
        <f t="shared" si="11"/>
        <v>0</v>
      </c>
    </row>
    <row r="78" spans="1:22">
      <c r="A78">
        <v>75</v>
      </c>
      <c r="B78" t="str">
        <f>IF(INT(($A78-1)/Setup!$B$15)+1&lt;=Setup!$B$5,INDEX(Setup!$B$21:$B$28,INT(($A78-1)/Setup!$B$15)+1),"")</f>
        <v>C</v>
      </c>
      <c r="C78">
        <f>IF($B78="","",MOD($A78-1,Setup!$B$15)+1)</f>
        <v>19</v>
      </c>
      <c r="D78">
        <f>IF(OR($B78="",$C78&gt;Setup!$B$15),"",IFERROR(INDEX('Fixture Library'!$D$4:$D$200,MATCH(Setup!$B$6&amp;"-"&amp;$C78,'Fixture Library'!$A$4:$A$200,0)),""))</f>
        <v>5</v>
      </c>
      <c r="E78" t="str">
        <f>IF($R78="","",IFERROR(INDEX(Teams!$D$4:$D$67,MATCH($B78&amp;"-"&amp;$R78,Teams!$E$4:$E$67,0)),""))</f>
        <v>Team C6</v>
      </c>
      <c r="F78" s="88"/>
      <c r="G78" s="88"/>
      <c r="H78" s="88"/>
      <c r="I78" t="str">
        <f>IF($Q78&lt;&gt;"Complete","",IF(AND(ISNUMBER($G78),$G78&gt;=Setup!$B$31),Setup!$B$32,0)+IF(AND($F78&lt;$L78,$L78-$F78&lt;=Setup!$B$33),Setup!$B$34,0))</f>
        <v/>
      </c>
      <c r="J78" t="str">
        <f t="shared" si="6"/>
        <v/>
      </c>
      <c r="K78" t="str">
        <f>IF($S78="","",IFERROR(INDEX(Teams!$D$4:$D$67,MATCH($B78&amp;"-"&amp;$S78,Teams!$E$4:$E$67,0)),""))</f>
        <v>Team C2</v>
      </c>
      <c r="L78" s="88"/>
      <c r="M78" s="88"/>
      <c r="N78" s="88"/>
      <c r="O78" t="str">
        <f>IF($Q78&lt;&gt;"Complete","",IF(AND(ISNUMBER($M78),$M78&gt;=Setup!$B$31),Setup!$B$32,0)+IF(AND($L78&lt;$F78,$F78-$L78&lt;=Setup!$B$33),Setup!$B$34,0))</f>
        <v/>
      </c>
      <c r="P78" t="str">
        <f t="shared" si="7"/>
        <v/>
      </c>
      <c r="Q78" t="str">
        <f t="shared" si="8"/>
        <v>Waiting</v>
      </c>
      <c r="R78">
        <f>IF(OR($B78="",$C78&gt;Setup!$B$15),"",IFERROR(INDEX('Fixture Library'!$E$4:$E$200,MATCH(Setup!$B$6&amp;"-"&amp;$C78,'Fixture Library'!$A$4:$A$200,0)),""))</f>
        <v>6</v>
      </c>
      <c r="S78">
        <f>IF(OR($B78="",$C78&gt;Setup!$B$15),"",IFERROR(INDEX('Fixture Library'!$F$4:$F$200,MATCH(Setup!$B$6&amp;"-"&amp;$C78,'Fixture Library'!$A$4:$A$200,0)),""))</f>
        <v>2</v>
      </c>
      <c r="T78">
        <f t="shared" si="9"/>
        <v>0</v>
      </c>
      <c r="U78">
        <f t="shared" si="10"/>
        <v>0</v>
      </c>
      <c r="V78">
        <f t="shared" si="11"/>
        <v>0</v>
      </c>
    </row>
    <row r="79" spans="1:22">
      <c r="A79">
        <v>76</v>
      </c>
      <c r="B79" t="str">
        <f>IF(INT(($A79-1)/Setup!$B$15)+1&lt;=Setup!$B$5,INDEX(Setup!$B$21:$B$28,INT(($A79-1)/Setup!$B$15)+1),"")</f>
        <v>C</v>
      </c>
      <c r="C79">
        <f>IF($B79="","",MOD($A79-1,Setup!$B$15)+1)</f>
        <v>20</v>
      </c>
      <c r="D79">
        <f>IF(OR($B79="",$C79&gt;Setup!$B$15),"",IFERROR(INDEX('Fixture Library'!$D$4:$D$200,MATCH(Setup!$B$6&amp;"-"&amp;$C79,'Fixture Library'!$A$4:$A$200,0)),""))</f>
        <v>5</v>
      </c>
      <c r="E79" t="str">
        <f>IF($R79="","",IFERROR(INDEX(Teams!$D$4:$D$67,MATCH($B79&amp;"-"&amp;$R79,Teams!$E$4:$E$67,0)),""))</f>
        <v>Team C7</v>
      </c>
      <c r="F79" s="88"/>
      <c r="G79" s="88"/>
      <c r="H79" s="88"/>
      <c r="I79" t="str">
        <f>IF($Q79&lt;&gt;"Complete","",IF(AND(ISNUMBER($G79),$G79&gt;=Setup!$B$31),Setup!$B$32,0)+IF(AND($F79&lt;$L79,$L79-$F79&lt;=Setup!$B$33),Setup!$B$34,0))</f>
        <v/>
      </c>
      <c r="J79" t="str">
        <f t="shared" si="6"/>
        <v/>
      </c>
      <c r="K79" t="str">
        <f>IF($S79="","",IFERROR(INDEX(Teams!$D$4:$D$67,MATCH($B79&amp;"-"&amp;$S79,Teams!$E$4:$E$67,0)),""))</f>
        <v>Team C8</v>
      </c>
      <c r="L79" s="88"/>
      <c r="M79" s="88"/>
      <c r="N79" s="88"/>
      <c r="O79" t="str">
        <f>IF($Q79&lt;&gt;"Complete","",IF(AND(ISNUMBER($M79),$M79&gt;=Setup!$B$31),Setup!$B$32,0)+IF(AND($L79&lt;$F79,$F79-$L79&lt;=Setup!$B$33),Setup!$B$34,0))</f>
        <v/>
      </c>
      <c r="P79" t="str">
        <f t="shared" si="7"/>
        <v/>
      </c>
      <c r="Q79" t="str">
        <f t="shared" si="8"/>
        <v>Waiting</v>
      </c>
      <c r="R79">
        <f>IF(OR($B79="",$C79&gt;Setup!$B$15),"",IFERROR(INDEX('Fixture Library'!$E$4:$E$200,MATCH(Setup!$B$6&amp;"-"&amp;$C79,'Fixture Library'!$A$4:$A$200,0)),""))</f>
        <v>7</v>
      </c>
      <c r="S79">
        <f>IF(OR($B79="",$C79&gt;Setup!$B$15),"",IFERROR(INDEX('Fixture Library'!$F$4:$F$200,MATCH(Setup!$B$6&amp;"-"&amp;$C79,'Fixture Library'!$A$4:$A$200,0)),""))</f>
        <v>8</v>
      </c>
      <c r="T79">
        <f t="shared" si="9"/>
        <v>0</v>
      </c>
      <c r="U79">
        <f t="shared" si="10"/>
        <v>0</v>
      </c>
      <c r="V79">
        <f t="shared" si="11"/>
        <v>0</v>
      </c>
    </row>
    <row r="80" spans="1:22">
      <c r="A80">
        <v>77</v>
      </c>
      <c r="B80" t="str">
        <f>IF(INT(($A80-1)/Setup!$B$15)+1&lt;=Setup!$B$5,INDEX(Setup!$B$21:$B$28,INT(($A80-1)/Setup!$B$15)+1),"")</f>
        <v>C</v>
      </c>
      <c r="C80">
        <f>IF($B80="","",MOD($A80-1,Setup!$B$15)+1)</f>
        <v>21</v>
      </c>
      <c r="D80">
        <f>IF(OR($B80="",$C80&gt;Setup!$B$15),"",IFERROR(INDEX('Fixture Library'!$D$4:$D$200,MATCH(Setup!$B$6&amp;"-"&amp;$C80,'Fixture Library'!$A$4:$A$200,0)),""))</f>
        <v>6</v>
      </c>
      <c r="E80" t="str">
        <f>IF($R80="","",IFERROR(INDEX(Teams!$D$4:$D$67,MATCH($B80&amp;"-"&amp;$R80,Teams!$E$4:$E$67,0)),""))</f>
        <v>Team C3</v>
      </c>
      <c r="F80" s="88"/>
      <c r="G80" s="88"/>
      <c r="H80" s="88"/>
      <c r="I80" t="str">
        <f>IF($Q80&lt;&gt;"Complete","",IF(AND(ISNUMBER($G80),$G80&gt;=Setup!$B$31),Setup!$B$32,0)+IF(AND($F80&lt;$L80,$L80-$F80&lt;=Setup!$B$33),Setup!$B$34,0))</f>
        <v/>
      </c>
      <c r="J80" t="str">
        <f t="shared" si="6"/>
        <v/>
      </c>
      <c r="K80" t="str">
        <f>IF($S80="","",IFERROR(INDEX(Teams!$D$4:$D$67,MATCH($B80&amp;"-"&amp;$S80,Teams!$E$4:$E$67,0)),""))</f>
        <v>Team C1</v>
      </c>
      <c r="L80" s="88"/>
      <c r="M80" s="88"/>
      <c r="N80" s="88"/>
      <c r="O80" t="str">
        <f>IF($Q80&lt;&gt;"Complete","",IF(AND(ISNUMBER($M80),$M80&gt;=Setup!$B$31),Setup!$B$32,0)+IF(AND($L80&lt;$F80,$F80-$L80&lt;=Setup!$B$33),Setup!$B$34,0))</f>
        <v/>
      </c>
      <c r="P80" t="str">
        <f t="shared" si="7"/>
        <v/>
      </c>
      <c r="Q80" t="str">
        <f t="shared" si="8"/>
        <v>Waiting</v>
      </c>
      <c r="R80">
        <f>IF(OR($B80="",$C80&gt;Setup!$B$15),"",IFERROR(INDEX('Fixture Library'!$E$4:$E$200,MATCH(Setup!$B$6&amp;"-"&amp;$C80,'Fixture Library'!$A$4:$A$200,0)),""))</f>
        <v>3</v>
      </c>
      <c r="S80">
        <f>IF(OR($B80="",$C80&gt;Setup!$B$15),"",IFERROR(INDEX('Fixture Library'!$F$4:$F$200,MATCH(Setup!$B$6&amp;"-"&amp;$C80,'Fixture Library'!$A$4:$A$200,0)),""))</f>
        <v>1</v>
      </c>
      <c r="T80">
        <f t="shared" si="9"/>
        <v>0</v>
      </c>
      <c r="U80">
        <f t="shared" si="10"/>
        <v>0</v>
      </c>
      <c r="V80">
        <f t="shared" si="11"/>
        <v>0</v>
      </c>
    </row>
    <row r="81" spans="1:22">
      <c r="A81">
        <v>78</v>
      </c>
      <c r="B81" t="str">
        <f>IF(INT(($A81-1)/Setup!$B$15)+1&lt;=Setup!$B$5,INDEX(Setup!$B$21:$B$28,INT(($A81-1)/Setup!$B$15)+1),"")</f>
        <v>C</v>
      </c>
      <c r="C81">
        <f>IF($B81="","",MOD($A81-1,Setup!$B$15)+1)</f>
        <v>22</v>
      </c>
      <c r="D81">
        <f>IF(OR($B81="",$C81&gt;Setup!$B$15),"",IFERROR(INDEX('Fixture Library'!$D$4:$D$200,MATCH(Setup!$B$6&amp;"-"&amp;$C81,'Fixture Library'!$A$4:$A$200,0)),""))</f>
        <v>6</v>
      </c>
      <c r="E81" t="str">
        <f>IF($R81="","",IFERROR(INDEX(Teams!$D$4:$D$67,MATCH($B81&amp;"-"&amp;$R81,Teams!$E$4:$E$67,0)),""))</f>
        <v>Team C2</v>
      </c>
      <c r="F81" s="88"/>
      <c r="G81" s="88"/>
      <c r="H81" s="88"/>
      <c r="I81" t="str">
        <f>IF($Q81&lt;&gt;"Complete","",IF(AND(ISNUMBER($G81),$G81&gt;=Setup!$B$31),Setup!$B$32,0)+IF(AND($F81&lt;$L81,$L81-$F81&lt;=Setup!$B$33),Setup!$B$34,0))</f>
        <v/>
      </c>
      <c r="J81" t="str">
        <f t="shared" si="6"/>
        <v/>
      </c>
      <c r="K81" t="str">
        <f>IF($S81="","",IFERROR(INDEX(Teams!$D$4:$D$67,MATCH($B81&amp;"-"&amp;$S81,Teams!$E$4:$E$67,0)),""))</f>
        <v>Team C4</v>
      </c>
      <c r="L81" s="88"/>
      <c r="M81" s="88"/>
      <c r="N81" s="88"/>
      <c r="O81" t="str">
        <f>IF($Q81&lt;&gt;"Complete","",IF(AND(ISNUMBER($M81),$M81&gt;=Setup!$B$31),Setup!$B$32,0)+IF(AND($L81&lt;$F81,$F81-$L81&lt;=Setup!$B$33),Setup!$B$34,0))</f>
        <v/>
      </c>
      <c r="P81" t="str">
        <f t="shared" si="7"/>
        <v/>
      </c>
      <c r="Q81" t="str">
        <f t="shared" si="8"/>
        <v>Waiting</v>
      </c>
      <c r="R81">
        <f>IF(OR($B81="",$C81&gt;Setup!$B$15),"",IFERROR(INDEX('Fixture Library'!$E$4:$E$200,MATCH(Setup!$B$6&amp;"-"&amp;$C81,'Fixture Library'!$A$4:$A$200,0)),""))</f>
        <v>2</v>
      </c>
      <c r="S81">
        <f>IF(OR($B81="",$C81&gt;Setup!$B$15),"",IFERROR(INDEX('Fixture Library'!$F$4:$F$200,MATCH(Setup!$B$6&amp;"-"&amp;$C81,'Fixture Library'!$A$4:$A$200,0)),""))</f>
        <v>4</v>
      </c>
      <c r="T81">
        <f t="shared" si="9"/>
        <v>0</v>
      </c>
      <c r="U81">
        <f t="shared" si="10"/>
        <v>0</v>
      </c>
      <c r="V81">
        <f t="shared" si="11"/>
        <v>0</v>
      </c>
    </row>
    <row r="82" spans="1:22">
      <c r="A82">
        <v>79</v>
      </c>
      <c r="B82" t="str">
        <f>IF(INT(($A82-1)/Setup!$B$15)+1&lt;=Setup!$B$5,INDEX(Setup!$B$21:$B$28,INT(($A82-1)/Setup!$B$15)+1),"")</f>
        <v>C</v>
      </c>
      <c r="C82">
        <f>IF($B82="","",MOD($A82-1,Setup!$B$15)+1)</f>
        <v>23</v>
      </c>
      <c r="D82">
        <f>IF(OR($B82="",$C82&gt;Setup!$B$15),"",IFERROR(INDEX('Fixture Library'!$D$4:$D$200,MATCH(Setup!$B$6&amp;"-"&amp;$C82,'Fixture Library'!$A$4:$A$200,0)),""))</f>
        <v>6</v>
      </c>
      <c r="E82" t="str">
        <f>IF($R82="","",IFERROR(INDEX(Teams!$D$4:$D$67,MATCH($B82&amp;"-"&amp;$R82,Teams!$E$4:$E$67,0)),""))</f>
        <v>Team C8</v>
      </c>
      <c r="F82" s="88"/>
      <c r="G82" s="88"/>
      <c r="H82" s="88"/>
      <c r="I82" t="str">
        <f>IF($Q82&lt;&gt;"Complete","",IF(AND(ISNUMBER($G82),$G82&gt;=Setup!$B$31),Setup!$B$32,0)+IF(AND($F82&lt;$L82,$L82-$F82&lt;=Setup!$B$33),Setup!$B$34,0))</f>
        <v/>
      </c>
      <c r="J82" t="str">
        <f t="shared" si="6"/>
        <v/>
      </c>
      <c r="K82" t="str">
        <f>IF($S82="","",IFERROR(INDEX(Teams!$D$4:$D$67,MATCH($B82&amp;"-"&amp;$S82,Teams!$E$4:$E$67,0)),""))</f>
        <v>Team C5</v>
      </c>
      <c r="L82" s="88"/>
      <c r="M82" s="88"/>
      <c r="N82" s="88"/>
      <c r="O82" t="str">
        <f>IF($Q82&lt;&gt;"Complete","",IF(AND(ISNUMBER($M82),$M82&gt;=Setup!$B$31),Setup!$B$32,0)+IF(AND($L82&lt;$F82,$F82-$L82&lt;=Setup!$B$33),Setup!$B$34,0))</f>
        <v/>
      </c>
      <c r="P82" t="str">
        <f t="shared" si="7"/>
        <v/>
      </c>
      <c r="Q82" t="str">
        <f t="shared" si="8"/>
        <v>Waiting</v>
      </c>
      <c r="R82">
        <f>IF(OR($B82="",$C82&gt;Setup!$B$15),"",IFERROR(INDEX('Fixture Library'!$E$4:$E$200,MATCH(Setup!$B$6&amp;"-"&amp;$C82,'Fixture Library'!$A$4:$A$200,0)),""))</f>
        <v>8</v>
      </c>
      <c r="S82">
        <f>IF(OR($B82="",$C82&gt;Setup!$B$15),"",IFERROR(INDEX('Fixture Library'!$F$4:$F$200,MATCH(Setup!$B$6&amp;"-"&amp;$C82,'Fixture Library'!$A$4:$A$200,0)),""))</f>
        <v>5</v>
      </c>
      <c r="T82">
        <f t="shared" si="9"/>
        <v>0</v>
      </c>
      <c r="U82">
        <f t="shared" si="10"/>
        <v>0</v>
      </c>
      <c r="V82">
        <f t="shared" si="11"/>
        <v>0</v>
      </c>
    </row>
    <row r="83" spans="1:22">
      <c r="A83">
        <v>80</v>
      </c>
      <c r="B83" t="str">
        <f>IF(INT(($A83-1)/Setup!$B$15)+1&lt;=Setup!$B$5,INDEX(Setup!$B$21:$B$28,INT(($A83-1)/Setup!$B$15)+1),"")</f>
        <v>C</v>
      </c>
      <c r="C83">
        <f>IF($B83="","",MOD($A83-1,Setup!$B$15)+1)</f>
        <v>24</v>
      </c>
      <c r="D83">
        <f>IF(OR($B83="",$C83&gt;Setup!$B$15),"",IFERROR(INDEX('Fixture Library'!$D$4:$D$200,MATCH(Setup!$B$6&amp;"-"&amp;$C83,'Fixture Library'!$A$4:$A$200,0)),""))</f>
        <v>6</v>
      </c>
      <c r="E83" t="str">
        <f>IF($R83="","",IFERROR(INDEX(Teams!$D$4:$D$67,MATCH($B83&amp;"-"&amp;$R83,Teams!$E$4:$E$67,0)),""))</f>
        <v>Team C7</v>
      </c>
      <c r="F83" s="88"/>
      <c r="G83" s="88"/>
      <c r="H83" s="88"/>
      <c r="I83" t="str">
        <f>IF($Q83&lt;&gt;"Complete","",IF(AND(ISNUMBER($G83),$G83&gt;=Setup!$B$31),Setup!$B$32,0)+IF(AND($F83&lt;$L83,$L83-$F83&lt;=Setup!$B$33),Setup!$B$34,0))</f>
        <v/>
      </c>
      <c r="J83" t="str">
        <f t="shared" si="6"/>
        <v/>
      </c>
      <c r="K83" t="str">
        <f>IF($S83="","",IFERROR(INDEX(Teams!$D$4:$D$67,MATCH($B83&amp;"-"&amp;$S83,Teams!$E$4:$E$67,0)),""))</f>
        <v>Team C6</v>
      </c>
      <c r="L83" s="88"/>
      <c r="M83" s="88"/>
      <c r="N83" s="88"/>
      <c r="O83" t="str">
        <f>IF($Q83&lt;&gt;"Complete","",IF(AND(ISNUMBER($M83),$M83&gt;=Setup!$B$31),Setup!$B$32,0)+IF(AND($L83&lt;$F83,$F83-$L83&lt;=Setup!$B$33),Setup!$B$34,0))</f>
        <v/>
      </c>
      <c r="P83" t="str">
        <f t="shared" si="7"/>
        <v/>
      </c>
      <c r="Q83" t="str">
        <f t="shared" si="8"/>
        <v>Waiting</v>
      </c>
      <c r="R83">
        <f>IF(OR($B83="",$C83&gt;Setup!$B$15),"",IFERROR(INDEX('Fixture Library'!$E$4:$E$200,MATCH(Setup!$B$6&amp;"-"&amp;$C83,'Fixture Library'!$A$4:$A$200,0)),""))</f>
        <v>7</v>
      </c>
      <c r="S83">
        <f>IF(OR($B83="",$C83&gt;Setup!$B$15),"",IFERROR(INDEX('Fixture Library'!$F$4:$F$200,MATCH(Setup!$B$6&amp;"-"&amp;$C83,'Fixture Library'!$A$4:$A$200,0)),""))</f>
        <v>6</v>
      </c>
      <c r="T83">
        <f t="shared" si="9"/>
        <v>0</v>
      </c>
      <c r="U83">
        <f t="shared" si="10"/>
        <v>0</v>
      </c>
      <c r="V83">
        <f t="shared" si="11"/>
        <v>0</v>
      </c>
    </row>
    <row r="84" spans="1:22">
      <c r="A84">
        <v>81</v>
      </c>
      <c r="B84" t="str">
        <f>IF(INT(($A84-1)/Setup!$B$15)+1&lt;=Setup!$B$5,INDEX(Setup!$B$21:$B$28,INT(($A84-1)/Setup!$B$15)+1),"")</f>
        <v>C</v>
      </c>
      <c r="C84">
        <f>IF($B84="","",MOD($A84-1,Setup!$B$15)+1)</f>
        <v>25</v>
      </c>
      <c r="D84">
        <f>IF(OR($B84="",$C84&gt;Setup!$B$15),"",IFERROR(INDEX('Fixture Library'!$D$4:$D$200,MATCH(Setup!$B$6&amp;"-"&amp;$C84,'Fixture Library'!$A$4:$A$200,0)),""))</f>
        <v>7</v>
      </c>
      <c r="E84" t="str">
        <f>IF($R84="","",IFERROR(INDEX(Teams!$D$4:$D$67,MATCH($B84&amp;"-"&amp;$R84,Teams!$E$4:$E$67,0)),""))</f>
        <v>Team C1</v>
      </c>
      <c r="F84" s="88"/>
      <c r="G84" s="88"/>
      <c r="H84" s="88"/>
      <c r="I84" t="str">
        <f>IF($Q84&lt;&gt;"Complete","",IF(AND(ISNUMBER($G84),$G84&gt;=Setup!$B$31),Setup!$B$32,0)+IF(AND($F84&lt;$L84,$L84-$F84&lt;=Setup!$B$33),Setup!$B$34,0))</f>
        <v/>
      </c>
      <c r="J84" t="str">
        <f t="shared" si="6"/>
        <v/>
      </c>
      <c r="K84" t="str">
        <f>IF($S84="","",IFERROR(INDEX(Teams!$D$4:$D$67,MATCH($B84&amp;"-"&amp;$S84,Teams!$E$4:$E$67,0)),""))</f>
        <v>Team C2</v>
      </c>
      <c r="L84" s="88"/>
      <c r="M84" s="88"/>
      <c r="N84" s="88"/>
      <c r="O84" t="str">
        <f>IF($Q84&lt;&gt;"Complete","",IF(AND(ISNUMBER($M84),$M84&gt;=Setup!$B$31),Setup!$B$32,0)+IF(AND($L84&lt;$F84,$F84-$L84&lt;=Setup!$B$33),Setup!$B$34,0))</f>
        <v/>
      </c>
      <c r="P84" t="str">
        <f t="shared" si="7"/>
        <v/>
      </c>
      <c r="Q84" t="str">
        <f t="shared" si="8"/>
        <v>Waiting</v>
      </c>
      <c r="R84">
        <f>IF(OR($B84="",$C84&gt;Setup!$B$15),"",IFERROR(INDEX('Fixture Library'!$E$4:$E$200,MATCH(Setup!$B$6&amp;"-"&amp;$C84,'Fixture Library'!$A$4:$A$200,0)),""))</f>
        <v>1</v>
      </c>
      <c r="S84">
        <f>IF(OR($B84="",$C84&gt;Setup!$B$15),"",IFERROR(INDEX('Fixture Library'!$F$4:$F$200,MATCH(Setup!$B$6&amp;"-"&amp;$C84,'Fixture Library'!$A$4:$A$200,0)),""))</f>
        <v>2</v>
      </c>
      <c r="T84">
        <f t="shared" si="9"/>
        <v>0</v>
      </c>
      <c r="U84">
        <f t="shared" si="10"/>
        <v>0</v>
      </c>
      <c r="V84">
        <f t="shared" si="11"/>
        <v>0</v>
      </c>
    </row>
    <row r="85" spans="1:22">
      <c r="A85">
        <v>82</v>
      </c>
      <c r="B85" t="str">
        <f>IF(INT(($A85-1)/Setup!$B$15)+1&lt;=Setup!$B$5,INDEX(Setup!$B$21:$B$28,INT(($A85-1)/Setup!$B$15)+1),"")</f>
        <v>C</v>
      </c>
      <c r="C85">
        <f>IF($B85="","",MOD($A85-1,Setup!$B$15)+1)</f>
        <v>26</v>
      </c>
      <c r="D85">
        <f>IF(OR($B85="",$C85&gt;Setup!$B$15),"",IFERROR(INDEX('Fixture Library'!$D$4:$D$200,MATCH(Setup!$B$6&amp;"-"&amp;$C85,'Fixture Library'!$A$4:$A$200,0)),""))</f>
        <v>7</v>
      </c>
      <c r="E85" t="str">
        <f>IF($R85="","",IFERROR(INDEX(Teams!$D$4:$D$67,MATCH($B85&amp;"-"&amp;$R85,Teams!$E$4:$E$67,0)),""))</f>
        <v>Team C3</v>
      </c>
      <c r="F85" s="88"/>
      <c r="G85" s="88"/>
      <c r="H85" s="88"/>
      <c r="I85" t="str">
        <f>IF($Q85&lt;&gt;"Complete","",IF(AND(ISNUMBER($G85),$G85&gt;=Setup!$B$31),Setup!$B$32,0)+IF(AND($F85&lt;$L85,$L85-$F85&lt;=Setup!$B$33),Setup!$B$34,0))</f>
        <v/>
      </c>
      <c r="J85" t="str">
        <f t="shared" si="6"/>
        <v/>
      </c>
      <c r="K85" t="str">
        <f>IF($S85="","",IFERROR(INDEX(Teams!$D$4:$D$67,MATCH($B85&amp;"-"&amp;$S85,Teams!$E$4:$E$67,0)),""))</f>
        <v>Team C8</v>
      </c>
      <c r="L85" s="88"/>
      <c r="M85" s="88"/>
      <c r="N85" s="88"/>
      <c r="O85" t="str">
        <f>IF($Q85&lt;&gt;"Complete","",IF(AND(ISNUMBER($M85),$M85&gt;=Setup!$B$31),Setup!$B$32,0)+IF(AND($L85&lt;$F85,$F85-$L85&lt;=Setup!$B$33),Setup!$B$34,0))</f>
        <v/>
      </c>
      <c r="P85" t="str">
        <f t="shared" si="7"/>
        <v/>
      </c>
      <c r="Q85" t="str">
        <f t="shared" si="8"/>
        <v>Waiting</v>
      </c>
      <c r="R85">
        <f>IF(OR($B85="",$C85&gt;Setup!$B$15),"",IFERROR(INDEX('Fixture Library'!$E$4:$E$200,MATCH(Setup!$B$6&amp;"-"&amp;$C85,'Fixture Library'!$A$4:$A$200,0)),""))</f>
        <v>3</v>
      </c>
      <c r="S85">
        <f>IF(OR($B85="",$C85&gt;Setup!$B$15),"",IFERROR(INDEX('Fixture Library'!$F$4:$F$200,MATCH(Setup!$B$6&amp;"-"&amp;$C85,'Fixture Library'!$A$4:$A$200,0)),""))</f>
        <v>8</v>
      </c>
      <c r="T85">
        <f t="shared" si="9"/>
        <v>0</v>
      </c>
      <c r="U85">
        <f t="shared" si="10"/>
        <v>0</v>
      </c>
      <c r="V85">
        <f t="shared" si="11"/>
        <v>0</v>
      </c>
    </row>
    <row r="86" spans="1:22">
      <c r="A86">
        <v>83</v>
      </c>
      <c r="B86" t="str">
        <f>IF(INT(($A86-1)/Setup!$B$15)+1&lt;=Setup!$B$5,INDEX(Setup!$B$21:$B$28,INT(($A86-1)/Setup!$B$15)+1),"")</f>
        <v>C</v>
      </c>
      <c r="C86">
        <f>IF($B86="","",MOD($A86-1,Setup!$B$15)+1)</f>
        <v>27</v>
      </c>
      <c r="D86">
        <f>IF(OR($B86="",$C86&gt;Setup!$B$15),"",IFERROR(INDEX('Fixture Library'!$D$4:$D$200,MATCH(Setup!$B$6&amp;"-"&amp;$C86,'Fixture Library'!$A$4:$A$200,0)),""))</f>
        <v>7</v>
      </c>
      <c r="E86" t="str">
        <f>IF($R86="","",IFERROR(INDEX(Teams!$D$4:$D$67,MATCH($B86&amp;"-"&amp;$R86,Teams!$E$4:$E$67,0)),""))</f>
        <v>Team C4</v>
      </c>
      <c r="F86" s="88"/>
      <c r="G86" s="88"/>
      <c r="H86" s="88"/>
      <c r="I86" t="str">
        <f>IF($Q86&lt;&gt;"Complete","",IF(AND(ISNUMBER($G86),$G86&gt;=Setup!$B$31),Setup!$B$32,0)+IF(AND($F86&lt;$L86,$L86-$F86&lt;=Setup!$B$33),Setup!$B$34,0))</f>
        <v/>
      </c>
      <c r="J86" t="str">
        <f t="shared" si="6"/>
        <v/>
      </c>
      <c r="K86" t="str">
        <f>IF($S86="","",IFERROR(INDEX(Teams!$D$4:$D$67,MATCH($B86&amp;"-"&amp;$S86,Teams!$E$4:$E$67,0)),""))</f>
        <v>Team C7</v>
      </c>
      <c r="L86" s="88"/>
      <c r="M86" s="88"/>
      <c r="N86" s="88"/>
      <c r="O86" t="str">
        <f>IF($Q86&lt;&gt;"Complete","",IF(AND(ISNUMBER($M86),$M86&gt;=Setup!$B$31),Setup!$B$32,0)+IF(AND($L86&lt;$F86,$F86-$L86&lt;=Setup!$B$33),Setup!$B$34,0))</f>
        <v/>
      </c>
      <c r="P86" t="str">
        <f t="shared" si="7"/>
        <v/>
      </c>
      <c r="Q86" t="str">
        <f t="shared" si="8"/>
        <v>Waiting</v>
      </c>
      <c r="R86">
        <f>IF(OR($B86="",$C86&gt;Setup!$B$15),"",IFERROR(INDEX('Fixture Library'!$E$4:$E$200,MATCH(Setup!$B$6&amp;"-"&amp;$C86,'Fixture Library'!$A$4:$A$200,0)),""))</f>
        <v>4</v>
      </c>
      <c r="S86">
        <f>IF(OR($B86="",$C86&gt;Setup!$B$15),"",IFERROR(INDEX('Fixture Library'!$F$4:$F$200,MATCH(Setup!$B$6&amp;"-"&amp;$C86,'Fixture Library'!$A$4:$A$200,0)),""))</f>
        <v>7</v>
      </c>
      <c r="T86">
        <f t="shared" si="9"/>
        <v>0</v>
      </c>
      <c r="U86">
        <f t="shared" si="10"/>
        <v>0</v>
      </c>
      <c r="V86">
        <f t="shared" si="11"/>
        <v>0</v>
      </c>
    </row>
    <row r="87" spans="1:22">
      <c r="A87">
        <v>84</v>
      </c>
      <c r="B87" t="str">
        <f>IF(INT(($A87-1)/Setup!$B$15)+1&lt;=Setup!$B$5,INDEX(Setup!$B$21:$B$28,INT(($A87-1)/Setup!$B$15)+1),"")</f>
        <v>C</v>
      </c>
      <c r="C87">
        <f>IF($B87="","",MOD($A87-1,Setup!$B$15)+1)</f>
        <v>28</v>
      </c>
      <c r="D87">
        <f>IF(OR($B87="",$C87&gt;Setup!$B$15),"",IFERROR(INDEX('Fixture Library'!$D$4:$D$200,MATCH(Setup!$B$6&amp;"-"&amp;$C87,'Fixture Library'!$A$4:$A$200,0)),""))</f>
        <v>7</v>
      </c>
      <c r="E87" t="str">
        <f>IF($R87="","",IFERROR(INDEX(Teams!$D$4:$D$67,MATCH($B87&amp;"-"&amp;$R87,Teams!$E$4:$E$67,0)),""))</f>
        <v>Team C5</v>
      </c>
      <c r="F87" s="88"/>
      <c r="G87" s="88"/>
      <c r="H87" s="88"/>
      <c r="I87" t="str">
        <f>IF($Q87&lt;&gt;"Complete","",IF(AND(ISNUMBER($G87),$G87&gt;=Setup!$B$31),Setup!$B$32,0)+IF(AND($F87&lt;$L87,$L87-$F87&lt;=Setup!$B$33),Setup!$B$34,0))</f>
        <v/>
      </c>
      <c r="J87" t="str">
        <f t="shared" si="6"/>
        <v/>
      </c>
      <c r="K87" t="str">
        <f>IF($S87="","",IFERROR(INDEX(Teams!$D$4:$D$67,MATCH($B87&amp;"-"&amp;$S87,Teams!$E$4:$E$67,0)),""))</f>
        <v>Team C6</v>
      </c>
      <c r="L87" s="88"/>
      <c r="M87" s="88"/>
      <c r="N87" s="88"/>
      <c r="O87" t="str">
        <f>IF($Q87&lt;&gt;"Complete","",IF(AND(ISNUMBER($M87),$M87&gt;=Setup!$B$31),Setup!$B$32,0)+IF(AND($L87&lt;$F87,$F87-$L87&lt;=Setup!$B$33),Setup!$B$34,0))</f>
        <v/>
      </c>
      <c r="P87" t="str">
        <f t="shared" si="7"/>
        <v/>
      </c>
      <c r="Q87" t="str">
        <f t="shared" si="8"/>
        <v>Waiting</v>
      </c>
      <c r="R87">
        <f>IF(OR($B87="",$C87&gt;Setup!$B$15),"",IFERROR(INDEX('Fixture Library'!$E$4:$E$200,MATCH(Setup!$B$6&amp;"-"&amp;$C87,'Fixture Library'!$A$4:$A$200,0)),""))</f>
        <v>5</v>
      </c>
      <c r="S87">
        <f>IF(OR($B87="",$C87&gt;Setup!$B$15),"",IFERROR(INDEX('Fixture Library'!$F$4:$F$200,MATCH(Setup!$B$6&amp;"-"&amp;$C87,'Fixture Library'!$A$4:$A$200,0)),""))</f>
        <v>6</v>
      </c>
      <c r="T87">
        <f t="shared" si="9"/>
        <v>0</v>
      </c>
      <c r="U87">
        <f t="shared" si="10"/>
        <v>0</v>
      </c>
      <c r="V87">
        <f t="shared" si="11"/>
        <v>0</v>
      </c>
    </row>
    <row r="88" spans="1:22">
      <c r="A88">
        <v>85</v>
      </c>
      <c r="B88" t="str">
        <f>IF(INT(($A88-1)/Setup!$B$15)+1&lt;=Setup!$B$5,INDEX(Setup!$B$21:$B$28,INT(($A88-1)/Setup!$B$15)+1),"")</f>
        <v>D</v>
      </c>
      <c r="C88">
        <f>IF($B88="","",MOD($A88-1,Setup!$B$15)+1)</f>
        <v>1</v>
      </c>
      <c r="D88">
        <f>IF(OR($B88="",$C88&gt;Setup!$B$15),"",IFERROR(INDEX('Fixture Library'!$D$4:$D$200,MATCH(Setup!$B$6&amp;"-"&amp;$C88,'Fixture Library'!$A$4:$A$200,0)),""))</f>
        <v>1</v>
      </c>
      <c r="E88" t="str">
        <f>IF($R88="","",IFERROR(INDEX(Teams!$D$4:$D$67,MATCH($B88&amp;"-"&amp;$R88,Teams!$E$4:$E$67,0)),""))</f>
        <v>Team D1</v>
      </c>
      <c r="F88" s="88"/>
      <c r="G88" s="88"/>
      <c r="H88" s="88"/>
      <c r="I88" t="str">
        <f>IF($Q88&lt;&gt;"Complete","",IF(AND(ISNUMBER($G88),$G88&gt;=Setup!$B$31),Setup!$B$32,0)+IF(AND($F88&lt;$L88,$L88-$F88&lt;=Setup!$B$33),Setup!$B$34,0))</f>
        <v/>
      </c>
      <c r="J88" t="str">
        <f t="shared" si="6"/>
        <v/>
      </c>
      <c r="K88" t="str">
        <f>IF($S88="","",IFERROR(INDEX(Teams!$D$4:$D$67,MATCH($B88&amp;"-"&amp;$S88,Teams!$E$4:$E$67,0)),""))</f>
        <v>Team D8</v>
      </c>
      <c r="L88" s="88"/>
      <c r="M88" s="88"/>
      <c r="N88" s="88"/>
      <c r="O88" t="str">
        <f>IF($Q88&lt;&gt;"Complete","",IF(AND(ISNUMBER($M88),$M88&gt;=Setup!$B$31),Setup!$B$32,0)+IF(AND($L88&lt;$F88,$F88-$L88&lt;=Setup!$B$33),Setup!$B$34,0))</f>
        <v/>
      </c>
      <c r="P88" t="str">
        <f t="shared" si="7"/>
        <v/>
      </c>
      <c r="Q88" t="str">
        <f t="shared" si="8"/>
        <v>Waiting</v>
      </c>
      <c r="R88">
        <f>IF(OR($B88="",$C88&gt;Setup!$B$15),"",IFERROR(INDEX('Fixture Library'!$E$4:$E$200,MATCH(Setup!$B$6&amp;"-"&amp;$C88,'Fixture Library'!$A$4:$A$200,0)),""))</f>
        <v>1</v>
      </c>
      <c r="S88">
        <f>IF(OR($B88="",$C88&gt;Setup!$B$15),"",IFERROR(INDEX('Fixture Library'!$F$4:$F$200,MATCH(Setup!$B$6&amp;"-"&amp;$C88,'Fixture Library'!$A$4:$A$200,0)),""))</f>
        <v>8</v>
      </c>
      <c r="T88">
        <f t="shared" si="9"/>
        <v>0</v>
      </c>
      <c r="U88">
        <f t="shared" si="10"/>
        <v>0</v>
      </c>
      <c r="V88">
        <f t="shared" si="11"/>
        <v>0</v>
      </c>
    </row>
    <row r="89" spans="1:22">
      <c r="A89">
        <v>86</v>
      </c>
      <c r="B89" t="str">
        <f>IF(INT(($A89-1)/Setup!$B$15)+1&lt;=Setup!$B$5,INDEX(Setup!$B$21:$B$28,INT(($A89-1)/Setup!$B$15)+1),"")</f>
        <v>D</v>
      </c>
      <c r="C89">
        <f>IF($B89="","",MOD($A89-1,Setup!$B$15)+1)</f>
        <v>2</v>
      </c>
      <c r="D89">
        <f>IF(OR($B89="",$C89&gt;Setup!$B$15),"",IFERROR(INDEX('Fixture Library'!$D$4:$D$200,MATCH(Setup!$B$6&amp;"-"&amp;$C89,'Fixture Library'!$A$4:$A$200,0)),""))</f>
        <v>1</v>
      </c>
      <c r="E89" t="str">
        <f>IF($R89="","",IFERROR(INDEX(Teams!$D$4:$D$67,MATCH($B89&amp;"-"&amp;$R89,Teams!$E$4:$E$67,0)),""))</f>
        <v>Team D2</v>
      </c>
      <c r="F89" s="88"/>
      <c r="G89" s="88"/>
      <c r="H89" s="88"/>
      <c r="I89" t="str">
        <f>IF($Q89&lt;&gt;"Complete","",IF(AND(ISNUMBER($G89),$G89&gt;=Setup!$B$31),Setup!$B$32,0)+IF(AND($F89&lt;$L89,$L89-$F89&lt;=Setup!$B$33),Setup!$B$34,0))</f>
        <v/>
      </c>
      <c r="J89" t="str">
        <f t="shared" si="6"/>
        <v/>
      </c>
      <c r="K89" t="str">
        <f>IF($S89="","",IFERROR(INDEX(Teams!$D$4:$D$67,MATCH($B89&amp;"-"&amp;$S89,Teams!$E$4:$E$67,0)),""))</f>
        <v>Team D7</v>
      </c>
      <c r="L89" s="88"/>
      <c r="M89" s="88"/>
      <c r="N89" s="88"/>
      <c r="O89" t="str">
        <f>IF($Q89&lt;&gt;"Complete","",IF(AND(ISNUMBER($M89),$M89&gt;=Setup!$B$31),Setup!$B$32,0)+IF(AND($L89&lt;$F89,$F89-$L89&lt;=Setup!$B$33),Setup!$B$34,0))</f>
        <v/>
      </c>
      <c r="P89" t="str">
        <f t="shared" si="7"/>
        <v/>
      </c>
      <c r="Q89" t="str">
        <f t="shared" si="8"/>
        <v>Waiting</v>
      </c>
      <c r="R89">
        <f>IF(OR($B89="",$C89&gt;Setup!$B$15),"",IFERROR(INDEX('Fixture Library'!$E$4:$E$200,MATCH(Setup!$B$6&amp;"-"&amp;$C89,'Fixture Library'!$A$4:$A$200,0)),""))</f>
        <v>2</v>
      </c>
      <c r="S89">
        <f>IF(OR($B89="",$C89&gt;Setup!$B$15),"",IFERROR(INDEX('Fixture Library'!$F$4:$F$200,MATCH(Setup!$B$6&amp;"-"&amp;$C89,'Fixture Library'!$A$4:$A$200,0)),""))</f>
        <v>7</v>
      </c>
      <c r="T89">
        <f t="shared" si="9"/>
        <v>0</v>
      </c>
      <c r="U89">
        <f t="shared" si="10"/>
        <v>0</v>
      </c>
      <c r="V89">
        <f t="shared" si="11"/>
        <v>0</v>
      </c>
    </row>
    <row r="90" spans="1:22">
      <c r="A90">
        <v>87</v>
      </c>
      <c r="B90" t="str">
        <f>IF(INT(($A90-1)/Setup!$B$15)+1&lt;=Setup!$B$5,INDEX(Setup!$B$21:$B$28,INT(($A90-1)/Setup!$B$15)+1),"")</f>
        <v>D</v>
      </c>
      <c r="C90">
        <f>IF($B90="","",MOD($A90-1,Setup!$B$15)+1)</f>
        <v>3</v>
      </c>
      <c r="D90">
        <f>IF(OR($B90="",$C90&gt;Setup!$B$15),"",IFERROR(INDEX('Fixture Library'!$D$4:$D$200,MATCH(Setup!$B$6&amp;"-"&amp;$C90,'Fixture Library'!$A$4:$A$200,0)),""))</f>
        <v>1</v>
      </c>
      <c r="E90" t="str">
        <f>IF($R90="","",IFERROR(INDEX(Teams!$D$4:$D$67,MATCH($B90&amp;"-"&amp;$R90,Teams!$E$4:$E$67,0)),""))</f>
        <v>Team D3</v>
      </c>
      <c r="F90" s="88"/>
      <c r="G90" s="88"/>
      <c r="H90" s="88"/>
      <c r="I90" t="str">
        <f>IF($Q90&lt;&gt;"Complete","",IF(AND(ISNUMBER($G90),$G90&gt;=Setup!$B$31),Setup!$B$32,0)+IF(AND($F90&lt;$L90,$L90-$F90&lt;=Setup!$B$33),Setup!$B$34,0))</f>
        <v/>
      </c>
      <c r="J90" t="str">
        <f t="shared" si="6"/>
        <v/>
      </c>
      <c r="K90" t="str">
        <f>IF($S90="","",IFERROR(INDEX(Teams!$D$4:$D$67,MATCH($B90&amp;"-"&amp;$S90,Teams!$E$4:$E$67,0)),""))</f>
        <v>Team D6</v>
      </c>
      <c r="L90" s="88"/>
      <c r="M90" s="88"/>
      <c r="N90" s="88"/>
      <c r="O90" t="str">
        <f>IF($Q90&lt;&gt;"Complete","",IF(AND(ISNUMBER($M90),$M90&gt;=Setup!$B$31),Setup!$B$32,0)+IF(AND($L90&lt;$F90,$F90-$L90&lt;=Setup!$B$33),Setup!$B$34,0))</f>
        <v/>
      </c>
      <c r="P90" t="str">
        <f t="shared" si="7"/>
        <v/>
      </c>
      <c r="Q90" t="str">
        <f t="shared" si="8"/>
        <v>Waiting</v>
      </c>
      <c r="R90">
        <f>IF(OR($B90="",$C90&gt;Setup!$B$15),"",IFERROR(INDEX('Fixture Library'!$E$4:$E$200,MATCH(Setup!$B$6&amp;"-"&amp;$C90,'Fixture Library'!$A$4:$A$200,0)),""))</f>
        <v>3</v>
      </c>
      <c r="S90">
        <f>IF(OR($B90="",$C90&gt;Setup!$B$15),"",IFERROR(INDEX('Fixture Library'!$F$4:$F$200,MATCH(Setup!$B$6&amp;"-"&amp;$C90,'Fixture Library'!$A$4:$A$200,0)),""))</f>
        <v>6</v>
      </c>
      <c r="T90">
        <f t="shared" si="9"/>
        <v>0</v>
      </c>
      <c r="U90">
        <f t="shared" si="10"/>
        <v>0</v>
      </c>
      <c r="V90">
        <f t="shared" si="11"/>
        <v>0</v>
      </c>
    </row>
    <row r="91" spans="1:22">
      <c r="A91">
        <v>88</v>
      </c>
      <c r="B91" t="str">
        <f>IF(INT(($A91-1)/Setup!$B$15)+1&lt;=Setup!$B$5,INDEX(Setup!$B$21:$B$28,INT(($A91-1)/Setup!$B$15)+1),"")</f>
        <v>D</v>
      </c>
      <c r="C91">
        <f>IF($B91="","",MOD($A91-1,Setup!$B$15)+1)</f>
        <v>4</v>
      </c>
      <c r="D91">
        <f>IF(OR($B91="",$C91&gt;Setup!$B$15),"",IFERROR(INDEX('Fixture Library'!$D$4:$D$200,MATCH(Setup!$B$6&amp;"-"&amp;$C91,'Fixture Library'!$A$4:$A$200,0)),""))</f>
        <v>1</v>
      </c>
      <c r="E91" t="str">
        <f>IF($R91="","",IFERROR(INDEX(Teams!$D$4:$D$67,MATCH($B91&amp;"-"&amp;$R91,Teams!$E$4:$E$67,0)),""))</f>
        <v>Team D4</v>
      </c>
      <c r="F91" s="88"/>
      <c r="G91" s="88"/>
      <c r="H91" s="88"/>
      <c r="I91" t="str">
        <f>IF($Q91&lt;&gt;"Complete","",IF(AND(ISNUMBER($G91),$G91&gt;=Setup!$B$31),Setup!$B$32,0)+IF(AND($F91&lt;$L91,$L91-$F91&lt;=Setup!$B$33),Setup!$B$34,0))</f>
        <v/>
      </c>
      <c r="J91" t="str">
        <f t="shared" si="6"/>
        <v/>
      </c>
      <c r="K91" t="str">
        <f>IF($S91="","",IFERROR(INDEX(Teams!$D$4:$D$67,MATCH($B91&amp;"-"&amp;$S91,Teams!$E$4:$E$67,0)),""))</f>
        <v>Team D5</v>
      </c>
      <c r="L91" s="88"/>
      <c r="M91" s="88"/>
      <c r="N91" s="88"/>
      <c r="O91" t="str">
        <f>IF($Q91&lt;&gt;"Complete","",IF(AND(ISNUMBER($M91),$M91&gt;=Setup!$B$31),Setup!$B$32,0)+IF(AND($L91&lt;$F91,$F91-$L91&lt;=Setup!$B$33),Setup!$B$34,0))</f>
        <v/>
      </c>
      <c r="P91" t="str">
        <f t="shared" si="7"/>
        <v/>
      </c>
      <c r="Q91" t="str">
        <f t="shared" si="8"/>
        <v>Waiting</v>
      </c>
      <c r="R91">
        <f>IF(OR($B91="",$C91&gt;Setup!$B$15),"",IFERROR(INDEX('Fixture Library'!$E$4:$E$200,MATCH(Setup!$B$6&amp;"-"&amp;$C91,'Fixture Library'!$A$4:$A$200,0)),""))</f>
        <v>4</v>
      </c>
      <c r="S91">
        <f>IF(OR($B91="",$C91&gt;Setup!$B$15),"",IFERROR(INDEX('Fixture Library'!$F$4:$F$200,MATCH(Setup!$B$6&amp;"-"&amp;$C91,'Fixture Library'!$A$4:$A$200,0)),""))</f>
        <v>5</v>
      </c>
      <c r="T91">
        <f t="shared" si="9"/>
        <v>0</v>
      </c>
      <c r="U91">
        <f t="shared" si="10"/>
        <v>0</v>
      </c>
      <c r="V91">
        <f t="shared" si="11"/>
        <v>0</v>
      </c>
    </row>
    <row r="92" spans="1:22">
      <c r="A92">
        <v>89</v>
      </c>
      <c r="B92" t="str">
        <f>IF(INT(($A92-1)/Setup!$B$15)+1&lt;=Setup!$B$5,INDEX(Setup!$B$21:$B$28,INT(($A92-1)/Setup!$B$15)+1),"")</f>
        <v>D</v>
      </c>
      <c r="C92">
        <f>IF($B92="","",MOD($A92-1,Setup!$B$15)+1)</f>
        <v>5</v>
      </c>
      <c r="D92">
        <f>IF(OR($B92="",$C92&gt;Setup!$B$15),"",IFERROR(INDEX('Fixture Library'!$D$4:$D$200,MATCH(Setup!$B$6&amp;"-"&amp;$C92,'Fixture Library'!$A$4:$A$200,0)),""))</f>
        <v>2</v>
      </c>
      <c r="E92" t="str">
        <f>IF($R92="","",IFERROR(INDEX(Teams!$D$4:$D$67,MATCH($B92&amp;"-"&amp;$R92,Teams!$E$4:$E$67,0)),""))</f>
        <v>Team D7</v>
      </c>
      <c r="F92" s="88"/>
      <c r="G92" s="88"/>
      <c r="H92" s="88"/>
      <c r="I92" t="str">
        <f>IF($Q92&lt;&gt;"Complete","",IF(AND(ISNUMBER($G92),$G92&gt;=Setup!$B$31),Setup!$B$32,0)+IF(AND($F92&lt;$L92,$L92-$F92&lt;=Setup!$B$33),Setup!$B$34,0))</f>
        <v/>
      </c>
      <c r="J92" t="str">
        <f t="shared" si="6"/>
        <v/>
      </c>
      <c r="K92" t="str">
        <f>IF($S92="","",IFERROR(INDEX(Teams!$D$4:$D$67,MATCH($B92&amp;"-"&amp;$S92,Teams!$E$4:$E$67,0)),""))</f>
        <v>Team D1</v>
      </c>
      <c r="L92" s="88"/>
      <c r="M92" s="88"/>
      <c r="N92" s="88"/>
      <c r="O92" t="str">
        <f>IF($Q92&lt;&gt;"Complete","",IF(AND(ISNUMBER($M92),$M92&gt;=Setup!$B$31),Setup!$B$32,0)+IF(AND($L92&lt;$F92,$F92-$L92&lt;=Setup!$B$33),Setup!$B$34,0))</f>
        <v/>
      </c>
      <c r="P92" t="str">
        <f t="shared" si="7"/>
        <v/>
      </c>
      <c r="Q92" t="str">
        <f t="shared" si="8"/>
        <v>Waiting</v>
      </c>
      <c r="R92">
        <f>IF(OR($B92="",$C92&gt;Setup!$B$15),"",IFERROR(INDEX('Fixture Library'!$E$4:$E$200,MATCH(Setup!$B$6&amp;"-"&amp;$C92,'Fixture Library'!$A$4:$A$200,0)),""))</f>
        <v>7</v>
      </c>
      <c r="S92">
        <f>IF(OR($B92="",$C92&gt;Setup!$B$15),"",IFERROR(INDEX('Fixture Library'!$F$4:$F$200,MATCH(Setup!$B$6&amp;"-"&amp;$C92,'Fixture Library'!$A$4:$A$200,0)),""))</f>
        <v>1</v>
      </c>
      <c r="T92">
        <f t="shared" si="9"/>
        <v>0</v>
      </c>
      <c r="U92">
        <f t="shared" si="10"/>
        <v>0</v>
      </c>
      <c r="V92">
        <f t="shared" si="11"/>
        <v>0</v>
      </c>
    </row>
    <row r="93" spans="1:22">
      <c r="A93">
        <v>90</v>
      </c>
      <c r="B93" t="str">
        <f>IF(INT(($A93-1)/Setup!$B$15)+1&lt;=Setup!$B$5,INDEX(Setup!$B$21:$B$28,INT(($A93-1)/Setup!$B$15)+1),"")</f>
        <v>D</v>
      </c>
      <c r="C93">
        <f>IF($B93="","",MOD($A93-1,Setup!$B$15)+1)</f>
        <v>6</v>
      </c>
      <c r="D93">
        <f>IF(OR($B93="",$C93&gt;Setup!$B$15),"",IFERROR(INDEX('Fixture Library'!$D$4:$D$200,MATCH(Setup!$B$6&amp;"-"&amp;$C93,'Fixture Library'!$A$4:$A$200,0)),""))</f>
        <v>2</v>
      </c>
      <c r="E93" t="str">
        <f>IF($R93="","",IFERROR(INDEX(Teams!$D$4:$D$67,MATCH($B93&amp;"-"&amp;$R93,Teams!$E$4:$E$67,0)),""))</f>
        <v>Team D6</v>
      </c>
      <c r="F93" s="88"/>
      <c r="G93" s="88"/>
      <c r="H93" s="88"/>
      <c r="I93" t="str">
        <f>IF($Q93&lt;&gt;"Complete","",IF(AND(ISNUMBER($G93),$G93&gt;=Setup!$B$31),Setup!$B$32,0)+IF(AND($F93&lt;$L93,$L93-$F93&lt;=Setup!$B$33),Setup!$B$34,0))</f>
        <v/>
      </c>
      <c r="J93" t="str">
        <f t="shared" si="6"/>
        <v/>
      </c>
      <c r="K93" t="str">
        <f>IF($S93="","",IFERROR(INDEX(Teams!$D$4:$D$67,MATCH($B93&amp;"-"&amp;$S93,Teams!$E$4:$E$67,0)),""))</f>
        <v>Team D8</v>
      </c>
      <c r="L93" s="88"/>
      <c r="M93" s="88"/>
      <c r="N93" s="88"/>
      <c r="O93" t="str">
        <f>IF($Q93&lt;&gt;"Complete","",IF(AND(ISNUMBER($M93),$M93&gt;=Setup!$B$31),Setup!$B$32,0)+IF(AND($L93&lt;$F93,$F93-$L93&lt;=Setup!$B$33),Setup!$B$34,0))</f>
        <v/>
      </c>
      <c r="P93" t="str">
        <f t="shared" si="7"/>
        <v/>
      </c>
      <c r="Q93" t="str">
        <f t="shared" si="8"/>
        <v>Waiting</v>
      </c>
      <c r="R93">
        <f>IF(OR($B93="",$C93&gt;Setup!$B$15),"",IFERROR(INDEX('Fixture Library'!$E$4:$E$200,MATCH(Setup!$B$6&amp;"-"&amp;$C93,'Fixture Library'!$A$4:$A$200,0)),""))</f>
        <v>6</v>
      </c>
      <c r="S93">
        <f>IF(OR($B93="",$C93&gt;Setup!$B$15),"",IFERROR(INDEX('Fixture Library'!$F$4:$F$200,MATCH(Setup!$B$6&amp;"-"&amp;$C93,'Fixture Library'!$A$4:$A$200,0)),""))</f>
        <v>8</v>
      </c>
      <c r="T93">
        <f t="shared" si="9"/>
        <v>0</v>
      </c>
      <c r="U93">
        <f t="shared" si="10"/>
        <v>0</v>
      </c>
      <c r="V93">
        <f t="shared" si="11"/>
        <v>0</v>
      </c>
    </row>
    <row r="94" spans="1:22">
      <c r="A94">
        <v>91</v>
      </c>
      <c r="B94" t="str">
        <f>IF(INT(($A94-1)/Setup!$B$15)+1&lt;=Setup!$B$5,INDEX(Setup!$B$21:$B$28,INT(($A94-1)/Setup!$B$15)+1),"")</f>
        <v>D</v>
      </c>
      <c r="C94">
        <f>IF($B94="","",MOD($A94-1,Setup!$B$15)+1)</f>
        <v>7</v>
      </c>
      <c r="D94">
        <f>IF(OR($B94="",$C94&gt;Setup!$B$15),"",IFERROR(INDEX('Fixture Library'!$D$4:$D$200,MATCH(Setup!$B$6&amp;"-"&amp;$C94,'Fixture Library'!$A$4:$A$200,0)),""))</f>
        <v>2</v>
      </c>
      <c r="E94" t="str">
        <f>IF($R94="","",IFERROR(INDEX(Teams!$D$4:$D$67,MATCH($B94&amp;"-"&amp;$R94,Teams!$E$4:$E$67,0)),""))</f>
        <v>Team D5</v>
      </c>
      <c r="F94" s="88"/>
      <c r="G94" s="88"/>
      <c r="H94" s="88"/>
      <c r="I94" t="str">
        <f>IF($Q94&lt;&gt;"Complete","",IF(AND(ISNUMBER($G94),$G94&gt;=Setup!$B$31),Setup!$B$32,0)+IF(AND($F94&lt;$L94,$L94-$F94&lt;=Setup!$B$33),Setup!$B$34,0))</f>
        <v/>
      </c>
      <c r="J94" t="str">
        <f t="shared" si="6"/>
        <v/>
      </c>
      <c r="K94" t="str">
        <f>IF($S94="","",IFERROR(INDEX(Teams!$D$4:$D$67,MATCH($B94&amp;"-"&amp;$S94,Teams!$E$4:$E$67,0)),""))</f>
        <v>Team D2</v>
      </c>
      <c r="L94" s="88"/>
      <c r="M94" s="88"/>
      <c r="N94" s="88"/>
      <c r="O94" t="str">
        <f>IF($Q94&lt;&gt;"Complete","",IF(AND(ISNUMBER($M94),$M94&gt;=Setup!$B$31),Setup!$B$32,0)+IF(AND($L94&lt;$F94,$F94-$L94&lt;=Setup!$B$33),Setup!$B$34,0))</f>
        <v/>
      </c>
      <c r="P94" t="str">
        <f t="shared" si="7"/>
        <v/>
      </c>
      <c r="Q94" t="str">
        <f t="shared" si="8"/>
        <v>Waiting</v>
      </c>
      <c r="R94">
        <f>IF(OR($B94="",$C94&gt;Setup!$B$15),"",IFERROR(INDEX('Fixture Library'!$E$4:$E$200,MATCH(Setup!$B$6&amp;"-"&amp;$C94,'Fixture Library'!$A$4:$A$200,0)),""))</f>
        <v>5</v>
      </c>
      <c r="S94">
        <f>IF(OR($B94="",$C94&gt;Setup!$B$15),"",IFERROR(INDEX('Fixture Library'!$F$4:$F$200,MATCH(Setup!$B$6&amp;"-"&amp;$C94,'Fixture Library'!$A$4:$A$200,0)),""))</f>
        <v>2</v>
      </c>
      <c r="T94">
        <f t="shared" si="9"/>
        <v>0</v>
      </c>
      <c r="U94">
        <f t="shared" si="10"/>
        <v>0</v>
      </c>
      <c r="V94">
        <f t="shared" si="11"/>
        <v>0</v>
      </c>
    </row>
    <row r="95" spans="1:22">
      <c r="A95">
        <v>92</v>
      </c>
      <c r="B95" t="str">
        <f>IF(INT(($A95-1)/Setup!$B$15)+1&lt;=Setup!$B$5,INDEX(Setup!$B$21:$B$28,INT(($A95-1)/Setup!$B$15)+1),"")</f>
        <v>D</v>
      </c>
      <c r="C95">
        <f>IF($B95="","",MOD($A95-1,Setup!$B$15)+1)</f>
        <v>8</v>
      </c>
      <c r="D95">
        <f>IF(OR($B95="",$C95&gt;Setup!$B$15),"",IFERROR(INDEX('Fixture Library'!$D$4:$D$200,MATCH(Setup!$B$6&amp;"-"&amp;$C95,'Fixture Library'!$A$4:$A$200,0)),""))</f>
        <v>2</v>
      </c>
      <c r="E95" t="str">
        <f>IF($R95="","",IFERROR(INDEX(Teams!$D$4:$D$67,MATCH($B95&amp;"-"&amp;$R95,Teams!$E$4:$E$67,0)),""))</f>
        <v>Team D4</v>
      </c>
      <c r="F95" s="88"/>
      <c r="G95" s="88"/>
      <c r="H95" s="88"/>
      <c r="I95" t="str">
        <f>IF($Q95&lt;&gt;"Complete","",IF(AND(ISNUMBER($G95),$G95&gt;=Setup!$B$31),Setup!$B$32,0)+IF(AND($F95&lt;$L95,$L95-$F95&lt;=Setup!$B$33),Setup!$B$34,0))</f>
        <v/>
      </c>
      <c r="J95" t="str">
        <f t="shared" si="6"/>
        <v/>
      </c>
      <c r="K95" t="str">
        <f>IF($S95="","",IFERROR(INDEX(Teams!$D$4:$D$67,MATCH($B95&amp;"-"&amp;$S95,Teams!$E$4:$E$67,0)),""))</f>
        <v>Team D3</v>
      </c>
      <c r="L95" s="88"/>
      <c r="M95" s="88"/>
      <c r="N95" s="88"/>
      <c r="O95" t="str">
        <f>IF($Q95&lt;&gt;"Complete","",IF(AND(ISNUMBER($M95),$M95&gt;=Setup!$B$31),Setup!$B$32,0)+IF(AND($L95&lt;$F95,$F95-$L95&lt;=Setup!$B$33),Setup!$B$34,0))</f>
        <v/>
      </c>
      <c r="P95" t="str">
        <f t="shared" si="7"/>
        <v/>
      </c>
      <c r="Q95" t="str">
        <f t="shared" si="8"/>
        <v>Waiting</v>
      </c>
      <c r="R95">
        <f>IF(OR($B95="",$C95&gt;Setup!$B$15),"",IFERROR(INDEX('Fixture Library'!$E$4:$E$200,MATCH(Setup!$B$6&amp;"-"&amp;$C95,'Fixture Library'!$A$4:$A$200,0)),""))</f>
        <v>4</v>
      </c>
      <c r="S95">
        <f>IF(OR($B95="",$C95&gt;Setup!$B$15),"",IFERROR(INDEX('Fixture Library'!$F$4:$F$200,MATCH(Setup!$B$6&amp;"-"&amp;$C95,'Fixture Library'!$A$4:$A$200,0)),""))</f>
        <v>3</v>
      </c>
      <c r="T95">
        <f t="shared" si="9"/>
        <v>0</v>
      </c>
      <c r="U95">
        <f t="shared" si="10"/>
        <v>0</v>
      </c>
      <c r="V95">
        <f t="shared" si="11"/>
        <v>0</v>
      </c>
    </row>
    <row r="96" spans="1:22">
      <c r="A96">
        <v>93</v>
      </c>
      <c r="B96" t="str">
        <f>IF(INT(($A96-1)/Setup!$B$15)+1&lt;=Setup!$B$5,INDEX(Setup!$B$21:$B$28,INT(($A96-1)/Setup!$B$15)+1),"")</f>
        <v>D</v>
      </c>
      <c r="C96">
        <f>IF($B96="","",MOD($A96-1,Setup!$B$15)+1)</f>
        <v>9</v>
      </c>
      <c r="D96">
        <f>IF(OR($B96="",$C96&gt;Setup!$B$15),"",IFERROR(INDEX('Fixture Library'!$D$4:$D$200,MATCH(Setup!$B$6&amp;"-"&amp;$C96,'Fixture Library'!$A$4:$A$200,0)),""))</f>
        <v>3</v>
      </c>
      <c r="E96" t="str">
        <f>IF($R96="","",IFERROR(INDEX(Teams!$D$4:$D$67,MATCH($B96&amp;"-"&amp;$R96,Teams!$E$4:$E$67,0)),""))</f>
        <v>Team D1</v>
      </c>
      <c r="F96" s="88"/>
      <c r="G96" s="88"/>
      <c r="H96" s="88"/>
      <c r="I96" t="str">
        <f>IF($Q96&lt;&gt;"Complete","",IF(AND(ISNUMBER($G96),$G96&gt;=Setup!$B$31),Setup!$B$32,0)+IF(AND($F96&lt;$L96,$L96-$F96&lt;=Setup!$B$33),Setup!$B$34,0))</f>
        <v/>
      </c>
      <c r="J96" t="str">
        <f t="shared" si="6"/>
        <v/>
      </c>
      <c r="K96" t="str">
        <f>IF($S96="","",IFERROR(INDEX(Teams!$D$4:$D$67,MATCH($B96&amp;"-"&amp;$S96,Teams!$E$4:$E$67,0)),""))</f>
        <v>Team D6</v>
      </c>
      <c r="L96" s="88"/>
      <c r="M96" s="88"/>
      <c r="N96" s="88"/>
      <c r="O96" t="str">
        <f>IF($Q96&lt;&gt;"Complete","",IF(AND(ISNUMBER($M96),$M96&gt;=Setup!$B$31),Setup!$B$32,0)+IF(AND($L96&lt;$F96,$F96-$L96&lt;=Setup!$B$33),Setup!$B$34,0))</f>
        <v/>
      </c>
      <c r="P96" t="str">
        <f t="shared" si="7"/>
        <v/>
      </c>
      <c r="Q96" t="str">
        <f t="shared" si="8"/>
        <v>Waiting</v>
      </c>
      <c r="R96">
        <f>IF(OR($B96="",$C96&gt;Setup!$B$15),"",IFERROR(INDEX('Fixture Library'!$E$4:$E$200,MATCH(Setup!$B$6&amp;"-"&amp;$C96,'Fixture Library'!$A$4:$A$200,0)),""))</f>
        <v>1</v>
      </c>
      <c r="S96">
        <f>IF(OR($B96="",$C96&gt;Setup!$B$15),"",IFERROR(INDEX('Fixture Library'!$F$4:$F$200,MATCH(Setup!$B$6&amp;"-"&amp;$C96,'Fixture Library'!$A$4:$A$200,0)),""))</f>
        <v>6</v>
      </c>
      <c r="T96">
        <f t="shared" si="9"/>
        <v>0</v>
      </c>
      <c r="U96">
        <f t="shared" si="10"/>
        <v>0</v>
      </c>
      <c r="V96">
        <f t="shared" si="11"/>
        <v>0</v>
      </c>
    </row>
    <row r="97" spans="1:22">
      <c r="A97">
        <v>94</v>
      </c>
      <c r="B97" t="str">
        <f>IF(INT(($A97-1)/Setup!$B$15)+1&lt;=Setup!$B$5,INDEX(Setup!$B$21:$B$28,INT(($A97-1)/Setup!$B$15)+1),"")</f>
        <v>D</v>
      </c>
      <c r="C97">
        <f>IF($B97="","",MOD($A97-1,Setup!$B$15)+1)</f>
        <v>10</v>
      </c>
      <c r="D97">
        <f>IF(OR($B97="",$C97&gt;Setup!$B$15),"",IFERROR(INDEX('Fixture Library'!$D$4:$D$200,MATCH(Setup!$B$6&amp;"-"&amp;$C97,'Fixture Library'!$A$4:$A$200,0)),""))</f>
        <v>3</v>
      </c>
      <c r="E97" t="str">
        <f>IF($R97="","",IFERROR(INDEX(Teams!$D$4:$D$67,MATCH($B97&amp;"-"&amp;$R97,Teams!$E$4:$E$67,0)),""))</f>
        <v>Team D7</v>
      </c>
      <c r="F97" s="88"/>
      <c r="G97" s="88"/>
      <c r="H97" s="88"/>
      <c r="I97" t="str">
        <f>IF($Q97&lt;&gt;"Complete","",IF(AND(ISNUMBER($G97),$G97&gt;=Setup!$B$31),Setup!$B$32,0)+IF(AND($F97&lt;$L97,$L97-$F97&lt;=Setup!$B$33),Setup!$B$34,0))</f>
        <v/>
      </c>
      <c r="J97" t="str">
        <f t="shared" si="6"/>
        <v/>
      </c>
      <c r="K97" t="str">
        <f>IF($S97="","",IFERROR(INDEX(Teams!$D$4:$D$67,MATCH($B97&amp;"-"&amp;$S97,Teams!$E$4:$E$67,0)),""))</f>
        <v>Team D5</v>
      </c>
      <c r="L97" s="88"/>
      <c r="M97" s="88"/>
      <c r="N97" s="88"/>
      <c r="O97" t="str">
        <f>IF($Q97&lt;&gt;"Complete","",IF(AND(ISNUMBER($M97),$M97&gt;=Setup!$B$31),Setup!$B$32,0)+IF(AND($L97&lt;$F97,$F97-$L97&lt;=Setup!$B$33),Setup!$B$34,0))</f>
        <v/>
      </c>
      <c r="P97" t="str">
        <f t="shared" si="7"/>
        <v/>
      </c>
      <c r="Q97" t="str">
        <f t="shared" si="8"/>
        <v>Waiting</v>
      </c>
      <c r="R97">
        <f>IF(OR($B97="",$C97&gt;Setup!$B$15),"",IFERROR(INDEX('Fixture Library'!$E$4:$E$200,MATCH(Setup!$B$6&amp;"-"&amp;$C97,'Fixture Library'!$A$4:$A$200,0)),""))</f>
        <v>7</v>
      </c>
      <c r="S97">
        <f>IF(OR($B97="",$C97&gt;Setup!$B$15),"",IFERROR(INDEX('Fixture Library'!$F$4:$F$200,MATCH(Setup!$B$6&amp;"-"&amp;$C97,'Fixture Library'!$A$4:$A$200,0)),""))</f>
        <v>5</v>
      </c>
      <c r="T97">
        <f t="shared" si="9"/>
        <v>0</v>
      </c>
      <c r="U97">
        <f t="shared" si="10"/>
        <v>0</v>
      </c>
      <c r="V97">
        <f t="shared" si="11"/>
        <v>0</v>
      </c>
    </row>
    <row r="98" spans="1:22">
      <c r="A98">
        <v>95</v>
      </c>
      <c r="B98" t="str">
        <f>IF(INT(($A98-1)/Setup!$B$15)+1&lt;=Setup!$B$5,INDEX(Setup!$B$21:$B$28,INT(($A98-1)/Setup!$B$15)+1),"")</f>
        <v>D</v>
      </c>
      <c r="C98">
        <f>IF($B98="","",MOD($A98-1,Setup!$B$15)+1)</f>
        <v>11</v>
      </c>
      <c r="D98">
        <f>IF(OR($B98="",$C98&gt;Setup!$B$15),"",IFERROR(INDEX('Fixture Library'!$D$4:$D$200,MATCH(Setup!$B$6&amp;"-"&amp;$C98,'Fixture Library'!$A$4:$A$200,0)),""))</f>
        <v>3</v>
      </c>
      <c r="E98" t="str">
        <f>IF($R98="","",IFERROR(INDEX(Teams!$D$4:$D$67,MATCH($B98&amp;"-"&amp;$R98,Teams!$E$4:$E$67,0)),""))</f>
        <v>Team D8</v>
      </c>
      <c r="F98" s="88"/>
      <c r="G98" s="88"/>
      <c r="H98" s="88"/>
      <c r="I98" t="str">
        <f>IF($Q98&lt;&gt;"Complete","",IF(AND(ISNUMBER($G98),$G98&gt;=Setup!$B$31),Setup!$B$32,0)+IF(AND($F98&lt;$L98,$L98-$F98&lt;=Setup!$B$33),Setup!$B$34,0))</f>
        <v/>
      </c>
      <c r="J98" t="str">
        <f t="shared" si="6"/>
        <v/>
      </c>
      <c r="K98" t="str">
        <f>IF($S98="","",IFERROR(INDEX(Teams!$D$4:$D$67,MATCH($B98&amp;"-"&amp;$S98,Teams!$E$4:$E$67,0)),""))</f>
        <v>Team D4</v>
      </c>
      <c r="L98" s="88"/>
      <c r="M98" s="88"/>
      <c r="N98" s="88"/>
      <c r="O98" t="str">
        <f>IF($Q98&lt;&gt;"Complete","",IF(AND(ISNUMBER($M98),$M98&gt;=Setup!$B$31),Setup!$B$32,0)+IF(AND($L98&lt;$F98,$F98-$L98&lt;=Setup!$B$33),Setup!$B$34,0))</f>
        <v/>
      </c>
      <c r="P98" t="str">
        <f t="shared" si="7"/>
        <v/>
      </c>
      <c r="Q98" t="str">
        <f t="shared" si="8"/>
        <v>Waiting</v>
      </c>
      <c r="R98">
        <f>IF(OR($B98="",$C98&gt;Setup!$B$15),"",IFERROR(INDEX('Fixture Library'!$E$4:$E$200,MATCH(Setup!$B$6&amp;"-"&amp;$C98,'Fixture Library'!$A$4:$A$200,0)),""))</f>
        <v>8</v>
      </c>
      <c r="S98">
        <f>IF(OR($B98="",$C98&gt;Setup!$B$15),"",IFERROR(INDEX('Fixture Library'!$F$4:$F$200,MATCH(Setup!$B$6&amp;"-"&amp;$C98,'Fixture Library'!$A$4:$A$200,0)),""))</f>
        <v>4</v>
      </c>
      <c r="T98">
        <f t="shared" si="9"/>
        <v>0</v>
      </c>
      <c r="U98">
        <f t="shared" si="10"/>
        <v>0</v>
      </c>
      <c r="V98">
        <f t="shared" si="11"/>
        <v>0</v>
      </c>
    </row>
    <row r="99" spans="1:22">
      <c r="A99">
        <v>96</v>
      </c>
      <c r="B99" t="str">
        <f>IF(INT(($A99-1)/Setup!$B$15)+1&lt;=Setup!$B$5,INDEX(Setup!$B$21:$B$28,INT(($A99-1)/Setup!$B$15)+1),"")</f>
        <v>D</v>
      </c>
      <c r="C99">
        <f>IF($B99="","",MOD($A99-1,Setup!$B$15)+1)</f>
        <v>12</v>
      </c>
      <c r="D99">
        <f>IF(OR($B99="",$C99&gt;Setup!$B$15),"",IFERROR(INDEX('Fixture Library'!$D$4:$D$200,MATCH(Setup!$B$6&amp;"-"&amp;$C99,'Fixture Library'!$A$4:$A$200,0)),""))</f>
        <v>3</v>
      </c>
      <c r="E99" t="str">
        <f>IF($R99="","",IFERROR(INDEX(Teams!$D$4:$D$67,MATCH($B99&amp;"-"&amp;$R99,Teams!$E$4:$E$67,0)),""))</f>
        <v>Team D2</v>
      </c>
      <c r="F99" s="88"/>
      <c r="G99" s="88"/>
      <c r="H99" s="88"/>
      <c r="I99" t="str">
        <f>IF($Q99&lt;&gt;"Complete","",IF(AND(ISNUMBER($G99),$G99&gt;=Setup!$B$31),Setup!$B$32,0)+IF(AND($F99&lt;$L99,$L99-$F99&lt;=Setup!$B$33),Setup!$B$34,0))</f>
        <v/>
      </c>
      <c r="J99" t="str">
        <f t="shared" si="6"/>
        <v/>
      </c>
      <c r="K99" t="str">
        <f>IF($S99="","",IFERROR(INDEX(Teams!$D$4:$D$67,MATCH($B99&amp;"-"&amp;$S99,Teams!$E$4:$E$67,0)),""))</f>
        <v>Team D3</v>
      </c>
      <c r="L99" s="88"/>
      <c r="M99" s="88"/>
      <c r="N99" s="88"/>
      <c r="O99" t="str">
        <f>IF($Q99&lt;&gt;"Complete","",IF(AND(ISNUMBER($M99),$M99&gt;=Setup!$B$31),Setup!$B$32,0)+IF(AND($L99&lt;$F99,$F99-$L99&lt;=Setup!$B$33),Setup!$B$34,0))</f>
        <v/>
      </c>
      <c r="P99" t="str">
        <f t="shared" si="7"/>
        <v/>
      </c>
      <c r="Q99" t="str">
        <f t="shared" si="8"/>
        <v>Waiting</v>
      </c>
      <c r="R99">
        <f>IF(OR($B99="",$C99&gt;Setup!$B$15),"",IFERROR(INDEX('Fixture Library'!$E$4:$E$200,MATCH(Setup!$B$6&amp;"-"&amp;$C99,'Fixture Library'!$A$4:$A$200,0)),""))</f>
        <v>2</v>
      </c>
      <c r="S99">
        <f>IF(OR($B99="",$C99&gt;Setup!$B$15),"",IFERROR(INDEX('Fixture Library'!$F$4:$F$200,MATCH(Setup!$B$6&amp;"-"&amp;$C99,'Fixture Library'!$A$4:$A$200,0)),""))</f>
        <v>3</v>
      </c>
      <c r="T99">
        <f t="shared" si="9"/>
        <v>0</v>
      </c>
      <c r="U99">
        <f t="shared" si="10"/>
        <v>0</v>
      </c>
      <c r="V99">
        <f t="shared" si="11"/>
        <v>0</v>
      </c>
    </row>
    <row r="100" spans="1:22">
      <c r="A100">
        <v>97</v>
      </c>
      <c r="B100" t="str">
        <f>IF(INT(($A100-1)/Setup!$B$15)+1&lt;=Setup!$B$5,INDEX(Setup!$B$21:$B$28,INT(($A100-1)/Setup!$B$15)+1),"")</f>
        <v>D</v>
      </c>
      <c r="C100">
        <f>IF($B100="","",MOD($A100-1,Setup!$B$15)+1)</f>
        <v>13</v>
      </c>
      <c r="D100">
        <f>IF(OR($B100="",$C100&gt;Setup!$B$15),"",IFERROR(INDEX('Fixture Library'!$D$4:$D$200,MATCH(Setup!$B$6&amp;"-"&amp;$C100,'Fixture Library'!$A$4:$A$200,0)),""))</f>
        <v>4</v>
      </c>
      <c r="E100" t="str">
        <f>IF($R100="","",IFERROR(INDEX(Teams!$D$4:$D$67,MATCH($B100&amp;"-"&amp;$R100,Teams!$E$4:$E$67,0)),""))</f>
        <v>Team D5</v>
      </c>
      <c r="F100" s="88"/>
      <c r="G100" s="88"/>
      <c r="H100" s="88"/>
      <c r="I100" t="str">
        <f>IF($Q100&lt;&gt;"Complete","",IF(AND(ISNUMBER($G100),$G100&gt;=Setup!$B$31),Setup!$B$32,0)+IF(AND($F100&lt;$L100,$L100-$F100&lt;=Setup!$B$33),Setup!$B$34,0))</f>
        <v/>
      </c>
      <c r="J100" t="str">
        <f t="shared" si="6"/>
        <v/>
      </c>
      <c r="K100" t="str">
        <f>IF($S100="","",IFERROR(INDEX(Teams!$D$4:$D$67,MATCH($B100&amp;"-"&amp;$S100,Teams!$E$4:$E$67,0)),""))</f>
        <v>Team D1</v>
      </c>
      <c r="L100" s="88"/>
      <c r="M100" s="88"/>
      <c r="N100" s="88"/>
      <c r="O100" t="str">
        <f>IF($Q100&lt;&gt;"Complete","",IF(AND(ISNUMBER($M100),$M100&gt;=Setup!$B$31),Setup!$B$32,0)+IF(AND($L100&lt;$F100,$F100-$L100&lt;=Setup!$B$33),Setup!$B$34,0))</f>
        <v/>
      </c>
      <c r="P100" t="str">
        <f t="shared" si="7"/>
        <v/>
      </c>
      <c r="Q100" t="str">
        <f t="shared" si="8"/>
        <v>Waiting</v>
      </c>
      <c r="R100">
        <f>IF(OR($B100="",$C100&gt;Setup!$B$15),"",IFERROR(INDEX('Fixture Library'!$E$4:$E$200,MATCH(Setup!$B$6&amp;"-"&amp;$C100,'Fixture Library'!$A$4:$A$200,0)),""))</f>
        <v>5</v>
      </c>
      <c r="S100">
        <f>IF(OR($B100="",$C100&gt;Setup!$B$15),"",IFERROR(INDEX('Fixture Library'!$F$4:$F$200,MATCH(Setup!$B$6&amp;"-"&amp;$C100,'Fixture Library'!$A$4:$A$200,0)),""))</f>
        <v>1</v>
      </c>
      <c r="T100">
        <f t="shared" si="9"/>
        <v>0</v>
      </c>
      <c r="U100">
        <f t="shared" si="10"/>
        <v>0</v>
      </c>
      <c r="V100">
        <f t="shared" si="11"/>
        <v>0</v>
      </c>
    </row>
    <row r="101" spans="1:22">
      <c r="A101">
        <v>98</v>
      </c>
      <c r="B101" t="str">
        <f>IF(INT(($A101-1)/Setup!$B$15)+1&lt;=Setup!$B$5,INDEX(Setup!$B$21:$B$28,INT(($A101-1)/Setup!$B$15)+1),"")</f>
        <v>D</v>
      </c>
      <c r="C101">
        <f>IF($B101="","",MOD($A101-1,Setup!$B$15)+1)</f>
        <v>14</v>
      </c>
      <c r="D101">
        <f>IF(OR($B101="",$C101&gt;Setup!$B$15),"",IFERROR(INDEX('Fixture Library'!$D$4:$D$200,MATCH(Setup!$B$6&amp;"-"&amp;$C101,'Fixture Library'!$A$4:$A$200,0)),""))</f>
        <v>4</v>
      </c>
      <c r="E101" t="str">
        <f>IF($R101="","",IFERROR(INDEX(Teams!$D$4:$D$67,MATCH($B101&amp;"-"&amp;$R101,Teams!$E$4:$E$67,0)),""))</f>
        <v>Team D4</v>
      </c>
      <c r="F101" s="88"/>
      <c r="G101" s="88"/>
      <c r="H101" s="88"/>
      <c r="I101" t="str">
        <f>IF($Q101&lt;&gt;"Complete","",IF(AND(ISNUMBER($G101),$G101&gt;=Setup!$B$31),Setup!$B$32,0)+IF(AND($F101&lt;$L101,$L101-$F101&lt;=Setup!$B$33),Setup!$B$34,0))</f>
        <v/>
      </c>
      <c r="J101" t="str">
        <f t="shared" si="6"/>
        <v/>
      </c>
      <c r="K101" t="str">
        <f>IF($S101="","",IFERROR(INDEX(Teams!$D$4:$D$67,MATCH($B101&amp;"-"&amp;$S101,Teams!$E$4:$E$67,0)),""))</f>
        <v>Team D6</v>
      </c>
      <c r="L101" s="88"/>
      <c r="M101" s="88"/>
      <c r="N101" s="88"/>
      <c r="O101" t="str">
        <f>IF($Q101&lt;&gt;"Complete","",IF(AND(ISNUMBER($M101),$M101&gt;=Setup!$B$31),Setup!$B$32,0)+IF(AND($L101&lt;$F101,$F101-$L101&lt;=Setup!$B$33),Setup!$B$34,0))</f>
        <v/>
      </c>
      <c r="P101" t="str">
        <f t="shared" si="7"/>
        <v/>
      </c>
      <c r="Q101" t="str">
        <f t="shared" si="8"/>
        <v>Waiting</v>
      </c>
      <c r="R101">
        <f>IF(OR($B101="",$C101&gt;Setup!$B$15),"",IFERROR(INDEX('Fixture Library'!$E$4:$E$200,MATCH(Setup!$B$6&amp;"-"&amp;$C101,'Fixture Library'!$A$4:$A$200,0)),""))</f>
        <v>4</v>
      </c>
      <c r="S101">
        <f>IF(OR($B101="",$C101&gt;Setup!$B$15),"",IFERROR(INDEX('Fixture Library'!$F$4:$F$200,MATCH(Setup!$B$6&amp;"-"&amp;$C101,'Fixture Library'!$A$4:$A$200,0)),""))</f>
        <v>6</v>
      </c>
      <c r="T101">
        <f t="shared" si="9"/>
        <v>0</v>
      </c>
      <c r="U101">
        <f t="shared" si="10"/>
        <v>0</v>
      </c>
      <c r="V101">
        <f t="shared" si="11"/>
        <v>0</v>
      </c>
    </row>
    <row r="102" spans="1:22">
      <c r="A102">
        <v>99</v>
      </c>
      <c r="B102" t="str">
        <f>IF(INT(($A102-1)/Setup!$B$15)+1&lt;=Setup!$B$5,INDEX(Setup!$B$21:$B$28,INT(($A102-1)/Setup!$B$15)+1),"")</f>
        <v>D</v>
      </c>
      <c r="C102">
        <f>IF($B102="","",MOD($A102-1,Setup!$B$15)+1)</f>
        <v>15</v>
      </c>
      <c r="D102">
        <f>IF(OR($B102="",$C102&gt;Setup!$B$15),"",IFERROR(INDEX('Fixture Library'!$D$4:$D$200,MATCH(Setup!$B$6&amp;"-"&amp;$C102,'Fixture Library'!$A$4:$A$200,0)),""))</f>
        <v>4</v>
      </c>
      <c r="E102" t="str">
        <f>IF($R102="","",IFERROR(INDEX(Teams!$D$4:$D$67,MATCH($B102&amp;"-"&amp;$R102,Teams!$E$4:$E$67,0)),""))</f>
        <v>Team D3</v>
      </c>
      <c r="F102" s="88"/>
      <c r="G102" s="88"/>
      <c r="H102" s="88"/>
      <c r="I102" t="str">
        <f>IF($Q102&lt;&gt;"Complete","",IF(AND(ISNUMBER($G102),$G102&gt;=Setup!$B$31),Setup!$B$32,0)+IF(AND($F102&lt;$L102,$L102-$F102&lt;=Setup!$B$33),Setup!$B$34,0))</f>
        <v/>
      </c>
      <c r="J102" t="str">
        <f t="shared" si="6"/>
        <v/>
      </c>
      <c r="K102" t="str">
        <f>IF($S102="","",IFERROR(INDEX(Teams!$D$4:$D$67,MATCH($B102&amp;"-"&amp;$S102,Teams!$E$4:$E$67,0)),""))</f>
        <v>Team D7</v>
      </c>
      <c r="L102" s="88"/>
      <c r="M102" s="88"/>
      <c r="N102" s="88"/>
      <c r="O102" t="str">
        <f>IF($Q102&lt;&gt;"Complete","",IF(AND(ISNUMBER($M102),$M102&gt;=Setup!$B$31),Setup!$B$32,0)+IF(AND($L102&lt;$F102,$F102-$L102&lt;=Setup!$B$33),Setup!$B$34,0))</f>
        <v/>
      </c>
      <c r="P102" t="str">
        <f t="shared" si="7"/>
        <v/>
      </c>
      <c r="Q102" t="str">
        <f t="shared" si="8"/>
        <v>Waiting</v>
      </c>
      <c r="R102">
        <f>IF(OR($B102="",$C102&gt;Setup!$B$15),"",IFERROR(INDEX('Fixture Library'!$E$4:$E$200,MATCH(Setup!$B$6&amp;"-"&amp;$C102,'Fixture Library'!$A$4:$A$200,0)),""))</f>
        <v>3</v>
      </c>
      <c r="S102">
        <f>IF(OR($B102="",$C102&gt;Setup!$B$15),"",IFERROR(INDEX('Fixture Library'!$F$4:$F$200,MATCH(Setup!$B$6&amp;"-"&amp;$C102,'Fixture Library'!$A$4:$A$200,0)),""))</f>
        <v>7</v>
      </c>
      <c r="T102">
        <f t="shared" si="9"/>
        <v>0</v>
      </c>
      <c r="U102">
        <f t="shared" si="10"/>
        <v>0</v>
      </c>
      <c r="V102">
        <f t="shared" si="11"/>
        <v>0</v>
      </c>
    </row>
    <row r="103" spans="1:22">
      <c r="A103">
        <v>100</v>
      </c>
      <c r="B103" t="str">
        <f>IF(INT(($A103-1)/Setup!$B$15)+1&lt;=Setup!$B$5,INDEX(Setup!$B$21:$B$28,INT(($A103-1)/Setup!$B$15)+1),"")</f>
        <v>D</v>
      </c>
      <c r="C103">
        <f>IF($B103="","",MOD($A103-1,Setup!$B$15)+1)</f>
        <v>16</v>
      </c>
      <c r="D103">
        <f>IF(OR($B103="",$C103&gt;Setup!$B$15),"",IFERROR(INDEX('Fixture Library'!$D$4:$D$200,MATCH(Setup!$B$6&amp;"-"&amp;$C103,'Fixture Library'!$A$4:$A$200,0)),""))</f>
        <v>4</v>
      </c>
      <c r="E103" t="str">
        <f>IF($R103="","",IFERROR(INDEX(Teams!$D$4:$D$67,MATCH($B103&amp;"-"&amp;$R103,Teams!$E$4:$E$67,0)),""))</f>
        <v>Team D2</v>
      </c>
      <c r="F103" s="88"/>
      <c r="G103" s="88"/>
      <c r="H103" s="88"/>
      <c r="I103" t="str">
        <f>IF($Q103&lt;&gt;"Complete","",IF(AND(ISNUMBER($G103),$G103&gt;=Setup!$B$31),Setup!$B$32,0)+IF(AND($F103&lt;$L103,$L103-$F103&lt;=Setup!$B$33),Setup!$B$34,0))</f>
        <v/>
      </c>
      <c r="J103" t="str">
        <f t="shared" si="6"/>
        <v/>
      </c>
      <c r="K103" t="str">
        <f>IF($S103="","",IFERROR(INDEX(Teams!$D$4:$D$67,MATCH($B103&amp;"-"&amp;$S103,Teams!$E$4:$E$67,0)),""))</f>
        <v>Team D8</v>
      </c>
      <c r="L103" s="88"/>
      <c r="M103" s="88"/>
      <c r="N103" s="88"/>
      <c r="O103" t="str">
        <f>IF($Q103&lt;&gt;"Complete","",IF(AND(ISNUMBER($M103),$M103&gt;=Setup!$B$31),Setup!$B$32,0)+IF(AND($L103&lt;$F103,$F103-$L103&lt;=Setup!$B$33),Setup!$B$34,0))</f>
        <v/>
      </c>
      <c r="P103" t="str">
        <f t="shared" si="7"/>
        <v/>
      </c>
      <c r="Q103" t="str">
        <f t="shared" si="8"/>
        <v>Waiting</v>
      </c>
      <c r="R103">
        <f>IF(OR($B103="",$C103&gt;Setup!$B$15),"",IFERROR(INDEX('Fixture Library'!$E$4:$E$200,MATCH(Setup!$B$6&amp;"-"&amp;$C103,'Fixture Library'!$A$4:$A$200,0)),""))</f>
        <v>2</v>
      </c>
      <c r="S103">
        <f>IF(OR($B103="",$C103&gt;Setup!$B$15),"",IFERROR(INDEX('Fixture Library'!$F$4:$F$200,MATCH(Setup!$B$6&amp;"-"&amp;$C103,'Fixture Library'!$A$4:$A$200,0)),""))</f>
        <v>8</v>
      </c>
      <c r="T103">
        <f t="shared" si="9"/>
        <v>0</v>
      </c>
      <c r="U103">
        <f t="shared" si="10"/>
        <v>0</v>
      </c>
      <c r="V103">
        <f t="shared" si="11"/>
        <v>0</v>
      </c>
    </row>
    <row r="104" spans="1:22">
      <c r="A104">
        <v>101</v>
      </c>
      <c r="B104" t="str">
        <f>IF(INT(($A104-1)/Setup!$B$15)+1&lt;=Setup!$B$5,INDEX(Setup!$B$21:$B$28,INT(($A104-1)/Setup!$B$15)+1),"")</f>
        <v>D</v>
      </c>
      <c r="C104">
        <f>IF($B104="","",MOD($A104-1,Setup!$B$15)+1)</f>
        <v>17</v>
      </c>
      <c r="D104">
        <f>IF(OR($B104="",$C104&gt;Setup!$B$15),"",IFERROR(INDEX('Fixture Library'!$D$4:$D$200,MATCH(Setup!$B$6&amp;"-"&amp;$C104,'Fixture Library'!$A$4:$A$200,0)),""))</f>
        <v>5</v>
      </c>
      <c r="E104" t="str">
        <f>IF($R104="","",IFERROR(INDEX(Teams!$D$4:$D$67,MATCH($B104&amp;"-"&amp;$R104,Teams!$E$4:$E$67,0)),""))</f>
        <v>Team D1</v>
      </c>
      <c r="F104" s="88"/>
      <c r="G104" s="88"/>
      <c r="H104" s="88"/>
      <c r="I104" t="str">
        <f>IF($Q104&lt;&gt;"Complete","",IF(AND(ISNUMBER($G104),$G104&gt;=Setup!$B$31),Setup!$B$32,0)+IF(AND($F104&lt;$L104,$L104-$F104&lt;=Setup!$B$33),Setup!$B$34,0))</f>
        <v/>
      </c>
      <c r="J104" t="str">
        <f t="shared" si="6"/>
        <v/>
      </c>
      <c r="K104" t="str">
        <f>IF($S104="","",IFERROR(INDEX(Teams!$D$4:$D$67,MATCH($B104&amp;"-"&amp;$S104,Teams!$E$4:$E$67,0)),""))</f>
        <v>Team D4</v>
      </c>
      <c r="L104" s="88"/>
      <c r="M104" s="88"/>
      <c r="N104" s="88"/>
      <c r="O104" t="str">
        <f>IF($Q104&lt;&gt;"Complete","",IF(AND(ISNUMBER($M104),$M104&gt;=Setup!$B$31),Setup!$B$32,0)+IF(AND($L104&lt;$F104,$F104-$L104&lt;=Setup!$B$33),Setup!$B$34,0))</f>
        <v/>
      </c>
      <c r="P104" t="str">
        <f t="shared" si="7"/>
        <v/>
      </c>
      <c r="Q104" t="str">
        <f t="shared" si="8"/>
        <v>Waiting</v>
      </c>
      <c r="R104">
        <f>IF(OR($B104="",$C104&gt;Setup!$B$15),"",IFERROR(INDEX('Fixture Library'!$E$4:$E$200,MATCH(Setup!$B$6&amp;"-"&amp;$C104,'Fixture Library'!$A$4:$A$200,0)),""))</f>
        <v>1</v>
      </c>
      <c r="S104">
        <f>IF(OR($B104="",$C104&gt;Setup!$B$15),"",IFERROR(INDEX('Fixture Library'!$F$4:$F$200,MATCH(Setup!$B$6&amp;"-"&amp;$C104,'Fixture Library'!$A$4:$A$200,0)),""))</f>
        <v>4</v>
      </c>
      <c r="T104">
        <f t="shared" si="9"/>
        <v>0</v>
      </c>
      <c r="U104">
        <f t="shared" si="10"/>
        <v>0</v>
      </c>
      <c r="V104">
        <f t="shared" si="11"/>
        <v>0</v>
      </c>
    </row>
    <row r="105" spans="1:22">
      <c r="A105">
        <v>102</v>
      </c>
      <c r="B105" t="str">
        <f>IF(INT(($A105-1)/Setup!$B$15)+1&lt;=Setup!$B$5,INDEX(Setup!$B$21:$B$28,INT(($A105-1)/Setup!$B$15)+1),"")</f>
        <v>D</v>
      </c>
      <c r="C105">
        <f>IF($B105="","",MOD($A105-1,Setup!$B$15)+1)</f>
        <v>18</v>
      </c>
      <c r="D105">
        <f>IF(OR($B105="",$C105&gt;Setup!$B$15),"",IFERROR(INDEX('Fixture Library'!$D$4:$D$200,MATCH(Setup!$B$6&amp;"-"&amp;$C105,'Fixture Library'!$A$4:$A$200,0)),""))</f>
        <v>5</v>
      </c>
      <c r="E105" t="str">
        <f>IF($R105="","",IFERROR(INDEX(Teams!$D$4:$D$67,MATCH($B105&amp;"-"&amp;$R105,Teams!$E$4:$E$67,0)),""))</f>
        <v>Team D5</v>
      </c>
      <c r="F105" s="88"/>
      <c r="G105" s="88"/>
      <c r="H105" s="88"/>
      <c r="I105" t="str">
        <f>IF($Q105&lt;&gt;"Complete","",IF(AND(ISNUMBER($G105),$G105&gt;=Setup!$B$31),Setup!$B$32,0)+IF(AND($F105&lt;$L105,$L105-$F105&lt;=Setup!$B$33),Setup!$B$34,0))</f>
        <v/>
      </c>
      <c r="J105" t="str">
        <f t="shared" si="6"/>
        <v/>
      </c>
      <c r="K105" t="str">
        <f>IF($S105="","",IFERROR(INDEX(Teams!$D$4:$D$67,MATCH($B105&amp;"-"&amp;$S105,Teams!$E$4:$E$67,0)),""))</f>
        <v>Team D3</v>
      </c>
      <c r="L105" s="88"/>
      <c r="M105" s="88"/>
      <c r="N105" s="88"/>
      <c r="O105" t="str">
        <f>IF($Q105&lt;&gt;"Complete","",IF(AND(ISNUMBER($M105),$M105&gt;=Setup!$B$31),Setup!$B$32,0)+IF(AND($L105&lt;$F105,$F105-$L105&lt;=Setup!$B$33),Setup!$B$34,0))</f>
        <v/>
      </c>
      <c r="P105" t="str">
        <f t="shared" si="7"/>
        <v/>
      </c>
      <c r="Q105" t="str">
        <f t="shared" si="8"/>
        <v>Waiting</v>
      </c>
      <c r="R105">
        <f>IF(OR($B105="",$C105&gt;Setup!$B$15),"",IFERROR(INDEX('Fixture Library'!$E$4:$E$200,MATCH(Setup!$B$6&amp;"-"&amp;$C105,'Fixture Library'!$A$4:$A$200,0)),""))</f>
        <v>5</v>
      </c>
      <c r="S105">
        <f>IF(OR($B105="",$C105&gt;Setup!$B$15),"",IFERROR(INDEX('Fixture Library'!$F$4:$F$200,MATCH(Setup!$B$6&amp;"-"&amp;$C105,'Fixture Library'!$A$4:$A$200,0)),""))</f>
        <v>3</v>
      </c>
      <c r="T105">
        <f t="shared" si="9"/>
        <v>0</v>
      </c>
      <c r="U105">
        <f t="shared" si="10"/>
        <v>0</v>
      </c>
      <c r="V105">
        <f t="shared" si="11"/>
        <v>0</v>
      </c>
    </row>
    <row r="106" spans="1:22">
      <c r="A106">
        <v>103</v>
      </c>
      <c r="B106" t="str">
        <f>IF(INT(($A106-1)/Setup!$B$15)+1&lt;=Setup!$B$5,INDEX(Setup!$B$21:$B$28,INT(($A106-1)/Setup!$B$15)+1),"")</f>
        <v>D</v>
      </c>
      <c r="C106">
        <f>IF($B106="","",MOD($A106-1,Setup!$B$15)+1)</f>
        <v>19</v>
      </c>
      <c r="D106">
        <f>IF(OR($B106="",$C106&gt;Setup!$B$15),"",IFERROR(INDEX('Fixture Library'!$D$4:$D$200,MATCH(Setup!$B$6&amp;"-"&amp;$C106,'Fixture Library'!$A$4:$A$200,0)),""))</f>
        <v>5</v>
      </c>
      <c r="E106" t="str">
        <f>IF($R106="","",IFERROR(INDEX(Teams!$D$4:$D$67,MATCH($B106&amp;"-"&amp;$R106,Teams!$E$4:$E$67,0)),""))</f>
        <v>Team D6</v>
      </c>
      <c r="F106" s="88"/>
      <c r="G106" s="88"/>
      <c r="H106" s="88"/>
      <c r="I106" t="str">
        <f>IF($Q106&lt;&gt;"Complete","",IF(AND(ISNUMBER($G106),$G106&gt;=Setup!$B$31),Setup!$B$32,0)+IF(AND($F106&lt;$L106,$L106-$F106&lt;=Setup!$B$33),Setup!$B$34,0))</f>
        <v/>
      </c>
      <c r="J106" t="str">
        <f t="shared" si="6"/>
        <v/>
      </c>
      <c r="K106" t="str">
        <f>IF($S106="","",IFERROR(INDEX(Teams!$D$4:$D$67,MATCH($B106&amp;"-"&amp;$S106,Teams!$E$4:$E$67,0)),""))</f>
        <v>Team D2</v>
      </c>
      <c r="L106" s="88"/>
      <c r="M106" s="88"/>
      <c r="N106" s="88"/>
      <c r="O106" t="str">
        <f>IF($Q106&lt;&gt;"Complete","",IF(AND(ISNUMBER($M106),$M106&gt;=Setup!$B$31),Setup!$B$32,0)+IF(AND($L106&lt;$F106,$F106-$L106&lt;=Setup!$B$33),Setup!$B$34,0))</f>
        <v/>
      </c>
      <c r="P106" t="str">
        <f t="shared" si="7"/>
        <v/>
      </c>
      <c r="Q106" t="str">
        <f t="shared" si="8"/>
        <v>Waiting</v>
      </c>
      <c r="R106">
        <f>IF(OR($B106="",$C106&gt;Setup!$B$15),"",IFERROR(INDEX('Fixture Library'!$E$4:$E$200,MATCH(Setup!$B$6&amp;"-"&amp;$C106,'Fixture Library'!$A$4:$A$200,0)),""))</f>
        <v>6</v>
      </c>
      <c r="S106">
        <f>IF(OR($B106="",$C106&gt;Setup!$B$15),"",IFERROR(INDEX('Fixture Library'!$F$4:$F$200,MATCH(Setup!$B$6&amp;"-"&amp;$C106,'Fixture Library'!$A$4:$A$200,0)),""))</f>
        <v>2</v>
      </c>
      <c r="T106">
        <f t="shared" si="9"/>
        <v>0</v>
      </c>
      <c r="U106">
        <f t="shared" si="10"/>
        <v>0</v>
      </c>
      <c r="V106">
        <f t="shared" si="11"/>
        <v>0</v>
      </c>
    </row>
    <row r="107" spans="1:22">
      <c r="A107">
        <v>104</v>
      </c>
      <c r="B107" t="str">
        <f>IF(INT(($A107-1)/Setup!$B$15)+1&lt;=Setup!$B$5,INDEX(Setup!$B$21:$B$28,INT(($A107-1)/Setup!$B$15)+1),"")</f>
        <v>D</v>
      </c>
      <c r="C107">
        <f>IF($B107="","",MOD($A107-1,Setup!$B$15)+1)</f>
        <v>20</v>
      </c>
      <c r="D107">
        <f>IF(OR($B107="",$C107&gt;Setup!$B$15),"",IFERROR(INDEX('Fixture Library'!$D$4:$D$200,MATCH(Setup!$B$6&amp;"-"&amp;$C107,'Fixture Library'!$A$4:$A$200,0)),""))</f>
        <v>5</v>
      </c>
      <c r="E107" t="str">
        <f>IF($R107="","",IFERROR(INDEX(Teams!$D$4:$D$67,MATCH($B107&amp;"-"&amp;$R107,Teams!$E$4:$E$67,0)),""))</f>
        <v>Team D7</v>
      </c>
      <c r="F107" s="88"/>
      <c r="G107" s="88"/>
      <c r="H107" s="88"/>
      <c r="I107" t="str">
        <f>IF($Q107&lt;&gt;"Complete","",IF(AND(ISNUMBER($G107),$G107&gt;=Setup!$B$31),Setup!$B$32,0)+IF(AND($F107&lt;$L107,$L107-$F107&lt;=Setup!$B$33),Setup!$B$34,0))</f>
        <v/>
      </c>
      <c r="J107" t="str">
        <f t="shared" si="6"/>
        <v/>
      </c>
      <c r="K107" t="str">
        <f>IF($S107="","",IFERROR(INDEX(Teams!$D$4:$D$67,MATCH($B107&amp;"-"&amp;$S107,Teams!$E$4:$E$67,0)),""))</f>
        <v>Team D8</v>
      </c>
      <c r="L107" s="88"/>
      <c r="M107" s="88"/>
      <c r="N107" s="88"/>
      <c r="O107" t="str">
        <f>IF($Q107&lt;&gt;"Complete","",IF(AND(ISNUMBER($M107),$M107&gt;=Setup!$B$31),Setup!$B$32,0)+IF(AND($L107&lt;$F107,$F107-$L107&lt;=Setup!$B$33),Setup!$B$34,0))</f>
        <v/>
      </c>
      <c r="P107" t="str">
        <f t="shared" si="7"/>
        <v/>
      </c>
      <c r="Q107" t="str">
        <f t="shared" si="8"/>
        <v>Waiting</v>
      </c>
      <c r="R107">
        <f>IF(OR($B107="",$C107&gt;Setup!$B$15),"",IFERROR(INDEX('Fixture Library'!$E$4:$E$200,MATCH(Setup!$B$6&amp;"-"&amp;$C107,'Fixture Library'!$A$4:$A$200,0)),""))</f>
        <v>7</v>
      </c>
      <c r="S107">
        <f>IF(OR($B107="",$C107&gt;Setup!$B$15),"",IFERROR(INDEX('Fixture Library'!$F$4:$F$200,MATCH(Setup!$B$6&amp;"-"&amp;$C107,'Fixture Library'!$A$4:$A$200,0)),""))</f>
        <v>8</v>
      </c>
      <c r="T107">
        <f t="shared" si="9"/>
        <v>0</v>
      </c>
      <c r="U107">
        <f t="shared" si="10"/>
        <v>0</v>
      </c>
      <c r="V107">
        <f t="shared" si="11"/>
        <v>0</v>
      </c>
    </row>
    <row r="108" spans="1:22">
      <c r="A108">
        <v>105</v>
      </c>
      <c r="B108" t="str">
        <f>IF(INT(($A108-1)/Setup!$B$15)+1&lt;=Setup!$B$5,INDEX(Setup!$B$21:$B$28,INT(($A108-1)/Setup!$B$15)+1),"")</f>
        <v>D</v>
      </c>
      <c r="C108">
        <f>IF($B108="","",MOD($A108-1,Setup!$B$15)+1)</f>
        <v>21</v>
      </c>
      <c r="D108">
        <f>IF(OR($B108="",$C108&gt;Setup!$B$15),"",IFERROR(INDEX('Fixture Library'!$D$4:$D$200,MATCH(Setup!$B$6&amp;"-"&amp;$C108,'Fixture Library'!$A$4:$A$200,0)),""))</f>
        <v>6</v>
      </c>
      <c r="E108" t="str">
        <f>IF($R108="","",IFERROR(INDEX(Teams!$D$4:$D$67,MATCH($B108&amp;"-"&amp;$R108,Teams!$E$4:$E$67,0)),""))</f>
        <v>Team D3</v>
      </c>
      <c r="F108" s="88"/>
      <c r="G108" s="88"/>
      <c r="H108" s="88"/>
      <c r="I108" t="str">
        <f>IF($Q108&lt;&gt;"Complete","",IF(AND(ISNUMBER($G108),$G108&gt;=Setup!$B$31),Setup!$B$32,0)+IF(AND($F108&lt;$L108,$L108-$F108&lt;=Setup!$B$33),Setup!$B$34,0))</f>
        <v/>
      </c>
      <c r="J108" t="str">
        <f t="shared" si="6"/>
        <v/>
      </c>
      <c r="K108" t="str">
        <f>IF($S108="","",IFERROR(INDEX(Teams!$D$4:$D$67,MATCH($B108&amp;"-"&amp;$S108,Teams!$E$4:$E$67,0)),""))</f>
        <v>Team D1</v>
      </c>
      <c r="L108" s="88"/>
      <c r="M108" s="88"/>
      <c r="N108" s="88"/>
      <c r="O108" t="str">
        <f>IF($Q108&lt;&gt;"Complete","",IF(AND(ISNUMBER($M108),$M108&gt;=Setup!$B$31),Setup!$B$32,0)+IF(AND($L108&lt;$F108,$F108-$L108&lt;=Setup!$B$33),Setup!$B$34,0))</f>
        <v/>
      </c>
      <c r="P108" t="str">
        <f t="shared" si="7"/>
        <v/>
      </c>
      <c r="Q108" t="str">
        <f t="shared" si="8"/>
        <v>Waiting</v>
      </c>
      <c r="R108">
        <f>IF(OR($B108="",$C108&gt;Setup!$B$15),"",IFERROR(INDEX('Fixture Library'!$E$4:$E$200,MATCH(Setup!$B$6&amp;"-"&amp;$C108,'Fixture Library'!$A$4:$A$200,0)),""))</f>
        <v>3</v>
      </c>
      <c r="S108">
        <f>IF(OR($B108="",$C108&gt;Setup!$B$15),"",IFERROR(INDEX('Fixture Library'!$F$4:$F$200,MATCH(Setup!$B$6&amp;"-"&amp;$C108,'Fixture Library'!$A$4:$A$200,0)),""))</f>
        <v>1</v>
      </c>
      <c r="T108">
        <f t="shared" si="9"/>
        <v>0</v>
      </c>
      <c r="U108">
        <f t="shared" si="10"/>
        <v>0</v>
      </c>
      <c r="V108">
        <f t="shared" si="11"/>
        <v>0</v>
      </c>
    </row>
    <row r="109" spans="1:22">
      <c r="A109">
        <v>106</v>
      </c>
      <c r="B109" t="str">
        <f>IF(INT(($A109-1)/Setup!$B$15)+1&lt;=Setup!$B$5,INDEX(Setup!$B$21:$B$28,INT(($A109-1)/Setup!$B$15)+1),"")</f>
        <v>D</v>
      </c>
      <c r="C109">
        <f>IF($B109="","",MOD($A109-1,Setup!$B$15)+1)</f>
        <v>22</v>
      </c>
      <c r="D109">
        <f>IF(OR($B109="",$C109&gt;Setup!$B$15),"",IFERROR(INDEX('Fixture Library'!$D$4:$D$200,MATCH(Setup!$B$6&amp;"-"&amp;$C109,'Fixture Library'!$A$4:$A$200,0)),""))</f>
        <v>6</v>
      </c>
      <c r="E109" t="str">
        <f>IF($R109="","",IFERROR(INDEX(Teams!$D$4:$D$67,MATCH($B109&amp;"-"&amp;$R109,Teams!$E$4:$E$67,0)),""))</f>
        <v>Team D2</v>
      </c>
      <c r="F109" s="88"/>
      <c r="G109" s="88"/>
      <c r="H109" s="88"/>
      <c r="I109" t="str">
        <f>IF($Q109&lt;&gt;"Complete","",IF(AND(ISNUMBER($G109),$G109&gt;=Setup!$B$31),Setup!$B$32,0)+IF(AND($F109&lt;$L109,$L109-$F109&lt;=Setup!$B$33),Setup!$B$34,0))</f>
        <v/>
      </c>
      <c r="J109" t="str">
        <f t="shared" si="6"/>
        <v/>
      </c>
      <c r="K109" t="str">
        <f>IF($S109="","",IFERROR(INDEX(Teams!$D$4:$D$67,MATCH($B109&amp;"-"&amp;$S109,Teams!$E$4:$E$67,0)),""))</f>
        <v>Team D4</v>
      </c>
      <c r="L109" s="88"/>
      <c r="M109" s="88"/>
      <c r="N109" s="88"/>
      <c r="O109" t="str">
        <f>IF($Q109&lt;&gt;"Complete","",IF(AND(ISNUMBER($M109),$M109&gt;=Setup!$B$31),Setup!$B$32,0)+IF(AND($L109&lt;$F109,$F109-$L109&lt;=Setup!$B$33),Setup!$B$34,0))</f>
        <v/>
      </c>
      <c r="P109" t="str">
        <f t="shared" si="7"/>
        <v/>
      </c>
      <c r="Q109" t="str">
        <f t="shared" si="8"/>
        <v>Waiting</v>
      </c>
      <c r="R109">
        <f>IF(OR($B109="",$C109&gt;Setup!$B$15),"",IFERROR(INDEX('Fixture Library'!$E$4:$E$200,MATCH(Setup!$B$6&amp;"-"&amp;$C109,'Fixture Library'!$A$4:$A$200,0)),""))</f>
        <v>2</v>
      </c>
      <c r="S109">
        <f>IF(OR($B109="",$C109&gt;Setup!$B$15),"",IFERROR(INDEX('Fixture Library'!$F$4:$F$200,MATCH(Setup!$B$6&amp;"-"&amp;$C109,'Fixture Library'!$A$4:$A$200,0)),""))</f>
        <v>4</v>
      </c>
      <c r="T109">
        <f t="shared" si="9"/>
        <v>0</v>
      </c>
      <c r="U109">
        <f t="shared" si="10"/>
        <v>0</v>
      </c>
      <c r="V109">
        <f t="shared" si="11"/>
        <v>0</v>
      </c>
    </row>
    <row r="110" spans="1:22">
      <c r="A110">
        <v>107</v>
      </c>
      <c r="B110" t="str">
        <f>IF(INT(($A110-1)/Setup!$B$15)+1&lt;=Setup!$B$5,INDEX(Setup!$B$21:$B$28,INT(($A110-1)/Setup!$B$15)+1),"")</f>
        <v>D</v>
      </c>
      <c r="C110">
        <f>IF($B110="","",MOD($A110-1,Setup!$B$15)+1)</f>
        <v>23</v>
      </c>
      <c r="D110">
        <f>IF(OR($B110="",$C110&gt;Setup!$B$15),"",IFERROR(INDEX('Fixture Library'!$D$4:$D$200,MATCH(Setup!$B$6&amp;"-"&amp;$C110,'Fixture Library'!$A$4:$A$200,0)),""))</f>
        <v>6</v>
      </c>
      <c r="E110" t="str">
        <f>IF($R110="","",IFERROR(INDEX(Teams!$D$4:$D$67,MATCH($B110&amp;"-"&amp;$R110,Teams!$E$4:$E$67,0)),""))</f>
        <v>Team D8</v>
      </c>
      <c r="F110" s="88"/>
      <c r="G110" s="88"/>
      <c r="H110" s="88"/>
      <c r="I110" t="str">
        <f>IF($Q110&lt;&gt;"Complete","",IF(AND(ISNUMBER($G110),$G110&gt;=Setup!$B$31),Setup!$B$32,0)+IF(AND($F110&lt;$L110,$L110-$F110&lt;=Setup!$B$33),Setup!$B$34,0))</f>
        <v/>
      </c>
      <c r="J110" t="str">
        <f t="shared" si="6"/>
        <v/>
      </c>
      <c r="K110" t="str">
        <f>IF($S110="","",IFERROR(INDEX(Teams!$D$4:$D$67,MATCH($B110&amp;"-"&amp;$S110,Teams!$E$4:$E$67,0)),""))</f>
        <v>Team D5</v>
      </c>
      <c r="L110" s="88"/>
      <c r="M110" s="88"/>
      <c r="N110" s="88"/>
      <c r="O110" t="str">
        <f>IF($Q110&lt;&gt;"Complete","",IF(AND(ISNUMBER($M110),$M110&gt;=Setup!$B$31),Setup!$B$32,0)+IF(AND($L110&lt;$F110,$F110-$L110&lt;=Setup!$B$33),Setup!$B$34,0))</f>
        <v/>
      </c>
      <c r="P110" t="str">
        <f t="shared" si="7"/>
        <v/>
      </c>
      <c r="Q110" t="str">
        <f t="shared" si="8"/>
        <v>Waiting</v>
      </c>
      <c r="R110">
        <f>IF(OR($B110="",$C110&gt;Setup!$B$15),"",IFERROR(INDEX('Fixture Library'!$E$4:$E$200,MATCH(Setup!$B$6&amp;"-"&amp;$C110,'Fixture Library'!$A$4:$A$200,0)),""))</f>
        <v>8</v>
      </c>
      <c r="S110">
        <f>IF(OR($B110="",$C110&gt;Setup!$B$15),"",IFERROR(INDEX('Fixture Library'!$F$4:$F$200,MATCH(Setup!$B$6&amp;"-"&amp;$C110,'Fixture Library'!$A$4:$A$200,0)),""))</f>
        <v>5</v>
      </c>
      <c r="T110">
        <f t="shared" si="9"/>
        <v>0</v>
      </c>
      <c r="U110">
        <f t="shared" si="10"/>
        <v>0</v>
      </c>
      <c r="V110">
        <f t="shared" si="11"/>
        <v>0</v>
      </c>
    </row>
    <row r="111" spans="1:22">
      <c r="A111">
        <v>108</v>
      </c>
      <c r="B111" t="str">
        <f>IF(INT(($A111-1)/Setup!$B$15)+1&lt;=Setup!$B$5,INDEX(Setup!$B$21:$B$28,INT(($A111-1)/Setup!$B$15)+1),"")</f>
        <v>D</v>
      </c>
      <c r="C111">
        <f>IF($B111="","",MOD($A111-1,Setup!$B$15)+1)</f>
        <v>24</v>
      </c>
      <c r="D111">
        <f>IF(OR($B111="",$C111&gt;Setup!$B$15),"",IFERROR(INDEX('Fixture Library'!$D$4:$D$200,MATCH(Setup!$B$6&amp;"-"&amp;$C111,'Fixture Library'!$A$4:$A$200,0)),""))</f>
        <v>6</v>
      </c>
      <c r="E111" t="str">
        <f>IF($R111="","",IFERROR(INDEX(Teams!$D$4:$D$67,MATCH($B111&amp;"-"&amp;$R111,Teams!$E$4:$E$67,0)),""))</f>
        <v>Team D7</v>
      </c>
      <c r="F111" s="88"/>
      <c r="G111" s="88"/>
      <c r="H111" s="88"/>
      <c r="I111" t="str">
        <f>IF($Q111&lt;&gt;"Complete","",IF(AND(ISNUMBER($G111),$G111&gt;=Setup!$B$31),Setup!$B$32,0)+IF(AND($F111&lt;$L111,$L111-$F111&lt;=Setup!$B$33),Setup!$B$34,0))</f>
        <v/>
      </c>
      <c r="J111" t="str">
        <f t="shared" si="6"/>
        <v/>
      </c>
      <c r="K111" t="str">
        <f>IF($S111="","",IFERROR(INDEX(Teams!$D$4:$D$67,MATCH($B111&amp;"-"&amp;$S111,Teams!$E$4:$E$67,0)),""))</f>
        <v>Team D6</v>
      </c>
      <c r="L111" s="88"/>
      <c r="M111" s="88"/>
      <c r="N111" s="88"/>
      <c r="O111" t="str">
        <f>IF($Q111&lt;&gt;"Complete","",IF(AND(ISNUMBER($M111),$M111&gt;=Setup!$B$31),Setup!$B$32,0)+IF(AND($L111&lt;$F111,$F111-$L111&lt;=Setup!$B$33),Setup!$B$34,0))</f>
        <v/>
      </c>
      <c r="P111" t="str">
        <f t="shared" si="7"/>
        <v/>
      </c>
      <c r="Q111" t="str">
        <f t="shared" si="8"/>
        <v>Waiting</v>
      </c>
      <c r="R111">
        <f>IF(OR($B111="",$C111&gt;Setup!$B$15),"",IFERROR(INDEX('Fixture Library'!$E$4:$E$200,MATCH(Setup!$B$6&amp;"-"&amp;$C111,'Fixture Library'!$A$4:$A$200,0)),""))</f>
        <v>7</v>
      </c>
      <c r="S111">
        <f>IF(OR($B111="",$C111&gt;Setup!$B$15),"",IFERROR(INDEX('Fixture Library'!$F$4:$F$200,MATCH(Setup!$B$6&amp;"-"&amp;$C111,'Fixture Library'!$A$4:$A$200,0)),""))</f>
        <v>6</v>
      </c>
      <c r="T111">
        <f t="shared" si="9"/>
        <v>0</v>
      </c>
      <c r="U111">
        <f t="shared" si="10"/>
        <v>0</v>
      </c>
      <c r="V111">
        <f t="shared" si="11"/>
        <v>0</v>
      </c>
    </row>
    <row r="112" spans="1:22">
      <c r="A112">
        <v>109</v>
      </c>
      <c r="B112" t="str">
        <f>IF(INT(($A112-1)/Setup!$B$15)+1&lt;=Setup!$B$5,INDEX(Setup!$B$21:$B$28,INT(($A112-1)/Setup!$B$15)+1),"")</f>
        <v>D</v>
      </c>
      <c r="C112">
        <f>IF($B112="","",MOD($A112-1,Setup!$B$15)+1)</f>
        <v>25</v>
      </c>
      <c r="D112">
        <f>IF(OR($B112="",$C112&gt;Setup!$B$15),"",IFERROR(INDEX('Fixture Library'!$D$4:$D$200,MATCH(Setup!$B$6&amp;"-"&amp;$C112,'Fixture Library'!$A$4:$A$200,0)),""))</f>
        <v>7</v>
      </c>
      <c r="E112" t="str">
        <f>IF($R112="","",IFERROR(INDEX(Teams!$D$4:$D$67,MATCH($B112&amp;"-"&amp;$R112,Teams!$E$4:$E$67,0)),""))</f>
        <v>Team D1</v>
      </c>
      <c r="F112" s="88"/>
      <c r="G112" s="88"/>
      <c r="H112" s="88"/>
      <c r="I112" t="str">
        <f>IF($Q112&lt;&gt;"Complete","",IF(AND(ISNUMBER($G112),$G112&gt;=Setup!$B$31),Setup!$B$32,0)+IF(AND($F112&lt;$L112,$L112-$F112&lt;=Setup!$B$33),Setup!$B$34,0))</f>
        <v/>
      </c>
      <c r="J112" t="str">
        <f t="shared" si="6"/>
        <v/>
      </c>
      <c r="K112" t="str">
        <f>IF($S112="","",IFERROR(INDEX(Teams!$D$4:$D$67,MATCH($B112&amp;"-"&amp;$S112,Teams!$E$4:$E$67,0)),""))</f>
        <v>Team D2</v>
      </c>
      <c r="L112" s="88"/>
      <c r="M112" s="88"/>
      <c r="N112" s="88"/>
      <c r="O112" t="str">
        <f>IF($Q112&lt;&gt;"Complete","",IF(AND(ISNUMBER($M112),$M112&gt;=Setup!$B$31),Setup!$B$32,0)+IF(AND($L112&lt;$F112,$F112-$L112&lt;=Setup!$B$33),Setup!$B$34,0))</f>
        <v/>
      </c>
      <c r="P112" t="str">
        <f t="shared" si="7"/>
        <v/>
      </c>
      <c r="Q112" t="str">
        <f t="shared" si="8"/>
        <v>Waiting</v>
      </c>
      <c r="R112">
        <f>IF(OR($B112="",$C112&gt;Setup!$B$15),"",IFERROR(INDEX('Fixture Library'!$E$4:$E$200,MATCH(Setup!$B$6&amp;"-"&amp;$C112,'Fixture Library'!$A$4:$A$200,0)),""))</f>
        <v>1</v>
      </c>
      <c r="S112">
        <f>IF(OR($B112="",$C112&gt;Setup!$B$15),"",IFERROR(INDEX('Fixture Library'!$F$4:$F$200,MATCH(Setup!$B$6&amp;"-"&amp;$C112,'Fixture Library'!$A$4:$A$200,0)),""))</f>
        <v>2</v>
      </c>
      <c r="T112">
        <f t="shared" si="9"/>
        <v>0</v>
      </c>
      <c r="U112">
        <f t="shared" si="10"/>
        <v>0</v>
      </c>
      <c r="V112">
        <f t="shared" si="11"/>
        <v>0</v>
      </c>
    </row>
    <row r="113" spans="1:22">
      <c r="A113">
        <v>110</v>
      </c>
      <c r="B113" t="str">
        <f>IF(INT(($A113-1)/Setup!$B$15)+1&lt;=Setup!$B$5,INDEX(Setup!$B$21:$B$28,INT(($A113-1)/Setup!$B$15)+1),"")</f>
        <v>D</v>
      </c>
      <c r="C113">
        <f>IF($B113="","",MOD($A113-1,Setup!$B$15)+1)</f>
        <v>26</v>
      </c>
      <c r="D113">
        <f>IF(OR($B113="",$C113&gt;Setup!$B$15),"",IFERROR(INDEX('Fixture Library'!$D$4:$D$200,MATCH(Setup!$B$6&amp;"-"&amp;$C113,'Fixture Library'!$A$4:$A$200,0)),""))</f>
        <v>7</v>
      </c>
      <c r="E113" t="str">
        <f>IF($R113="","",IFERROR(INDEX(Teams!$D$4:$D$67,MATCH($B113&amp;"-"&amp;$R113,Teams!$E$4:$E$67,0)),""))</f>
        <v>Team D3</v>
      </c>
      <c r="F113" s="88"/>
      <c r="G113" s="88"/>
      <c r="H113" s="88"/>
      <c r="I113" t="str">
        <f>IF($Q113&lt;&gt;"Complete","",IF(AND(ISNUMBER($G113),$G113&gt;=Setup!$B$31),Setup!$B$32,0)+IF(AND($F113&lt;$L113,$L113-$F113&lt;=Setup!$B$33),Setup!$B$34,0))</f>
        <v/>
      </c>
      <c r="J113" t="str">
        <f t="shared" si="6"/>
        <v/>
      </c>
      <c r="K113" t="str">
        <f>IF($S113="","",IFERROR(INDEX(Teams!$D$4:$D$67,MATCH($B113&amp;"-"&amp;$S113,Teams!$E$4:$E$67,0)),""))</f>
        <v>Team D8</v>
      </c>
      <c r="L113" s="88"/>
      <c r="M113" s="88"/>
      <c r="N113" s="88"/>
      <c r="O113" t="str">
        <f>IF($Q113&lt;&gt;"Complete","",IF(AND(ISNUMBER($M113),$M113&gt;=Setup!$B$31),Setup!$B$32,0)+IF(AND($L113&lt;$F113,$F113-$L113&lt;=Setup!$B$33),Setup!$B$34,0))</f>
        <v/>
      </c>
      <c r="P113" t="str">
        <f t="shared" si="7"/>
        <v/>
      </c>
      <c r="Q113" t="str">
        <f t="shared" si="8"/>
        <v>Waiting</v>
      </c>
      <c r="R113">
        <f>IF(OR($B113="",$C113&gt;Setup!$B$15),"",IFERROR(INDEX('Fixture Library'!$E$4:$E$200,MATCH(Setup!$B$6&amp;"-"&amp;$C113,'Fixture Library'!$A$4:$A$200,0)),""))</f>
        <v>3</v>
      </c>
      <c r="S113">
        <f>IF(OR($B113="",$C113&gt;Setup!$B$15),"",IFERROR(INDEX('Fixture Library'!$F$4:$F$200,MATCH(Setup!$B$6&amp;"-"&amp;$C113,'Fixture Library'!$A$4:$A$200,0)),""))</f>
        <v>8</v>
      </c>
      <c r="T113">
        <f t="shared" si="9"/>
        <v>0</v>
      </c>
      <c r="U113">
        <f t="shared" si="10"/>
        <v>0</v>
      </c>
      <c r="V113">
        <f t="shared" si="11"/>
        <v>0</v>
      </c>
    </row>
    <row r="114" spans="1:22">
      <c r="A114">
        <v>111</v>
      </c>
      <c r="B114" t="str">
        <f>IF(INT(($A114-1)/Setup!$B$15)+1&lt;=Setup!$B$5,INDEX(Setup!$B$21:$B$28,INT(($A114-1)/Setup!$B$15)+1),"")</f>
        <v>D</v>
      </c>
      <c r="C114">
        <f>IF($B114="","",MOD($A114-1,Setup!$B$15)+1)</f>
        <v>27</v>
      </c>
      <c r="D114">
        <f>IF(OR($B114="",$C114&gt;Setup!$B$15),"",IFERROR(INDEX('Fixture Library'!$D$4:$D$200,MATCH(Setup!$B$6&amp;"-"&amp;$C114,'Fixture Library'!$A$4:$A$200,0)),""))</f>
        <v>7</v>
      </c>
      <c r="E114" t="str">
        <f>IF($R114="","",IFERROR(INDEX(Teams!$D$4:$D$67,MATCH($B114&amp;"-"&amp;$R114,Teams!$E$4:$E$67,0)),""))</f>
        <v>Team D4</v>
      </c>
      <c r="F114" s="88"/>
      <c r="G114" s="88"/>
      <c r="H114" s="88"/>
      <c r="I114" t="str">
        <f>IF($Q114&lt;&gt;"Complete","",IF(AND(ISNUMBER($G114),$G114&gt;=Setup!$B$31),Setup!$B$32,0)+IF(AND($F114&lt;$L114,$L114-$F114&lt;=Setup!$B$33),Setup!$B$34,0))</f>
        <v/>
      </c>
      <c r="J114" t="str">
        <f t="shared" si="6"/>
        <v/>
      </c>
      <c r="K114" t="str">
        <f>IF($S114="","",IFERROR(INDEX(Teams!$D$4:$D$67,MATCH($B114&amp;"-"&amp;$S114,Teams!$E$4:$E$67,0)),""))</f>
        <v>Team D7</v>
      </c>
      <c r="L114" s="88"/>
      <c r="M114" s="88"/>
      <c r="N114" s="88"/>
      <c r="O114" t="str">
        <f>IF($Q114&lt;&gt;"Complete","",IF(AND(ISNUMBER($M114),$M114&gt;=Setup!$B$31),Setup!$B$32,0)+IF(AND($L114&lt;$F114,$F114-$L114&lt;=Setup!$B$33),Setup!$B$34,0))</f>
        <v/>
      </c>
      <c r="P114" t="str">
        <f t="shared" si="7"/>
        <v/>
      </c>
      <c r="Q114" t="str">
        <f t="shared" si="8"/>
        <v>Waiting</v>
      </c>
      <c r="R114">
        <f>IF(OR($B114="",$C114&gt;Setup!$B$15),"",IFERROR(INDEX('Fixture Library'!$E$4:$E$200,MATCH(Setup!$B$6&amp;"-"&amp;$C114,'Fixture Library'!$A$4:$A$200,0)),""))</f>
        <v>4</v>
      </c>
      <c r="S114">
        <f>IF(OR($B114="",$C114&gt;Setup!$B$15),"",IFERROR(INDEX('Fixture Library'!$F$4:$F$200,MATCH(Setup!$B$6&amp;"-"&amp;$C114,'Fixture Library'!$A$4:$A$200,0)),""))</f>
        <v>7</v>
      </c>
      <c r="T114">
        <f t="shared" si="9"/>
        <v>0</v>
      </c>
      <c r="U114">
        <f t="shared" si="10"/>
        <v>0</v>
      </c>
      <c r="V114">
        <f t="shared" si="11"/>
        <v>0</v>
      </c>
    </row>
    <row r="115" spans="1:22">
      <c r="A115">
        <v>112</v>
      </c>
      <c r="B115" t="str">
        <f>IF(INT(($A115-1)/Setup!$B$15)+1&lt;=Setup!$B$5,INDEX(Setup!$B$21:$B$28,INT(($A115-1)/Setup!$B$15)+1),"")</f>
        <v>D</v>
      </c>
      <c r="C115">
        <f>IF($B115="","",MOD($A115-1,Setup!$B$15)+1)</f>
        <v>28</v>
      </c>
      <c r="D115">
        <f>IF(OR($B115="",$C115&gt;Setup!$B$15),"",IFERROR(INDEX('Fixture Library'!$D$4:$D$200,MATCH(Setup!$B$6&amp;"-"&amp;$C115,'Fixture Library'!$A$4:$A$200,0)),""))</f>
        <v>7</v>
      </c>
      <c r="E115" t="str">
        <f>IF($R115="","",IFERROR(INDEX(Teams!$D$4:$D$67,MATCH($B115&amp;"-"&amp;$R115,Teams!$E$4:$E$67,0)),""))</f>
        <v>Team D5</v>
      </c>
      <c r="F115" s="88"/>
      <c r="G115" s="88"/>
      <c r="H115" s="88"/>
      <c r="I115" t="str">
        <f>IF($Q115&lt;&gt;"Complete","",IF(AND(ISNUMBER($G115),$G115&gt;=Setup!$B$31),Setup!$B$32,0)+IF(AND($F115&lt;$L115,$L115-$F115&lt;=Setup!$B$33),Setup!$B$34,0))</f>
        <v/>
      </c>
      <c r="J115" t="str">
        <f t="shared" si="6"/>
        <v/>
      </c>
      <c r="K115" t="str">
        <f>IF($S115="","",IFERROR(INDEX(Teams!$D$4:$D$67,MATCH($B115&amp;"-"&amp;$S115,Teams!$E$4:$E$67,0)),""))</f>
        <v>Team D6</v>
      </c>
      <c r="L115" s="88"/>
      <c r="M115" s="88"/>
      <c r="N115" s="88"/>
      <c r="O115" t="str">
        <f>IF($Q115&lt;&gt;"Complete","",IF(AND(ISNUMBER($M115),$M115&gt;=Setup!$B$31),Setup!$B$32,0)+IF(AND($L115&lt;$F115,$F115-$L115&lt;=Setup!$B$33),Setup!$B$34,0))</f>
        <v/>
      </c>
      <c r="P115" t="str">
        <f t="shared" si="7"/>
        <v/>
      </c>
      <c r="Q115" t="str">
        <f t="shared" si="8"/>
        <v>Waiting</v>
      </c>
      <c r="R115">
        <f>IF(OR($B115="",$C115&gt;Setup!$B$15),"",IFERROR(INDEX('Fixture Library'!$E$4:$E$200,MATCH(Setup!$B$6&amp;"-"&amp;$C115,'Fixture Library'!$A$4:$A$200,0)),""))</f>
        <v>5</v>
      </c>
      <c r="S115">
        <f>IF(OR($B115="",$C115&gt;Setup!$B$15),"",IFERROR(INDEX('Fixture Library'!$F$4:$F$200,MATCH(Setup!$B$6&amp;"-"&amp;$C115,'Fixture Library'!$A$4:$A$200,0)),""))</f>
        <v>6</v>
      </c>
      <c r="T115">
        <f t="shared" si="9"/>
        <v>0</v>
      </c>
      <c r="U115">
        <f t="shared" si="10"/>
        <v>0</v>
      </c>
      <c r="V115">
        <f t="shared" si="11"/>
        <v>0</v>
      </c>
    </row>
    <row r="116" spans="1:22">
      <c r="A116">
        <v>113</v>
      </c>
      <c r="B116" t="str">
        <f>IF(INT(($A116-1)/Setup!$B$15)+1&lt;=Setup!$B$5,INDEX(Setup!$B$21:$B$28,INT(($A116-1)/Setup!$B$15)+1),"")</f>
        <v>E</v>
      </c>
      <c r="C116">
        <f>IF($B116="","",MOD($A116-1,Setup!$B$15)+1)</f>
        <v>1</v>
      </c>
      <c r="D116">
        <f>IF(OR($B116="",$C116&gt;Setup!$B$15),"",IFERROR(INDEX('Fixture Library'!$D$4:$D$200,MATCH(Setup!$B$6&amp;"-"&amp;$C116,'Fixture Library'!$A$4:$A$200,0)),""))</f>
        <v>1</v>
      </c>
      <c r="E116" t="str">
        <f>IF($R116="","",IFERROR(INDEX(Teams!$D$4:$D$67,MATCH($B116&amp;"-"&amp;$R116,Teams!$E$4:$E$67,0)),""))</f>
        <v>Team E1</v>
      </c>
      <c r="F116" s="88"/>
      <c r="G116" s="88"/>
      <c r="H116" s="88"/>
      <c r="I116" t="str">
        <f>IF($Q116&lt;&gt;"Complete","",IF(AND(ISNUMBER($G116),$G116&gt;=Setup!$B$31),Setup!$B$32,0)+IF(AND($F116&lt;$L116,$L116-$F116&lt;=Setup!$B$33),Setup!$B$34,0))</f>
        <v/>
      </c>
      <c r="J116" t="str">
        <f t="shared" si="6"/>
        <v/>
      </c>
      <c r="K116" t="str">
        <f>IF($S116="","",IFERROR(INDEX(Teams!$D$4:$D$67,MATCH($B116&amp;"-"&amp;$S116,Teams!$E$4:$E$67,0)),""))</f>
        <v>Team E8</v>
      </c>
      <c r="L116" s="88"/>
      <c r="M116" s="88"/>
      <c r="N116" s="88"/>
      <c r="O116" t="str">
        <f>IF($Q116&lt;&gt;"Complete","",IF(AND(ISNUMBER($M116),$M116&gt;=Setup!$B$31),Setup!$B$32,0)+IF(AND($L116&lt;$F116,$F116-$L116&lt;=Setup!$B$33),Setup!$B$34,0))</f>
        <v/>
      </c>
      <c r="P116" t="str">
        <f t="shared" si="7"/>
        <v/>
      </c>
      <c r="Q116" t="str">
        <f t="shared" si="8"/>
        <v>Waiting</v>
      </c>
      <c r="R116">
        <f>IF(OR($B116="",$C116&gt;Setup!$B$15),"",IFERROR(INDEX('Fixture Library'!$E$4:$E$200,MATCH(Setup!$B$6&amp;"-"&amp;$C116,'Fixture Library'!$A$4:$A$200,0)),""))</f>
        <v>1</v>
      </c>
      <c r="S116">
        <f>IF(OR($B116="",$C116&gt;Setup!$B$15),"",IFERROR(INDEX('Fixture Library'!$F$4:$F$200,MATCH(Setup!$B$6&amp;"-"&amp;$C116,'Fixture Library'!$A$4:$A$200,0)),""))</f>
        <v>8</v>
      </c>
      <c r="T116">
        <f t="shared" si="9"/>
        <v>0</v>
      </c>
      <c r="U116">
        <f t="shared" si="10"/>
        <v>0</v>
      </c>
      <c r="V116">
        <f t="shared" si="11"/>
        <v>0</v>
      </c>
    </row>
    <row r="117" spans="1:22">
      <c r="A117">
        <v>114</v>
      </c>
      <c r="B117" t="str">
        <f>IF(INT(($A117-1)/Setup!$B$15)+1&lt;=Setup!$B$5,INDEX(Setup!$B$21:$B$28,INT(($A117-1)/Setup!$B$15)+1),"")</f>
        <v>E</v>
      </c>
      <c r="C117">
        <f>IF($B117="","",MOD($A117-1,Setup!$B$15)+1)</f>
        <v>2</v>
      </c>
      <c r="D117">
        <f>IF(OR($B117="",$C117&gt;Setup!$B$15),"",IFERROR(INDEX('Fixture Library'!$D$4:$D$200,MATCH(Setup!$B$6&amp;"-"&amp;$C117,'Fixture Library'!$A$4:$A$200,0)),""))</f>
        <v>1</v>
      </c>
      <c r="E117" t="str">
        <f>IF($R117="","",IFERROR(INDEX(Teams!$D$4:$D$67,MATCH($B117&amp;"-"&amp;$R117,Teams!$E$4:$E$67,0)),""))</f>
        <v>Team E2</v>
      </c>
      <c r="F117" s="88"/>
      <c r="G117" s="88"/>
      <c r="H117" s="88"/>
      <c r="I117" t="str">
        <f>IF($Q117&lt;&gt;"Complete","",IF(AND(ISNUMBER($G117),$G117&gt;=Setup!$B$31),Setup!$B$32,0)+IF(AND($F117&lt;$L117,$L117-$F117&lt;=Setup!$B$33),Setup!$B$34,0))</f>
        <v/>
      </c>
      <c r="J117" t="str">
        <f t="shared" si="6"/>
        <v/>
      </c>
      <c r="K117" t="str">
        <f>IF($S117="","",IFERROR(INDEX(Teams!$D$4:$D$67,MATCH($B117&amp;"-"&amp;$S117,Teams!$E$4:$E$67,0)),""))</f>
        <v>Team E7</v>
      </c>
      <c r="L117" s="88"/>
      <c r="M117" s="88"/>
      <c r="N117" s="88"/>
      <c r="O117" t="str">
        <f>IF($Q117&lt;&gt;"Complete","",IF(AND(ISNUMBER($M117),$M117&gt;=Setup!$B$31),Setup!$B$32,0)+IF(AND($L117&lt;$F117,$F117-$L117&lt;=Setup!$B$33),Setup!$B$34,0))</f>
        <v/>
      </c>
      <c r="P117" t="str">
        <f t="shared" si="7"/>
        <v/>
      </c>
      <c r="Q117" t="str">
        <f t="shared" si="8"/>
        <v>Waiting</v>
      </c>
      <c r="R117">
        <f>IF(OR($B117="",$C117&gt;Setup!$B$15),"",IFERROR(INDEX('Fixture Library'!$E$4:$E$200,MATCH(Setup!$B$6&amp;"-"&amp;$C117,'Fixture Library'!$A$4:$A$200,0)),""))</f>
        <v>2</v>
      </c>
      <c r="S117">
        <f>IF(OR($B117="",$C117&gt;Setup!$B$15),"",IFERROR(INDEX('Fixture Library'!$F$4:$F$200,MATCH(Setup!$B$6&amp;"-"&amp;$C117,'Fixture Library'!$A$4:$A$200,0)),""))</f>
        <v>7</v>
      </c>
      <c r="T117">
        <f t="shared" si="9"/>
        <v>0</v>
      </c>
      <c r="U117">
        <f t="shared" si="10"/>
        <v>0</v>
      </c>
      <c r="V117">
        <f t="shared" si="11"/>
        <v>0</v>
      </c>
    </row>
    <row r="118" spans="1:22">
      <c r="A118">
        <v>115</v>
      </c>
      <c r="B118" t="str">
        <f>IF(INT(($A118-1)/Setup!$B$15)+1&lt;=Setup!$B$5,INDEX(Setup!$B$21:$B$28,INT(($A118-1)/Setup!$B$15)+1),"")</f>
        <v>E</v>
      </c>
      <c r="C118">
        <f>IF($B118="","",MOD($A118-1,Setup!$B$15)+1)</f>
        <v>3</v>
      </c>
      <c r="D118">
        <f>IF(OR($B118="",$C118&gt;Setup!$B$15),"",IFERROR(INDEX('Fixture Library'!$D$4:$D$200,MATCH(Setup!$B$6&amp;"-"&amp;$C118,'Fixture Library'!$A$4:$A$200,0)),""))</f>
        <v>1</v>
      </c>
      <c r="E118" t="str">
        <f>IF($R118="","",IFERROR(INDEX(Teams!$D$4:$D$67,MATCH($B118&amp;"-"&amp;$R118,Teams!$E$4:$E$67,0)),""))</f>
        <v>Team E3</v>
      </c>
      <c r="F118" s="88"/>
      <c r="G118" s="88"/>
      <c r="H118" s="88"/>
      <c r="I118" t="str">
        <f>IF($Q118&lt;&gt;"Complete","",IF(AND(ISNUMBER($G118),$G118&gt;=Setup!$B$31),Setup!$B$32,0)+IF(AND($F118&lt;$L118,$L118-$F118&lt;=Setup!$B$33),Setup!$B$34,0))</f>
        <v/>
      </c>
      <c r="J118" t="str">
        <f t="shared" si="6"/>
        <v/>
      </c>
      <c r="K118" t="str">
        <f>IF($S118="","",IFERROR(INDEX(Teams!$D$4:$D$67,MATCH($B118&amp;"-"&amp;$S118,Teams!$E$4:$E$67,0)),""))</f>
        <v>Team E6</v>
      </c>
      <c r="L118" s="88"/>
      <c r="M118" s="88"/>
      <c r="N118" s="88"/>
      <c r="O118" t="str">
        <f>IF($Q118&lt;&gt;"Complete","",IF(AND(ISNUMBER($M118),$M118&gt;=Setup!$B$31),Setup!$B$32,0)+IF(AND($L118&lt;$F118,$F118-$L118&lt;=Setup!$B$33),Setup!$B$34,0))</f>
        <v/>
      </c>
      <c r="P118" t="str">
        <f t="shared" si="7"/>
        <v/>
      </c>
      <c r="Q118" t="str">
        <f t="shared" si="8"/>
        <v>Waiting</v>
      </c>
      <c r="R118">
        <f>IF(OR($B118="",$C118&gt;Setup!$B$15),"",IFERROR(INDEX('Fixture Library'!$E$4:$E$200,MATCH(Setup!$B$6&amp;"-"&amp;$C118,'Fixture Library'!$A$4:$A$200,0)),""))</f>
        <v>3</v>
      </c>
      <c r="S118">
        <f>IF(OR($B118="",$C118&gt;Setup!$B$15),"",IFERROR(INDEX('Fixture Library'!$F$4:$F$200,MATCH(Setup!$B$6&amp;"-"&amp;$C118,'Fixture Library'!$A$4:$A$200,0)),""))</f>
        <v>6</v>
      </c>
      <c r="T118">
        <f t="shared" si="9"/>
        <v>0</v>
      </c>
      <c r="U118">
        <f t="shared" si="10"/>
        <v>0</v>
      </c>
      <c r="V118">
        <f t="shared" si="11"/>
        <v>0</v>
      </c>
    </row>
    <row r="119" spans="1:22">
      <c r="A119">
        <v>116</v>
      </c>
      <c r="B119" t="str">
        <f>IF(INT(($A119-1)/Setup!$B$15)+1&lt;=Setup!$B$5,INDEX(Setup!$B$21:$B$28,INT(($A119-1)/Setup!$B$15)+1),"")</f>
        <v>E</v>
      </c>
      <c r="C119">
        <f>IF($B119="","",MOD($A119-1,Setup!$B$15)+1)</f>
        <v>4</v>
      </c>
      <c r="D119">
        <f>IF(OR($B119="",$C119&gt;Setup!$B$15),"",IFERROR(INDEX('Fixture Library'!$D$4:$D$200,MATCH(Setup!$B$6&amp;"-"&amp;$C119,'Fixture Library'!$A$4:$A$200,0)),""))</f>
        <v>1</v>
      </c>
      <c r="E119" t="str">
        <f>IF($R119="","",IFERROR(INDEX(Teams!$D$4:$D$67,MATCH($B119&amp;"-"&amp;$R119,Teams!$E$4:$E$67,0)),""))</f>
        <v>Team E4</v>
      </c>
      <c r="F119" s="88"/>
      <c r="G119" s="88"/>
      <c r="H119" s="88"/>
      <c r="I119" t="str">
        <f>IF($Q119&lt;&gt;"Complete","",IF(AND(ISNUMBER($G119),$G119&gt;=Setup!$B$31),Setup!$B$32,0)+IF(AND($F119&lt;$L119,$L119-$F119&lt;=Setup!$B$33),Setup!$B$34,0))</f>
        <v/>
      </c>
      <c r="J119" t="str">
        <f t="shared" si="6"/>
        <v/>
      </c>
      <c r="K119" t="str">
        <f>IF($S119="","",IFERROR(INDEX(Teams!$D$4:$D$67,MATCH($B119&amp;"-"&amp;$S119,Teams!$E$4:$E$67,0)),""))</f>
        <v>Team E5</v>
      </c>
      <c r="L119" s="88"/>
      <c r="M119" s="88"/>
      <c r="N119" s="88"/>
      <c r="O119" t="str">
        <f>IF($Q119&lt;&gt;"Complete","",IF(AND(ISNUMBER($M119),$M119&gt;=Setup!$B$31),Setup!$B$32,0)+IF(AND($L119&lt;$F119,$F119-$L119&lt;=Setup!$B$33),Setup!$B$34,0))</f>
        <v/>
      </c>
      <c r="P119" t="str">
        <f t="shared" si="7"/>
        <v/>
      </c>
      <c r="Q119" t="str">
        <f t="shared" si="8"/>
        <v>Waiting</v>
      </c>
      <c r="R119">
        <f>IF(OR($B119="",$C119&gt;Setup!$B$15),"",IFERROR(INDEX('Fixture Library'!$E$4:$E$200,MATCH(Setup!$B$6&amp;"-"&amp;$C119,'Fixture Library'!$A$4:$A$200,0)),""))</f>
        <v>4</v>
      </c>
      <c r="S119">
        <f>IF(OR($B119="",$C119&gt;Setup!$B$15),"",IFERROR(INDEX('Fixture Library'!$F$4:$F$200,MATCH(Setup!$B$6&amp;"-"&amp;$C119,'Fixture Library'!$A$4:$A$200,0)),""))</f>
        <v>5</v>
      </c>
      <c r="T119">
        <f t="shared" si="9"/>
        <v>0</v>
      </c>
      <c r="U119">
        <f t="shared" si="10"/>
        <v>0</v>
      </c>
      <c r="V119">
        <f t="shared" si="11"/>
        <v>0</v>
      </c>
    </row>
    <row r="120" spans="1:22">
      <c r="A120">
        <v>117</v>
      </c>
      <c r="B120" t="str">
        <f>IF(INT(($A120-1)/Setup!$B$15)+1&lt;=Setup!$B$5,INDEX(Setup!$B$21:$B$28,INT(($A120-1)/Setup!$B$15)+1),"")</f>
        <v>E</v>
      </c>
      <c r="C120">
        <f>IF($B120="","",MOD($A120-1,Setup!$B$15)+1)</f>
        <v>5</v>
      </c>
      <c r="D120">
        <f>IF(OR($B120="",$C120&gt;Setup!$B$15),"",IFERROR(INDEX('Fixture Library'!$D$4:$D$200,MATCH(Setup!$B$6&amp;"-"&amp;$C120,'Fixture Library'!$A$4:$A$200,0)),""))</f>
        <v>2</v>
      </c>
      <c r="E120" t="str">
        <f>IF($R120="","",IFERROR(INDEX(Teams!$D$4:$D$67,MATCH($B120&amp;"-"&amp;$R120,Teams!$E$4:$E$67,0)),""))</f>
        <v>Team E7</v>
      </c>
      <c r="F120" s="88"/>
      <c r="G120" s="88"/>
      <c r="H120" s="88"/>
      <c r="I120" t="str">
        <f>IF($Q120&lt;&gt;"Complete","",IF(AND(ISNUMBER($G120),$G120&gt;=Setup!$B$31),Setup!$B$32,0)+IF(AND($F120&lt;$L120,$L120-$F120&lt;=Setup!$B$33),Setup!$B$34,0))</f>
        <v/>
      </c>
      <c r="J120" t="str">
        <f t="shared" si="6"/>
        <v/>
      </c>
      <c r="K120" t="str">
        <f>IF($S120="","",IFERROR(INDEX(Teams!$D$4:$D$67,MATCH($B120&amp;"-"&amp;$S120,Teams!$E$4:$E$67,0)),""))</f>
        <v>Team E1</v>
      </c>
      <c r="L120" s="88"/>
      <c r="M120" s="88"/>
      <c r="N120" s="88"/>
      <c r="O120" t="str">
        <f>IF($Q120&lt;&gt;"Complete","",IF(AND(ISNUMBER($M120),$M120&gt;=Setup!$B$31),Setup!$B$32,0)+IF(AND($L120&lt;$F120,$F120-$L120&lt;=Setup!$B$33),Setup!$B$34,0))</f>
        <v/>
      </c>
      <c r="P120" t="str">
        <f t="shared" si="7"/>
        <v/>
      </c>
      <c r="Q120" t="str">
        <f t="shared" si="8"/>
        <v>Waiting</v>
      </c>
      <c r="R120">
        <f>IF(OR($B120="",$C120&gt;Setup!$B$15),"",IFERROR(INDEX('Fixture Library'!$E$4:$E$200,MATCH(Setup!$B$6&amp;"-"&amp;$C120,'Fixture Library'!$A$4:$A$200,0)),""))</f>
        <v>7</v>
      </c>
      <c r="S120">
        <f>IF(OR($B120="",$C120&gt;Setup!$B$15),"",IFERROR(INDEX('Fixture Library'!$F$4:$F$200,MATCH(Setup!$B$6&amp;"-"&amp;$C120,'Fixture Library'!$A$4:$A$200,0)),""))</f>
        <v>1</v>
      </c>
      <c r="T120">
        <f t="shared" si="9"/>
        <v>0</v>
      </c>
      <c r="U120">
        <f t="shared" si="10"/>
        <v>0</v>
      </c>
      <c r="V120">
        <f t="shared" si="11"/>
        <v>0</v>
      </c>
    </row>
    <row r="121" spans="1:22">
      <c r="A121">
        <v>118</v>
      </c>
      <c r="B121" t="str">
        <f>IF(INT(($A121-1)/Setup!$B$15)+1&lt;=Setup!$B$5,INDEX(Setup!$B$21:$B$28,INT(($A121-1)/Setup!$B$15)+1),"")</f>
        <v>E</v>
      </c>
      <c r="C121">
        <f>IF($B121="","",MOD($A121-1,Setup!$B$15)+1)</f>
        <v>6</v>
      </c>
      <c r="D121">
        <f>IF(OR($B121="",$C121&gt;Setup!$B$15),"",IFERROR(INDEX('Fixture Library'!$D$4:$D$200,MATCH(Setup!$B$6&amp;"-"&amp;$C121,'Fixture Library'!$A$4:$A$200,0)),""))</f>
        <v>2</v>
      </c>
      <c r="E121" t="str">
        <f>IF($R121="","",IFERROR(INDEX(Teams!$D$4:$D$67,MATCH($B121&amp;"-"&amp;$R121,Teams!$E$4:$E$67,0)),""))</f>
        <v>Team E6</v>
      </c>
      <c r="F121" s="88"/>
      <c r="G121" s="88"/>
      <c r="H121" s="88"/>
      <c r="I121" t="str">
        <f>IF($Q121&lt;&gt;"Complete","",IF(AND(ISNUMBER($G121),$G121&gt;=Setup!$B$31),Setup!$B$32,0)+IF(AND($F121&lt;$L121,$L121-$F121&lt;=Setup!$B$33),Setup!$B$34,0))</f>
        <v/>
      </c>
      <c r="J121" t="str">
        <f t="shared" si="6"/>
        <v/>
      </c>
      <c r="K121" t="str">
        <f>IF($S121="","",IFERROR(INDEX(Teams!$D$4:$D$67,MATCH($B121&amp;"-"&amp;$S121,Teams!$E$4:$E$67,0)),""))</f>
        <v>Team E8</v>
      </c>
      <c r="L121" s="88"/>
      <c r="M121" s="88"/>
      <c r="N121" s="88"/>
      <c r="O121" t="str">
        <f>IF($Q121&lt;&gt;"Complete","",IF(AND(ISNUMBER($M121),$M121&gt;=Setup!$B$31),Setup!$B$32,0)+IF(AND($L121&lt;$F121,$F121-$L121&lt;=Setup!$B$33),Setup!$B$34,0))</f>
        <v/>
      </c>
      <c r="P121" t="str">
        <f t="shared" si="7"/>
        <v/>
      </c>
      <c r="Q121" t="str">
        <f t="shared" si="8"/>
        <v>Waiting</v>
      </c>
      <c r="R121">
        <f>IF(OR($B121="",$C121&gt;Setup!$B$15),"",IFERROR(INDEX('Fixture Library'!$E$4:$E$200,MATCH(Setup!$B$6&amp;"-"&amp;$C121,'Fixture Library'!$A$4:$A$200,0)),""))</f>
        <v>6</v>
      </c>
      <c r="S121">
        <f>IF(OR($B121="",$C121&gt;Setup!$B$15),"",IFERROR(INDEX('Fixture Library'!$F$4:$F$200,MATCH(Setup!$B$6&amp;"-"&amp;$C121,'Fixture Library'!$A$4:$A$200,0)),""))</f>
        <v>8</v>
      </c>
      <c r="T121">
        <f t="shared" si="9"/>
        <v>0</v>
      </c>
      <c r="U121">
        <f t="shared" si="10"/>
        <v>0</v>
      </c>
      <c r="V121">
        <f t="shared" si="11"/>
        <v>0</v>
      </c>
    </row>
    <row r="122" spans="1:22">
      <c r="A122">
        <v>119</v>
      </c>
      <c r="B122" t="str">
        <f>IF(INT(($A122-1)/Setup!$B$15)+1&lt;=Setup!$B$5,INDEX(Setup!$B$21:$B$28,INT(($A122-1)/Setup!$B$15)+1),"")</f>
        <v>E</v>
      </c>
      <c r="C122">
        <f>IF($B122="","",MOD($A122-1,Setup!$B$15)+1)</f>
        <v>7</v>
      </c>
      <c r="D122">
        <f>IF(OR($B122="",$C122&gt;Setup!$B$15),"",IFERROR(INDEX('Fixture Library'!$D$4:$D$200,MATCH(Setup!$B$6&amp;"-"&amp;$C122,'Fixture Library'!$A$4:$A$200,0)),""))</f>
        <v>2</v>
      </c>
      <c r="E122" t="str">
        <f>IF($R122="","",IFERROR(INDEX(Teams!$D$4:$D$67,MATCH($B122&amp;"-"&amp;$R122,Teams!$E$4:$E$67,0)),""))</f>
        <v>Team E5</v>
      </c>
      <c r="F122" s="88"/>
      <c r="G122" s="88"/>
      <c r="H122" s="88"/>
      <c r="I122" t="str">
        <f>IF($Q122&lt;&gt;"Complete","",IF(AND(ISNUMBER($G122),$G122&gt;=Setup!$B$31),Setup!$B$32,0)+IF(AND($F122&lt;$L122,$L122-$F122&lt;=Setup!$B$33),Setup!$B$34,0))</f>
        <v/>
      </c>
      <c r="J122" t="str">
        <f t="shared" si="6"/>
        <v/>
      </c>
      <c r="K122" t="str">
        <f>IF($S122="","",IFERROR(INDEX(Teams!$D$4:$D$67,MATCH($B122&amp;"-"&amp;$S122,Teams!$E$4:$E$67,0)),""))</f>
        <v>Team E2</v>
      </c>
      <c r="L122" s="88"/>
      <c r="M122" s="88"/>
      <c r="N122" s="88"/>
      <c r="O122" t="str">
        <f>IF($Q122&lt;&gt;"Complete","",IF(AND(ISNUMBER($M122),$M122&gt;=Setup!$B$31),Setup!$B$32,0)+IF(AND($L122&lt;$F122,$F122-$L122&lt;=Setup!$B$33),Setup!$B$34,0))</f>
        <v/>
      </c>
      <c r="P122" t="str">
        <f t="shared" si="7"/>
        <v/>
      </c>
      <c r="Q122" t="str">
        <f t="shared" si="8"/>
        <v>Waiting</v>
      </c>
      <c r="R122">
        <f>IF(OR($B122="",$C122&gt;Setup!$B$15),"",IFERROR(INDEX('Fixture Library'!$E$4:$E$200,MATCH(Setup!$B$6&amp;"-"&amp;$C122,'Fixture Library'!$A$4:$A$200,0)),""))</f>
        <v>5</v>
      </c>
      <c r="S122">
        <f>IF(OR($B122="",$C122&gt;Setup!$B$15),"",IFERROR(INDEX('Fixture Library'!$F$4:$F$200,MATCH(Setup!$B$6&amp;"-"&amp;$C122,'Fixture Library'!$A$4:$A$200,0)),""))</f>
        <v>2</v>
      </c>
      <c r="T122">
        <f t="shared" si="9"/>
        <v>0</v>
      </c>
      <c r="U122">
        <f t="shared" si="10"/>
        <v>0</v>
      </c>
      <c r="V122">
        <f t="shared" si="11"/>
        <v>0</v>
      </c>
    </row>
    <row r="123" spans="1:22">
      <c r="A123">
        <v>120</v>
      </c>
      <c r="B123" t="str">
        <f>IF(INT(($A123-1)/Setup!$B$15)+1&lt;=Setup!$B$5,INDEX(Setup!$B$21:$B$28,INT(($A123-1)/Setup!$B$15)+1),"")</f>
        <v>E</v>
      </c>
      <c r="C123">
        <f>IF($B123="","",MOD($A123-1,Setup!$B$15)+1)</f>
        <v>8</v>
      </c>
      <c r="D123">
        <f>IF(OR($B123="",$C123&gt;Setup!$B$15),"",IFERROR(INDEX('Fixture Library'!$D$4:$D$200,MATCH(Setup!$B$6&amp;"-"&amp;$C123,'Fixture Library'!$A$4:$A$200,0)),""))</f>
        <v>2</v>
      </c>
      <c r="E123" t="str">
        <f>IF($R123="","",IFERROR(INDEX(Teams!$D$4:$D$67,MATCH($B123&amp;"-"&amp;$R123,Teams!$E$4:$E$67,0)),""))</f>
        <v>Team E4</v>
      </c>
      <c r="F123" s="88"/>
      <c r="G123" s="88"/>
      <c r="H123" s="88"/>
      <c r="I123" t="str">
        <f>IF($Q123&lt;&gt;"Complete","",IF(AND(ISNUMBER($G123),$G123&gt;=Setup!$B$31),Setup!$B$32,0)+IF(AND($F123&lt;$L123,$L123-$F123&lt;=Setup!$B$33),Setup!$B$34,0))</f>
        <v/>
      </c>
      <c r="J123" t="str">
        <f t="shared" si="6"/>
        <v/>
      </c>
      <c r="K123" t="str">
        <f>IF($S123="","",IFERROR(INDEX(Teams!$D$4:$D$67,MATCH($B123&amp;"-"&amp;$S123,Teams!$E$4:$E$67,0)),""))</f>
        <v>Team E3</v>
      </c>
      <c r="L123" s="88"/>
      <c r="M123" s="88"/>
      <c r="N123" s="88"/>
      <c r="O123" t="str">
        <f>IF($Q123&lt;&gt;"Complete","",IF(AND(ISNUMBER($M123),$M123&gt;=Setup!$B$31),Setup!$B$32,0)+IF(AND($L123&lt;$F123,$F123-$L123&lt;=Setup!$B$33),Setup!$B$34,0))</f>
        <v/>
      </c>
      <c r="P123" t="str">
        <f t="shared" si="7"/>
        <v/>
      </c>
      <c r="Q123" t="str">
        <f t="shared" si="8"/>
        <v>Waiting</v>
      </c>
      <c r="R123">
        <f>IF(OR($B123="",$C123&gt;Setup!$B$15),"",IFERROR(INDEX('Fixture Library'!$E$4:$E$200,MATCH(Setup!$B$6&amp;"-"&amp;$C123,'Fixture Library'!$A$4:$A$200,0)),""))</f>
        <v>4</v>
      </c>
      <c r="S123">
        <f>IF(OR($B123="",$C123&gt;Setup!$B$15),"",IFERROR(INDEX('Fixture Library'!$F$4:$F$200,MATCH(Setup!$B$6&amp;"-"&amp;$C123,'Fixture Library'!$A$4:$A$200,0)),""))</f>
        <v>3</v>
      </c>
      <c r="T123">
        <f t="shared" si="9"/>
        <v>0</v>
      </c>
      <c r="U123">
        <f t="shared" si="10"/>
        <v>0</v>
      </c>
      <c r="V123">
        <f t="shared" si="11"/>
        <v>0</v>
      </c>
    </row>
    <row r="124" spans="1:22">
      <c r="A124">
        <v>121</v>
      </c>
      <c r="B124" t="str">
        <f>IF(INT(($A124-1)/Setup!$B$15)+1&lt;=Setup!$B$5,INDEX(Setup!$B$21:$B$28,INT(($A124-1)/Setup!$B$15)+1),"")</f>
        <v>E</v>
      </c>
      <c r="C124">
        <f>IF($B124="","",MOD($A124-1,Setup!$B$15)+1)</f>
        <v>9</v>
      </c>
      <c r="D124">
        <f>IF(OR($B124="",$C124&gt;Setup!$B$15),"",IFERROR(INDEX('Fixture Library'!$D$4:$D$200,MATCH(Setup!$B$6&amp;"-"&amp;$C124,'Fixture Library'!$A$4:$A$200,0)),""))</f>
        <v>3</v>
      </c>
      <c r="E124" t="str">
        <f>IF($R124="","",IFERROR(INDEX(Teams!$D$4:$D$67,MATCH($B124&amp;"-"&amp;$R124,Teams!$E$4:$E$67,0)),""))</f>
        <v>Team E1</v>
      </c>
      <c r="F124" s="88"/>
      <c r="G124" s="88"/>
      <c r="H124" s="88"/>
      <c r="I124" t="str">
        <f>IF($Q124&lt;&gt;"Complete","",IF(AND(ISNUMBER($G124),$G124&gt;=Setup!$B$31),Setup!$B$32,0)+IF(AND($F124&lt;$L124,$L124-$F124&lt;=Setup!$B$33),Setup!$B$34,0))</f>
        <v/>
      </c>
      <c r="J124" t="str">
        <f t="shared" si="6"/>
        <v/>
      </c>
      <c r="K124" t="str">
        <f>IF($S124="","",IFERROR(INDEX(Teams!$D$4:$D$67,MATCH($B124&amp;"-"&amp;$S124,Teams!$E$4:$E$67,0)),""))</f>
        <v>Team E6</v>
      </c>
      <c r="L124" s="88"/>
      <c r="M124" s="88"/>
      <c r="N124" s="88"/>
      <c r="O124" t="str">
        <f>IF($Q124&lt;&gt;"Complete","",IF(AND(ISNUMBER($M124),$M124&gt;=Setup!$B$31),Setup!$B$32,0)+IF(AND($L124&lt;$F124,$F124-$L124&lt;=Setup!$B$33),Setup!$B$34,0))</f>
        <v/>
      </c>
      <c r="P124" t="str">
        <f t="shared" si="7"/>
        <v/>
      </c>
      <c r="Q124" t="str">
        <f t="shared" si="8"/>
        <v>Waiting</v>
      </c>
      <c r="R124">
        <f>IF(OR($B124="",$C124&gt;Setup!$B$15),"",IFERROR(INDEX('Fixture Library'!$E$4:$E$200,MATCH(Setup!$B$6&amp;"-"&amp;$C124,'Fixture Library'!$A$4:$A$200,0)),""))</f>
        <v>1</v>
      </c>
      <c r="S124">
        <f>IF(OR($B124="",$C124&gt;Setup!$B$15),"",IFERROR(INDEX('Fixture Library'!$F$4:$F$200,MATCH(Setup!$B$6&amp;"-"&amp;$C124,'Fixture Library'!$A$4:$A$200,0)),""))</f>
        <v>6</v>
      </c>
      <c r="T124">
        <f t="shared" si="9"/>
        <v>0</v>
      </c>
      <c r="U124">
        <f t="shared" si="10"/>
        <v>0</v>
      </c>
      <c r="V124">
        <f t="shared" si="11"/>
        <v>0</v>
      </c>
    </row>
    <row r="125" spans="1:22">
      <c r="A125">
        <v>122</v>
      </c>
      <c r="B125" t="str">
        <f>IF(INT(($A125-1)/Setup!$B$15)+1&lt;=Setup!$B$5,INDEX(Setup!$B$21:$B$28,INT(($A125-1)/Setup!$B$15)+1),"")</f>
        <v>E</v>
      </c>
      <c r="C125">
        <f>IF($B125="","",MOD($A125-1,Setup!$B$15)+1)</f>
        <v>10</v>
      </c>
      <c r="D125">
        <f>IF(OR($B125="",$C125&gt;Setup!$B$15),"",IFERROR(INDEX('Fixture Library'!$D$4:$D$200,MATCH(Setup!$B$6&amp;"-"&amp;$C125,'Fixture Library'!$A$4:$A$200,0)),""))</f>
        <v>3</v>
      </c>
      <c r="E125" t="str">
        <f>IF($R125="","",IFERROR(INDEX(Teams!$D$4:$D$67,MATCH($B125&amp;"-"&amp;$R125,Teams!$E$4:$E$67,0)),""))</f>
        <v>Team E7</v>
      </c>
      <c r="F125" s="88"/>
      <c r="G125" s="88"/>
      <c r="H125" s="88"/>
      <c r="I125" t="str">
        <f>IF($Q125&lt;&gt;"Complete","",IF(AND(ISNUMBER($G125),$G125&gt;=Setup!$B$31),Setup!$B$32,0)+IF(AND($F125&lt;$L125,$L125-$F125&lt;=Setup!$B$33),Setup!$B$34,0))</f>
        <v/>
      </c>
      <c r="J125" t="str">
        <f t="shared" si="6"/>
        <v/>
      </c>
      <c r="K125" t="str">
        <f>IF($S125="","",IFERROR(INDEX(Teams!$D$4:$D$67,MATCH($B125&amp;"-"&amp;$S125,Teams!$E$4:$E$67,0)),""))</f>
        <v>Team E5</v>
      </c>
      <c r="L125" s="88"/>
      <c r="M125" s="88"/>
      <c r="N125" s="88"/>
      <c r="O125" t="str">
        <f>IF($Q125&lt;&gt;"Complete","",IF(AND(ISNUMBER($M125),$M125&gt;=Setup!$B$31),Setup!$B$32,0)+IF(AND($L125&lt;$F125,$F125-$L125&lt;=Setup!$B$33),Setup!$B$34,0))</f>
        <v/>
      </c>
      <c r="P125" t="str">
        <f t="shared" si="7"/>
        <v/>
      </c>
      <c r="Q125" t="str">
        <f t="shared" si="8"/>
        <v>Waiting</v>
      </c>
      <c r="R125">
        <f>IF(OR($B125="",$C125&gt;Setup!$B$15),"",IFERROR(INDEX('Fixture Library'!$E$4:$E$200,MATCH(Setup!$B$6&amp;"-"&amp;$C125,'Fixture Library'!$A$4:$A$200,0)),""))</f>
        <v>7</v>
      </c>
      <c r="S125">
        <f>IF(OR($B125="",$C125&gt;Setup!$B$15),"",IFERROR(INDEX('Fixture Library'!$F$4:$F$200,MATCH(Setup!$B$6&amp;"-"&amp;$C125,'Fixture Library'!$A$4:$A$200,0)),""))</f>
        <v>5</v>
      </c>
      <c r="T125">
        <f t="shared" si="9"/>
        <v>0</v>
      </c>
      <c r="U125">
        <f t="shared" si="10"/>
        <v>0</v>
      </c>
      <c r="V125">
        <f t="shared" si="11"/>
        <v>0</v>
      </c>
    </row>
    <row r="126" spans="1:22">
      <c r="A126">
        <v>123</v>
      </c>
      <c r="B126" t="str">
        <f>IF(INT(($A126-1)/Setup!$B$15)+1&lt;=Setup!$B$5,INDEX(Setup!$B$21:$B$28,INT(($A126-1)/Setup!$B$15)+1),"")</f>
        <v>E</v>
      </c>
      <c r="C126">
        <f>IF($B126="","",MOD($A126-1,Setup!$B$15)+1)</f>
        <v>11</v>
      </c>
      <c r="D126">
        <f>IF(OR($B126="",$C126&gt;Setup!$B$15),"",IFERROR(INDEX('Fixture Library'!$D$4:$D$200,MATCH(Setup!$B$6&amp;"-"&amp;$C126,'Fixture Library'!$A$4:$A$200,0)),""))</f>
        <v>3</v>
      </c>
      <c r="E126" t="str">
        <f>IF($R126="","",IFERROR(INDEX(Teams!$D$4:$D$67,MATCH($B126&amp;"-"&amp;$R126,Teams!$E$4:$E$67,0)),""))</f>
        <v>Team E8</v>
      </c>
      <c r="F126" s="88"/>
      <c r="G126" s="88"/>
      <c r="H126" s="88"/>
      <c r="I126" t="str">
        <f>IF($Q126&lt;&gt;"Complete","",IF(AND(ISNUMBER($G126),$G126&gt;=Setup!$B$31),Setup!$B$32,0)+IF(AND($F126&lt;$L126,$L126-$F126&lt;=Setup!$B$33),Setup!$B$34,0))</f>
        <v/>
      </c>
      <c r="J126" t="str">
        <f t="shared" si="6"/>
        <v/>
      </c>
      <c r="K126" t="str">
        <f>IF($S126="","",IFERROR(INDEX(Teams!$D$4:$D$67,MATCH($B126&amp;"-"&amp;$S126,Teams!$E$4:$E$67,0)),""))</f>
        <v>Team E4</v>
      </c>
      <c r="L126" s="88"/>
      <c r="M126" s="88"/>
      <c r="N126" s="88"/>
      <c r="O126" t="str">
        <f>IF($Q126&lt;&gt;"Complete","",IF(AND(ISNUMBER($M126),$M126&gt;=Setup!$B$31),Setup!$B$32,0)+IF(AND($L126&lt;$F126,$F126-$L126&lt;=Setup!$B$33),Setup!$B$34,0))</f>
        <v/>
      </c>
      <c r="P126" t="str">
        <f t="shared" si="7"/>
        <v/>
      </c>
      <c r="Q126" t="str">
        <f t="shared" si="8"/>
        <v>Waiting</v>
      </c>
      <c r="R126">
        <f>IF(OR($B126="",$C126&gt;Setup!$B$15),"",IFERROR(INDEX('Fixture Library'!$E$4:$E$200,MATCH(Setup!$B$6&amp;"-"&amp;$C126,'Fixture Library'!$A$4:$A$200,0)),""))</f>
        <v>8</v>
      </c>
      <c r="S126">
        <f>IF(OR($B126="",$C126&gt;Setup!$B$15),"",IFERROR(INDEX('Fixture Library'!$F$4:$F$200,MATCH(Setup!$B$6&amp;"-"&amp;$C126,'Fixture Library'!$A$4:$A$200,0)),""))</f>
        <v>4</v>
      </c>
      <c r="T126">
        <f t="shared" si="9"/>
        <v>0</v>
      </c>
      <c r="U126">
        <f t="shared" si="10"/>
        <v>0</v>
      </c>
      <c r="V126">
        <f t="shared" si="11"/>
        <v>0</v>
      </c>
    </row>
    <row r="127" spans="1:22">
      <c r="A127">
        <v>124</v>
      </c>
      <c r="B127" t="str">
        <f>IF(INT(($A127-1)/Setup!$B$15)+1&lt;=Setup!$B$5,INDEX(Setup!$B$21:$B$28,INT(($A127-1)/Setup!$B$15)+1),"")</f>
        <v>E</v>
      </c>
      <c r="C127">
        <f>IF($B127="","",MOD($A127-1,Setup!$B$15)+1)</f>
        <v>12</v>
      </c>
      <c r="D127">
        <f>IF(OR($B127="",$C127&gt;Setup!$B$15),"",IFERROR(INDEX('Fixture Library'!$D$4:$D$200,MATCH(Setup!$B$6&amp;"-"&amp;$C127,'Fixture Library'!$A$4:$A$200,0)),""))</f>
        <v>3</v>
      </c>
      <c r="E127" t="str">
        <f>IF($R127="","",IFERROR(INDEX(Teams!$D$4:$D$67,MATCH($B127&amp;"-"&amp;$R127,Teams!$E$4:$E$67,0)),""))</f>
        <v>Team E2</v>
      </c>
      <c r="F127" s="88"/>
      <c r="G127" s="88"/>
      <c r="H127" s="88"/>
      <c r="I127" t="str">
        <f>IF($Q127&lt;&gt;"Complete","",IF(AND(ISNUMBER($G127),$G127&gt;=Setup!$B$31),Setup!$B$32,0)+IF(AND($F127&lt;$L127,$L127-$F127&lt;=Setup!$B$33),Setup!$B$34,0))</f>
        <v/>
      </c>
      <c r="J127" t="str">
        <f t="shared" si="6"/>
        <v/>
      </c>
      <c r="K127" t="str">
        <f>IF($S127="","",IFERROR(INDEX(Teams!$D$4:$D$67,MATCH($B127&amp;"-"&amp;$S127,Teams!$E$4:$E$67,0)),""))</f>
        <v>Team E3</v>
      </c>
      <c r="L127" s="88"/>
      <c r="M127" s="88"/>
      <c r="N127" s="88"/>
      <c r="O127" t="str">
        <f>IF($Q127&lt;&gt;"Complete","",IF(AND(ISNUMBER($M127),$M127&gt;=Setup!$B$31),Setup!$B$32,0)+IF(AND($L127&lt;$F127,$F127-$L127&lt;=Setup!$B$33),Setup!$B$34,0))</f>
        <v/>
      </c>
      <c r="P127" t="str">
        <f t="shared" si="7"/>
        <v/>
      </c>
      <c r="Q127" t="str">
        <f t="shared" si="8"/>
        <v>Waiting</v>
      </c>
      <c r="R127">
        <f>IF(OR($B127="",$C127&gt;Setup!$B$15),"",IFERROR(INDEX('Fixture Library'!$E$4:$E$200,MATCH(Setup!$B$6&amp;"-"&amp;$C127,'Fixture Library'!$A$4:$A$200,0)),""))</f>
        <v>2</v>
      </c>
      <c r="S127">
        <f>IF(OR($B127="",$C127&gt;Setup!$B$15),"",IFERROR(INDEX('Fixture Library'!$F$4:$F$200,MATCH(Setup!$B$6&amp;"-"&amp;$C127,'Fixture Library'!$A$4:$A$200,0)),""))</f>
        <v>3</v>
      </c>
      <c r="T127">
        <f t="shared" si="9"/>
        <v>0</v>
      </c>
      <c r="U127">
        <f t="shared" si="10"/>
        <v>0</v>
      </c>
      <c r="V127">
        <f t="shared" si="11"/>
        <v>0</v>
      </c>
    </row>
    <row r="128" spans="1:22">
      <c r="A128">
        <v>125</v>
      </c>
      <c r="B128" t="str">
        <f>IF(INT(($A128-1)/Setup!$B$15)+1&lt;=Setup!$B$5,INDEX(Setup!$B$21:$B$28,INT(($A128-1)/Setup!$B$15)+1),"")</f>
        <v>E</v>
      </c>
      <c r="C128">
        <f>IF($B128="","",MOD($A128-1,Setup!$B$15)+1)</f>
        <v>13</v>
      </c>
      <c r="D128">
        <f>IF(OR($B128="",$C128&gt;Setup!$B$15),"",IFERROR(INDEX('Fixture Library'!$D$4:$D$200,MATCH(Setup!$B$6&amp;"-"&amp;$C128,'Fixture Library'!$A$4:$A$200,0)),""))</f>
        <v>4</v>
      </c>
      <c r="E128" t="str">
        <f>IF($R128="","",IFERROR(INDEX(Teams!$D$4:$D$67,MATCH($B128&amp;"-"&amp;$R128,Teams!$E$4:$E$67,0)),""))</f>
        <v>Team E5</v>
      </c>
      <c r="F128" s="88"/>
      <c r="G128" s="88"/>
      <c r="H128" s="88"/>
      <c r="I128" t="str">
        <f>IF($Q128&lt;&gt;"Complete","",IF(AND(ISNUMBER($G128),$G128&gt;=Setup!$B$31),Setup!$B$32,0)+IF(AND($F128&lt;$L128,$L128-$F128&lt;=Setup!$B$33),Setup!$B$34,0))</f>
        <v/>
      </c>
      <c r="J128" t="str">
        <f t="shared" si="6"/>
        <v/>
      </c>
      <c r="K128" t="str">
        <f>IF($S128="","",IFERROR(INDEX(Teams!$D$4:$D$67,MATCH($B128&amp;"-"&amp;$S128,Teams!$E$4:$E$67,0)),""))</f>
        <v>Team E1</v>
      </c>
      <c r="L128" s="88"/>
      <c r="M128" s="88"/>
      <c r="N128" s="88"/>
      <c r="O128" t="str">
        <f>IF($Q128&lt;&gt;"Complete","",IF(AND(ISNUMBER($M128),$M128&gt;=Setup!$B$31),Setup!$B$32,0)+IF(AND($L128&lt;$F128,$F128-$L128&lt;=Setup!$B$33),Setup!$B$34,0))</f>
        <v/>
      </c>
      <c r="P128" t="str">
        <f t="shared" si="7"/>
        <v/>
      </c>
      <c r="Q128" t="str">
        <f t="shared" si="8"/>
        <v>Waiting</v>
      </c>
      <c r="R128">
        <f>IF(OR($B128="",$C128&gt;Setup!$B$15),"",IFERROR(INDEX('Fixture Library'!$E$4:$E$200,MATCH(Setup!$B$6&amp;"-"&amp;$C128,'Fixture Library'!$A$4:$A$200,0)),""))</f>
        <v>5</v>
      </c>
      <c r="S128">
        <f>IF(OR($B128="",$C128&gt;Setup!$B$15),"",IFERROR(INDEX('Fixture Library'!$F$4:$F$200,MATCH(Setup!$B$6&amp;"-"&amp;$C128,'Fixture Library'!$A$4:$A$200,0)),""))</f>
        <v>1</v>
      </c>
      <c r="T128">
        <f t="shared" si="9"/>
        <v>0</v>
      </c>
      <c r="U128">
        <f t="shared" si="10"/>
        <v>0</v>
      </c>
      <c r="V128">
        <f t="shared" si="11"/>
        <v>0</v>
      </c>
    </row>
    <row r="129" spans="1:22">
      <c r="A129">
        <v>126</v>
      </c>
      <c r="B129" t="str">
        <f>IF(INT(($A129-1)/Setup!$B$15)+1&lt;=Setup!$B$5,INDEX(Setup!$B$21:$B$28,INT(($A129-1)/Setup!$B$15)+1),"")</f>
        <v>E</v>
      </c>
      <c r="C129">
        <f>IF($B129="","",MOD($A129-1,Setup!$B$15)+1)</f>
        <v>14</v>
      </c>
      <c r="D129">
        <f>IF(OR($B129="",$C129&gt;Setup!$B$15),"",IFERROR(INDEX('Fixture Library'!$D$4:$D$200,MATCH(Setup!$B$6&amp;"-"&amp;$C129,'Fixture Library'!$A$4:$A$200,0)),""))</f>
        <v>4</v>
      </c>
      <c r="E129" t="str">
        <f>IF($R129="","",IFERROR(INDEX(Teams!$D$4:$D$67,MATCH($B129&amp;"-"&amp;$R129,Teams!$E$4:$E$67,0)),""))</f>
        <v>Team E4</v>
      </c>
      <c r="F129" s="88"/>
      <c r="G129" s="88"/>
      <c r="H129" s="88"/>
      <c r="I129" t="str">
        <f>IF($Q129&lt;&gt;"Complete","",IF(AND(ISNUMBER($G129),$G129&gt;=Setup!$B$31),Setup!$B$32,0)+IF(AND($F129&lt;$L129,$L129-$F129&lt;=Setup!$B$33),Setup!$B$34,0))</f>
        <v/>
      </c>
      <c r="J129" t="str">
        <f t="shared" si="6"/>
        <v/>
      </c>
      <c r="K129" t="str">
        <f>IF($S129="","",IFERROR(INDEX(Teams!$D$4:$D$67,MATCH($B129&amp;"-"&amp;$S129,Teams!$E$4:$E$67,0)),""))</f>
        <v>Team E6</v>
      </c>
      <c r="L129" s="88"/>
      <c r="M129" s="88"/>
      <c r="N129" s="88"/>
      <c r="O129" t="str">
        <f>IF($Q129&lt;&gt;"Complete","",IF(AND(ISNUMBER($M129),$M129&gt;=Setup!$B$31),Setup!$B$32,0)+IF(AND($L129&lt;$F129,$F129-$L129&lt;=Setup!$B$33),Setup!$B$34,0))</f>
        <v/>
      </c>
      <c r="P129" t="str">
        <f t="shared" si="7"/>
        <v/>
      </c>
      <c r="Q129" t="str">
        <f t="shared" si="8"/>
        <v>Waiting</v>
      </c>
      <c r="R129">
        <f>IF(OR($B129="",$C129&gt;Setup!$B$15),"",IFERROR(INDEX('Fixture Library'!$E$4:$E$200,MATCH(Setup!$B$6&amp;"-"&amp;$C129,'Fixture Library'!$A$4:$A$200,0)),""))</f>
        <v>4</v>
      </c>
      <c r="S129">
        <f>IF(OR($B129="",$C129&gt;Setup!$B$15),"",IFERROR(INDEX('Fixture Library'!$F$4:$F$200,MATCH(Setup!$B$6&amp;"-"&amp;$C129,'Fixture Library'!$A$4:$A$200,0)),""))</f>
        <v>6</v>
      </c>
      <c r="T129">
        <f t="shared" si="9"/>
        <v>0</v>
      </c>
      <c r="U129">
        <f t="shared" si="10"/>
        <v>0</v>
      </c>
      <c r="V129">
        <f t="shared" si="11"/>
        <v>0</v>
      </c>
    </row>
    <row r="130" spans="1:22">
      <c r="A130">
        <v>127</v>
      </c>
      <c r="B130" t="str">
        <f>IF(INT(($A130-1)/Setup!$B$15)+1&lt;=Setup!$B$5,INDEX(Setup!$B$21:$B$28,INT(($A130-1)/Setup!$B$15)+1),"")</f>
        <v>E</v>
      </c>
      <c r="C130">
        <f>IF($B130="","",MOD($A130-1,Setup!$B$15)+1)</f>
        <v>15</v>
      </c>
      <c r="D130">
        <f>IF(OR($B130="",$C130&gt;Setup!$B$15),"",IFERROR(INDEX('Fixture Library'!$D$4:$D$200,MATCH(Setup!$B$6&amp;"-"&amp;$C130,'Fixture Library'!$A$4:$A$200,0)),""))</f>
        <v>4</v>
      </c>
      <c r="E130" t="str">
        <f>IF($R130="","",IFERROR(INDEX(Teams!$D$4:$D$67,MATCH($B130&amp;"-"&amp;$R130,Teams!$E$4:$E$67,0)),""))</f>
        <v>Team E3</v>
      </c>
      <c r="F130" s="88"/>
      <c r="G130" s="88"/>
      <c r="H130" s="88"/>
      <c r="I130" t="str">
        <f>IF($Q130&lt;&gt;"Complete","",IF(AND(ISNUMBER($G130),$G130&gt;=Setup!$B$31),Setup!$B$32,0)+IF(AND($F130&lt;$L130,$L130-$F130&lt;=Setup!$B$33),Setup!$B$34,0))</f>
        <v/>
      </c>
      <c r="J130" t="str">
        <f t="shared" si="6"/>
        <v/>
      </c>
      <c r="K130" t="str">
        <f>IF($S130="","",IFERROR(INDEX(Teams!$D$4:$D$67,MATCH($B130&amp;"-"&amp;$S130,Teams!$E$4:$E$67,0)),""))</f>
        <v>Team E7</v>
      </c>
      <c r="L130" s="88"/>
      <c r="M130" s="88"/>
      <c r="N130" s="88"/>
      <c r="O130" t="str">
        <f>IF($Q130&lt;&gt;"Complete","",IF(AND(ISNUMBER($M130),$M130&gt;=Setup!$B$31),Setup!$B$32,0)+IF(AND($L130&lt;$F130,$F130-$L130&lt;=Setup!$B$33),Setup!$B$34,0))</f>
        <v/>
      </c>
      <c r="P130" t="str">
        <f t="shared" si="7"/>
        <v/>
      </c>
      <c r="Q130" t="str">
        <f t="shared" si="8"/>
        <v>Waiting</v>
      </c>
      <c r="R130">
        <f>IF(OR($B130="",$C130&gt;Setup!$B$15),"",IFERROR(INDEX('Fixture Library'!$E$4:$E$200,MATCH(Setup!$B$6&amp;"-"&amp;$C130,'Fixture Library'!$A$4:$A$200,0)),""))</f>
        <v>3</v>
      </c>
      <c r="S130">
        <f>IF(OR($B130="",$C130&gt;Setup!$B$15),"",IFERROR(INDEX('Fixture Library'!$F$4:$F$200,MATCH(Setup!$B$6&amp;"-"&amp;$C130,'Fixture Library'!$A$4:$A$200,0)),""))</f>
        <v>7</v>
      </c>
      <c r="T130">
        <f t="shared" si="9"/>
        <v>0</v>
      </c>
      <c r="U130">
        <f t="shared" si="10"/>
        <v>0</v>
      </c>
      <c r="V130">
        <f t="shared" si="11"/>
        <v>0</v>
      </c>
    </row>
    <row r="131" spans="1:22">
      <c r="A131">
        <v>128</v>
      </c>
      <c r="B131" t="str">
        <f>IF(INT(($A131-1)/Setup!$B$15)+1&lt;=Setup!$B$5,INDEX(Setup!$B$21:$B$28,INT(($A131-1)/Setup!$B$15)+1),"")</f>
        <v>E</v>
      </c>
      <c r="C131">
        <f>IF($B131="","",MOD($A131-1,Setup!$B$15)+1)</f>
        <v>16</v>
      </c>
      <c r="D131">
        <f>IF(OR($B131="",$C131&gt;Setup!$B$15),"",IFERROR(INDEX('Fixture Library'!$D$4:$D$200,MATCH(Setup!$B$6&amp;"-"&amp;$C131,'Fixture Library'!$A$4:$A$200,0)),""))</f>
        <v>4</v>
      </c>
      <c r="E131" t="str">
        <f>IF($R131="","",IFERROR(INDEX(Teams!$D$4:$D$67,MATCH($B131&amp;"-"&amp;$R131,Teams!$E$4:$E$67,0)),""))</f>
        <v>Team E2</v>
      </c>
      <c r="F131" s="88"/>
      <c r="G131" s="88"/>
      <c r="H131" s="88"/>
      <c r="I131" t="str">
        <f>IF($Q131&lt;&gt;"Complete","",IF(AND(ISNUMBER($G131),$G131&gt;=Setup!$B$31),Setup!$B$32,0)+IF(AND($F131&lt;$L131,$L131-$F131&lt;=Setup!$B$33),Setup!$B$34,0))</f>
        <v/>
      </c>
      <c r="J131" t="str">
        <f t="shared" si="6"/>
        <v/>
      </c>
      <c r="K131" t="str">
        <f>IF($S131="","",IFERROR(INDEX(Teams!$D$4:$D$67,MATCH($B131&amp;"-"&amp;$S131,Teams!$E$4:$E$67,0)),""))</f>
        <v>Team E8</v>
      </c>
      <c r="L131" s="88"/>
      <c r="M131" s="88"/>
      <c r="N131" s="88"/>
      <c r="O131" t="str">
        <f>IF($Q131&lt;&gt;"Complete","",IF(AND(ISNUMBER($M131),$M131&gt;=Setup!$B$31),Setup!$B$32,0)+IF(AND($L131&lt;$F131,$F131-$L131&lt;=Setup!$B$33),Setup!$B$34,0))</f>
        <v/>
      </c>
      <c r="P131" t="str">
        <f t="shared" si="7"/>
        <v/>
      </c>
      <c r="Q131" t="str">
        <f t="shared" si="8"/>
        <v>Waiting</v>
      </c>
      <c r="R131">
        <f>IF(OR($B131="",$C131&gt;Setup!$B$15),"",IFERROR(INDEX('Fixture Library'!$E$4:$E$200,MATCH(Setup!$B$6&amp;"-"&amp;$C131,'Fixture Library'!$A$4:$A$200,0)),""))</f>
        <v>2</v>
      </c>
      <c r="S131">
        <f>IF(OR($B131="",$C131&gt;Setup!$B$15),"",IFERROR(INDEX('Fixture Library'!$F$4:$F$200,MATCH(Setup!$B$6&amp;"-"&amp;$C131,'Fixture Library'!$A$4:$A$200,0)),""))</f>
        <v>8</v>
      </c>
      <c r="T131">
        <f t="shared" si="9"/>
        <v>0</v>
      </c>
      <c r="U131">
        <f t="shared" si="10"/>
        <v>0</v>
      </c>
      <c r="V131">
        <f t="shared" si="11"/>
        <v>0</v>
      </c>
    </row>
    <row r="132" spans="1:22">
      <c r="A132">
        <v>129</v>
      </c>
      <c r="B132" t="str">
        <f>IF(INT(($A132-1)/Setup!$B$15)+1&lt;=Setup!$B$5,INDEX(Setup!$B$21:$B$28,INT(($A132-1)/Setup!$B$15)+1),"")</f>
        <v>E</v>
      </c>
      <c r="C132">
        <f>IF($B132="","",MOD($A132-1,Setup!$B$15)+1)</f>
        <v>17</v>
      </c>
      <c r="D132">
        <f>IF(OR($B132="",$C132&gt;Setup!$B$15),"",IFERROR(INDEX('Fixture Library'!$D$4:$D$200,MATCH(Setup!$B$6&amp;"-"&amp;$C132,'Fixture Library'!$A$4:$A$200,0)),""))</f>
        <v>5</v>
      </c>
      <c r="E132" t="str">
        <f>IF($R132="","",IFERROR(INDEX(Teams!$D$4:$D$67,MATCH($B132&amp;"-"&amp;$R132,Teams!$E$4:$E$67,0)),""))</f>
        <v>Team E1</v>
      </c>
      <c r="F132" s="88"/>
      <c r="G132" s="88"/>
      <c r="H132" s="88"/>
      <c r="I132" t="str">
        <f>IF($Q132&lt;&gt;"Complete","",IF(AND(ISNUMBER($G132),$G132&gt;=Setup!$B$31),Setup!$B$32,0)+IF(AND($F132&lt;$L132,$L132-$F132&lt;=Setup!$B$33),Setup!$B$34,0))</f>
        <v/>
      </c>
      <c r="J132" t="str">
        <f t="shared" ref="J132:J195" si="12">IF($Q132&lt;&gt;"Complete","",IF(ISNUMBER($H132),$H132,$I132))</f>
        <v/>
      </c>
      <c r="K132" t="str">
        <f>IF($S132="","",IFERROR(INDEX(Teams!$D$4:$D$67,MATCH($B132&amp;"-"&amp;$S132,Teams!$E$4:$E$67,0)),""))</f>
        <v>Team E4</v>
      </c>
      <c r="L132" s="88"/>
      <c r="M132" s="88"/>
      <c r="N132" s="88"/>
      <c r="O132" t="str">
        <f>IF($Q132&lt;&gt;"Complete","",IF(AND(ISNUMBER($M132),$M132&gt;=Setup!$B$31),Setup!$B$32,0)+IF(AND($L132&lt;$F132,$F132-$L132&lt;=Setup!$B$33),Setup!$B$34,0))</f>
        <v/>
      </c>
      <c r="P132" t="str">
        <f t="shared" ref="P132:P195" si="13">IF($Q132&lt;&gt;"Complete","",IF(ISNUMBER($N132),$N132,$O132))</f>
        <v/>
      </c>
      <c r="Q132" t="str">
        <f t="shared" ref="Q132:Q195" si="14">IF(OR($E132="",$K132=""),"",IF(AND(ISNUMBER($F132),ISNUMBER($L132)),"Complete","Waiting"))</f>
        <v>Waiting</v>
      </c>
      <c r="R132">
        <f>IF(OR($B132="",$C132&gt;Setup!$B$15),"",IFERROR(INDEX('Fixture Library'!$E$4:$E$200,MATCH(Setup!$B$6&amp;"-"&amp;$C132,'Fixture Library'!$A$4:$A$200,0)),""))</f>
        <v>1</v>
      </c>
      <c r="S132">
        <f>IF(OR($B132="",$C132&gt;Setup!$B$15),"",IFERROR(INDEX('Fixture Library'!$F$4:$F$200,MATCH(Setup!$B$6&amp;"-"&amp;$C132,'Fixture Library'!$A$4:$A$200,0)),""))</f>
        <v>4</v>
      </c>
      <c r="T132">
        <f t="shared" ref="T132:T195" si="15">IF($Q132&lt;&gt;"Complete",0,IF($F132&gt;$L132,1,0))</f>
        <v>0</v>
      </c>
      <c r="U132">
        <f t="shared" ref="U132:U195" si="16">IF($Q132&lt;&gt;"Complete",0,IF($L132&gt;$F132,1,0))</f>
        <v>0</v>
      </c>
      <c r="V132">
        <f t="shared" ref="V132:V195" si="17">IF($Q132&lt;&gt;"Complete",0,IF($F132=$L132,1,0))</f>
        <v>0</v>
      </c>
    </row>
    <row r="133" spans="1:22">
      <c r="A133">
        <v>130</v>
      </c>
      <c r="B133" t="str">
        <f>IF(INT(($A133-1)/Setup!$B$15)+1&lt;=Setup!$B$5,INDEX(Setup!$B$21:$B$28,INT(($A133-1)/Setup!$B$15)+1),"")</f>
        <v>E</v>
      </c>
      <c r="C133">
        <f>IF($B133="","",MOD($A133-1,Setup!$B$15)+1)</f>
        <v>18</v>
      </c>
      <c r="D133">
        <f>IF(OR($B133="",$C133&gt;Setup!$B$15),"",IFERROR(INDEX('Fixture Library'!$D$4:$D$200,MATCH(Setup!$B$6&amp;"-"&amp;$C133,'Fixture Library'!$A$4:$A$200,0)),""))</f>
        <v>5</v>
      </c>
      <c r="E133" t="str">
        <f>IF($R133="","",IFERROR(INDEX(Teams!$D$4:$D$67,MATCH($B133&amp;"-"&amp;$R133,Teams!$E$4:$E$67,0)),""))</f>
        <v>Team E5</v>
      </c>
      <c r="F133" s="88"/>
      <c r="G133" s="88"/>
      <c r="H133" s="88"/>
      <c r="I133" t="str">
        <f>IF($Q133&lt;&gt;"Complete","",IF(AND(ISNUMBER($G133),$G133&gt;=Setup!$B$31),Setup!$B$32,0)+IF(AND($F133&lt;$L133,$L133-$F133&lt;=Setup!$B$33),Setup!$B$34,0))</f>
        <v/>
      </c>
      <c r="J133" t="str">
        <f t="shared" si="12"/>
        <v/>
      </c>
      <c r="K133" t="str">
        <f>IF($S133="","",IFERROR(INDEX(Teams!$D$4:$D$67,MATCH($B133&amp;"-"&amp;$S133,Teams!$E$4:$E$67,0)),""))</f>
        <v>Team E3</v>
      </c>
      <c r="L133" s="88"/>
      <c r="M133" s="88"/>
      <c r="N133" s="88"/>
      <c r="O133" t="str">
        <f>IF($Q133&lt;&gt;"Complete","",IF(AND(ISNUMBER($M133),$M133&gt;=Setup!$B$31),Setup!$B$32,0)+IF(AND($L133&lt;$F133,$F133-$L133&lt;=Setup!$B$33),Setup!$B$34,0))</f>
        <v/>
      </c>
      <c r="P133" t="str">
        <f t="shared" si="13"/>
        <v/>
      </c>
      <c r="Q133" t="str">
        <f t="shared" si="14"/>
        <v>Waiting</v>
      </c>
      <c r="R133">
        <f>IF(OR($B133="",$C133&gt;Setup!$B$15),"",IFERROR(INDEX('Fixture Library'!$E$4:$E$200,MATCH(Setup!$B$6&amp;"-"&amp;$C133,'Fixture Library'!$A$4:$A$200,0)),""))</f>
        <v>5</v>
      </c>
      <c r="S133">
        <f>IF(OR($B133="",$C133&gt;Setup!$B$15),"",IFERROR(INDEX('Fixture Library'!$F$4:$F$200,MATCH(Setup!$B$6&amp;"-"&amp;$C133,'Fixture Library'!$A$4:$A$200,0)),""))</f>
        <v>3</v>
      </c>
      <c r="T133">
        <f t="shared" si="15"/>
        <v>0</v>
      </c>
      <c r="U133">
        <f t="shared" si="16"/>
        <v>0</v>
      </c>
      <c r="V133">
        <f t="shared" si="17"/>
        <v>0</v>
      </c>
    </row>
    <row r="134" spans="1:22">
      <c r="A134">
        <v>131</v>
      </c>
      <c r="B134" t="str">
        <f>IF(INT(($A134-1)/Setup!$B$15)+1&lt;=Setup!$B$5,INDEX(Setup!$B$21:$B$28,INT(($A134-1)/Setup!$B$15)+1),"")</f>
        <v>E</v>
      </c>
      <c r="C134">
        <f>IF($B134="","",MOD($A134-1,Setup!$B$15)+1)</f>
        <v>19</v>
      </c>
      <c r="D134">
        <f>IF(OR($B134="",$C134&gt;Setup!$B$15),"",IFERROR(INDEX('Fixture Library'!$D$4:$D$200,MATCH(Setup!$B$6&amp;"-"&amp;$C134,'Fixture Library'!$A$4:$A$200,0)),""))</f>
        <v>5</v>
      </c>
      <c r="E134" t="str">
        <f>IF($R134="","",IFERROR(INDEX(Teams!$D$4:$D$67,MATCH($B134&amp;"-"&amp;$R134,Teams!$E$4:$E$67,0)),""))</f>
        <v>Team E6</v>
      </c>
      <c r="F134" s="88"/>
      <c r="G134" s="88"/>
      <c r="H134" s="88"/>
      <c r="I134" t="str">
        <f>IF($Q134&lt;&gt;"Complete","",IF(AND(ISNUMBER($G134),$G134&gt;=Setup!$B$31),Setup!$B$32,0)+IF(AND($F134&lt;$L134,$L134-$F134&lt;=Setup!$B$33),Setup!$B$34,0))</f>
        <v/>
      </c>
      <c r="J134" t="str">
        <f t="shared" si="12"/>
        <v/>
      </c>
      <c r="K134" t="str">
        <f>IF($S134="","",IFERROR(INDEX(Teams!$D$4:$D$67,MATCH($B134&amp;"-"&amp;$S134,Teams!$E$4:$E$67,0)),""))</f>
        <v>Team E2</v>
      </c>
      <c r="L134" s="88"/>
      <c r="M134" s="88"/>
      <c r="N134" s="88"/>
      <c r="O134" t="str">
        <f>IF($Q134&lt;&gt;"Complete","",IF(AND(ISNUMBER($M134),$M134&gt;=Setup!$B$31),Setup!$B$32,0)+IF(AND($L134&lt;$F134,$F134-$L134&lt;=Setup!$B$33),Setup!$B$34,0))</f>
        <v/>
      </c>
      <c r="P134" t="str">
        <f t="shared" si="13"/>
        <v/>
      </c>
      <c r="Q134" t="str">
        <f t="shared" si="14"/>
        <v>Waiting</v>
      </c>
      <c r="R134">
        <f>IF(OR($B134="",$C134&gt;Setup!$B$15),"",IFERROR(INDEX('Fixture Library'!$E$4:$E$200,MATCH(Setup!$B$6&amp;"-"&amp;$C134,'Fixture Library'!$A$4:$A$200,0)),""))</f>
        <v>6</v>
      </c>
      <c r="S134">
        <f>IF(OR($B134="",$C134&gt;Setup!$B$15),"",IFERROR(INDEX('Fixture Library'!$F$4:$F$200,MATCH(Setup!$B$6&amp;"-"&amp;$C134,'Fixture Library'!$A$4:$A$200,0)),""))</f>
        <v>2</v>
      </c>
      <c r="T134">
        <f t="shared" si="15"/>
        <v>0</v>
      </c>
      <c r="U134">
        <f t="shared" si="16"/>
        <v>0</v>
      </c>
      <c r="V134">
        <f t="shared" si="17"/>
        <v>0</v>
      </c>
    </row>
    <row r="135" spans="1:22">
      <c r="A135">
        <v>132</v>
      </c>
      <c r="B135" t="str">
        <f>IF(INT(($A135-1)/Setup!$B$15)+1&lt;=Setup!$B$5,INDEX(Setup!$B$21:$B$28,INT(($A135-1)/Setup!$B$15)+1),"")</f>
        <v>E</v>
      </c>
      <c r="C135">
        <f>IF($B135="","",MOD($A135-1,Setup!$B$15)+1)</f>
        <v>20</v>
      </c>
      <c r="D135">
        <f>IF(OR($B135="",$C135&gt;Setup!$B$15),"",IFERROR(INDEX('Fixture Library'!$D$4:$D$200,MATCH(Setup!$B$6&amp;"-"&amp;$C135,'Fixture Library'!$A$4:$A$200,0)),""))</f>
        <v>5</v>
      </c>
      <c r="E135" t="str">
        <f>IF($R135="","",IFERROR(INDEX(Teams!$D$4:$D$67,MATCH($B135&amp;"-"&amp;$R135,Teams!$E$4:$E$67,0)),""))</f>
        <v>Team E7</v>
      </c>
      <c r="F135" s="88"/>
      <c r="G135" s="88"/>
      <c r="H135" s="88"/>
      <c r="I135" t="str">
        <f>IF($Q135&lt;&gt;"Complete","",IF(AND(ISNUMBER($G135),$G135&gt;=Setup!$B$31),Setup!$B$32,0)+IF(AND($F135&lt;$L135,$L135-$F135&lt;=Setup!$B$33),Setup!$B$34,0))</f>
        <v/>
      </c>
      <c r="J135" t="str">
        <f t="shared" si="12"/>
        <v/>
      </c>
      <c r="K135" t="str">
        <f>IF($S135="","",IFERROR(INDEX(Teams!$D$4:$D$67,MATCH($B135&amp;"-"&amp;$S135,Teams!$E$4:$E$67,0)),""))</f>
        <v>Team E8</v>
      </c>
      <c r="L135" s="88"/>
      <c r="M135" s="88"/>
      <c r="N135" s="88"/>
      <c r="O135" t="str">
        <f>IF($Q135&lt;&gt;"Complete","",IF(AND(ISNUMBER($M135),$M135&gt;=Setup!$B$31),Setup!$B$32,0)+IF(AND($L135&lt;$F135,$F135-$L135&lt;=Setup!$B$33),Setup!$B$34,0))</f>
        <v/>
      </c>
      <c r="P135" t="str">
        <f t="shared" si="13"/>
        <v/>
      </c>
      <c r="Q135" t="str">
        <f t="shared" si="14"/>
        <v>Waiting</v>
      </c>
      <c r="R135">
        <f>IF(OR($B135="",$C135&gt;Setup!$B$15),"",IFERROR(INDEX('Fixture Library'!$E$4:$E$200,MATCH(Setup!$B$6&amp;"-"&amp;$C135,'Fixture Library'!$A$4:$A$200,0)),""))</f>
        <v>7</v>
      </c>
      <c r="S135">
        <f>IF(OR($B135="",$C135&gt;Setup!$B$15),"",IFERROR(INDEX('Fixture Library'!$F$4:$F$200,MATCH(Setup!$B$6&amp;"-"&amp;$C135,'Fixture Library'!$A$4:$A$200,0)),""))</f>
        <v>8</v>
      </c>
      <c r="T135">
        <f t="shared" si="15"/>
        <v>0</v>
      </c>
      <c r="U135">
        <f t="shared" si="16"/>
        <v>0</v>
      </c>
      <c r="V135">
        <f t="shared" si="17"/>
        <v>0</v>
      </c>
    </row>
    <row r="136" spans="1:22">
      <c r="A136">
        <v>133</v>
      </c>
      <c r="B136" t="str">
        <f>IF(INT(($A136-1)/Setup!$B$15)+1&lt;=Setup!$B$5,INDEX(Setup!$B$21:$B$28,INT(($A136-1)/Setup!$B$15)+1),"")</f>
        <v>E</v>
      </c>
      <c r="C136">
        <f>IF($B136="","",MOD($A136-1,Setup!$B$15)+1)</f>
        <v>21</v>
      </c>
      <c r="D136">
        <f>IF(OR($B136="",$C136&gt;Setup!$B$15),"",IFERROR(INDEX('Fixture Library'!$D$4:$D$200,MATCH(Setup!$B$6&amp;"-"&amp;$C136,'Fixture Library'!$A$4:$A$200,0)),""))</f>
        <v>6</v>
      </c>
      <c r="E136" t="str">
        <f>IF($R136="","",IFERROR(INDEX(Teams!$D$4:$D$67,MATCH($B136&amp;"-"&amp;$R136,Teams!$E$4:$E$67,0)),""))</f>
        <v>Team E3</v>
      </c>
      <c r="F136" s="88"/>
      <c r="G136" s="88"/>
      <c r="H136" s="88"/>
      <c r="I136" t="str">
        <f>IF($Q136&lt;&gt;"Complete","",IF(AND(ISNUMBER($G136),$G136&gt;=Setup!$B$31),Setup!$B$32,0)+IF(AND($F136&lt;$L136,$L136-$F136&lt;=Setup!$B$33),Setup!$B$34,0))</f>
        <v/>
      </c>
      <c r="J136" t="str">
        <f t="shared" si="12"/>
        <v/>
      </c>
      <c r="K136" t="str">
        <f>IF($S136="","",IFERROR(INDEX(Teams!$D$4:$D$67,MATCH($B136&amp;"-"&amp;$S136,Teams!$E$4:$E$67,0)),""))</f>
        <v>Team E1</v>
      </c>
      <c r="L136" s="88"/>
      <c r="M136" s="88"/>
      <c r="N136" s="88"/>
      <c r="O136" t="str">
        <f>IF($Q136&lt;&gt;"Complete","",IF(AND(ISNUMBER($M136),$M136&gt;=Setup!$B$31),Setup!$B$32,0)+IF(AND($L136&lt;$F136,$F136-$L136&lt;=Setup!$B$33),Setup!$B$34,0))</f>
        <v/>
      </c>
      <c r="P136" t="str">
        <f t="shared" si="13"/>
        <v/>
      </c>
      <c r="Q136" t="str">
        <f t="shared" si="14"/>
        <v>Waiting</v>
      </c>
      <c r="R136">
        <f>IF(OR($B136="",$C136&gt;Setup!$B$15),"",IFERROR(INDEX('Fixture Library'!$E$4:$E$200,MATCH(Setup!$B$6&amp;"-"&amp;$C136,'Fixture Library'!$A$4:$A$200,0)),""))</f>
        <v>3</v>
      </c>
      <c r="S136">
        <f>IF(OR($B136="",$C136&gt;Setup!$B$15),"",IFERROR(INDEX('Fixture Library'!$F$4:$F$200,MATCH(Setup!$B$6&amp;"-"&amp;$C136,'Fixture Library'!$A$4:$A$200,0)),""))</f>
        <v>1</v>
      </c>
      <c r="T136">
        <f t="shared" si="15"/>
        <v>0</v>
      </c>
      <c r="U136">
        <f t="shared" si="16"/>
        <v>0</v>
      </c>
      <c r="V136">
        <f t="shared" si="17"/>
        <v>0</v>
      </c>
    </row>
    <row r="137" spans="1:22">
      <c r="A137">
        <v>134</v>
      </c>
      <c r="B137" t="str">
        <f>IF(INT(($A137-1)/Setup!$B$15)+1&lt;=Setup!$B$5,INDEX(Setup!$B$21:$B$28,INT(($A137-1)/Setup!$B$15)+1),"")</f>
        <v>E</v>
      </c>
      <c r="C137">
        <f>IF($B137="","",MOD($A137-1,Setup!$B$15)+1)</f>
        <v>22</v>
      </c>
      <c r="D137">
        <f>IF(OR($B137="",$C137&gt;Setup!$B$15),"",IFERROR(INDEX('Fixture Library'!$D$4:$D$200,MATCH(Setup!$B$6&amp;"-"&amp;$C137,'Fixture Library'!$A$4:$A$200,0)),""))</f>
        <v>6</v>
      </c>
      <c r="E137" t="str">
        <f>IF($R137="","",IFERROR(INDEX(Teams!$D$4:$D$67,MATCH($B137&amp;"-"&amp;$R137,Teams!$E$4:$E$67,0)),""))</f>
        <v>Team E2</v>
      </c>
      <c r="F137" s="88"/>
      <c r="G137" s="88"/>
      <c r="H137" s="88"/>
      <c r="I137" t="str">
        <f>IF($Q137&lt;&gt;"Complete","",IF(AND(ISNUMBER($G137),$G137&gt;=Setup!$B$31),Setup!$B$32,0)+IF(AND($F137&lt;$L137,$L137-$F137&lt;=Setup!$B$33),Setup!$B$34,0))</f>
        <v/>
      </c>
      <c r="J137" t="str">
        <f t="shared" si="12"/>
        <v/>
      </c>
      <c r="K137" t="str">
        <f>IF($S137="","",IFERROR(INDEX(Teams!$D$4:$D$67,MATCH($B137&amp;"-"&amp;$S137,Teams!$E$4:$E$67,0)),""))</f>
        <v>Team E4</v>
      </c>
      <c r="L137" s="88"/>
      <c r="M137" s="88"/>
      <c r="N137" s="88"/>
      <c r="O137" t="str">
        <f>IF($Q137&lt;&gt;"Complete","",IF(AND(ISNUMBER($M137),$M137&gt;=Setup!$B$31),Setup!$B$32,0)+IF(AND($L137&lt;$F137,$F137-$L137&lt;=Setup!$B$33),Setup!$B$34,0))</f>
        <v/>
      </c>
      <c r="P137" t="str">
        <f t="shared" si="13"/>
        <v/>
      </c>
      <c r="Q137" t="str">
        <f t="shared" si="14"/>
        <v>Waiting</v>
      </c>
      <c r="R137">
        <f>IF(OR($B137="",$C137&gt;Setup!$B$15),"",IFERROR(INDEX('Fixture Library'!$E$4:$E$200,MATCH(Setup!$B$6&amp;"-"&amp;$C137,'Fixture Library'!$A$4:$A$200,0)),""))</f>
        <v>2</v>
      </c>
      <c r="S137">
        <f>IF(OR($B137="",$C137&gt;Setup!$B$15),"",IFERROR(INDEX('Fixture Library'!$F$4:$F$200,MATCH(Setup!$B$6&amp;"-"&amp;$C137,'Fixture Library'!$A$4:$A$200,0)),""))</f>
        <v>4</v>
      </c>
      <c r="T137">
        <f t="shared" si="15"/>
        <v>0</v>
      </c>
      <c r="U137">
        <f t="shared" si="16"/>
        <v>0</v>
      </c>
      <c r="V137">
        <f t="shared" si="17"/>
        <v>0</v>
      </c>
    </row>
    <row r="138" spans="1:22">
      <c r="A138">
        <v>135</v>
      </c>
      <c r="B138" t="str">
        <f>IF(INT(($A138-1)/Setup!$B$15)+1&lt;=Setup!$B$5,INDEX(Setup!$B$21:$B$28,INT(($A138-1)/Setup!$B$15)+1),"")</f>
        <v>E</v>
      </c>
      <c r="C138">
        <f>IF($B138="","",MOD($A138-1,Setup!$B$15)+1)</f>
        <v>23</v>
      </c>
      <c r="D138">
        <f>IF(OR($B138="",$C138&gt;Setup!$B$15),"",IFERROR(INDEX('Fixture Library'!$D$4:$D$200,MATCH(Setup!$B$6&amp;"-"&amp;$C138,'Fixture Library'!$A$4:$A$200,0)),""))</f>
        <v>6</v>
      </c>
      <c r="E138" t="str">
        <f>IF($R138="","",IFERROR(INDEX(Teams!$D$4:$D$67,MATCH($B138&amp;"-"&amp;$R138,Teams!$E$4:$E$67,0)),""))</f>
        <v>Team E8</v>
      </c>
      <c r="F138" s="88"/>
      <c r="G138" s="88"/>
      <c r="H138" s="88"/>
      <c r="I138" t="str">
        <f>IF($Q138&lt;&gt;"Complete","",IF(AND(ISNUMBER($G138),$G138&gt;=Setup!$B$31),Setup!$B$32,0)+IF(AND($F138&lt;$L138,$L138-$F138&lt;=Setup!$B$33),Setup!$B$34,0))</f>
        <v/>
      </c>
      <c r="J138" t="str">
        <f t="shared" si="12"/>
        <v/>
      </c>
      <c r="K138" t="str">
        <f>IF($S138="","",IFERROR(INDEX(Teams!$D$4:$D$67,MATCH($B138&amp;"-"&amp;$S138,Teams!$E$4:$E$67,0)),""))</f>
        <v>Team E5</v>
      </c>
      <c r="L138" s="88"/>
      <c r="M138" s="88"/>
      <c r="N138" s="88"/>
      <c r="O138" t="str">
        <f>IF($Q138&lt;&gt;"Complete","",IF(AND(ISNUMBER($M138),$M138&gt;=Setup!$B$31),Setup!$B$32,0)+IF(AND($L138&lt;$F138,$F138-$L138&lt;=Setup!$B$33),Setup!$B$34,0))</f>
        <v/>
      </c>
      <c r="P138" t="str">
        <f t="shared" si="13"/>
        <v/>
      </c>
      <c r="Q138" t="str">
        <f t="shared" si="14"/>
        <v>Waiting</v>
      </c>
      <c r="R138">
        <f>IF(OR($B138="",$C138&gt;Setup!$B$15),"",IFERROR(INDEX('Fixture Library'!$E$4:$E$200,MATCH(Setup!$B$6&amp;"-"&amp;$C138,'Fixture Library'!$A$4:$A$200,0)),""))</f>
        <v>8</v>
      </c>
      <c r="S138">
        <f>IF(OR($B138="",$C138&gt;Setup!$B$15),"",IFERROR(INDEX('Fixture Library'!$F$4:$F$200,MATCH(Setup!$B$6&amp;"-"&amp;$C138,'Fixture Library'!$A$4:$A$200,0)),""))</f>
        <v>5</v>
      </c>
      <c r="T138">
        <f t="shared" si="15"/>
        <v>0</v>
      </c>
      <c r="U138">
        <f t="shared" si="16"/>
        <v>0</v>
      </c>
      <c r="V138">
        <f t="shared" si="17"/>
        <v>0</v>
      </c>
    </row>
    <row r="139" spans="1:22">
      <c r="A139">
        <v>136</v>
      </c>
      <c r="B139" t="str">
        <f>IF(INT(($A139-1)/Setup!$B$15)+1&lt;=Setup!$B$5,INDEX(Setup!$B$21:$B$28,INT(($A139-1)/Setup!$B$15)+1),"")</f>
        <v>E</v>
      </c>
      <c r="C139">
        <f>IF($B139="","",MOD($A139-1,Setup!$B$15)+1)</f>
        <v>24</v>
      </c>
      <c r="D139">
        <f>IF(OR($B139="",$C139&gt;Setup!$B$15),"",IFERROR(INDEX('Fixture Library'!$D$4:$D$200,MATCH(Setup!$B$6&amp;"-"&amp;$C139,'Fixture Library'!$A$4:$A$200,0)),""))</f>
        <v>6</v>
      </c>
      <c r="E139" t="str">
        <f>IF($R139="","",IFERROR(INDEX(Teams!$D$4:$D$67,MATCH($B139&amp;"-"&amp;$R139,Teams!$E$4:$E$67,0)),""))</f>
        <v>Team E7</v>
      </c>
      <c r="F139" s="88"/>
      <c r="G139" s="88"/>
      <c r="H139" s="88"/>
      <c r="I139" t="str">
        <f>IF($Q139&lt;&gt;"Complete","",IF(AND(ISNUMBER($G139),$G139&gt;=Setup!$B$31),Setup!$B$32,0)+IF(AND($F139&lt;$L139,$L139-$F139&lt;=Setup!$B$33),Setup!$B$34,0))</f>
        <v/>
      </c>
      <c r="J139" t="str">
        <f t="shared" si="12"/>
        <v/>
      </c>
      <c r="K139" t="str">
        <f>IF($S139="","",IFERROR(INDEX(Teams!$D$4:$D$67,MATCH($B139&amp;"-"&amp;$S139,Teams!$E$4:$E$67,0)),""))</f>
        <v>Team E6</v>
      </c>
      <c r="L139" s="88"/>
      <c r="M139" s="88"/>
      <c r="N139" s="88"/>
      <c r="O139" t="str">
        <f>IF($Q139&lt;&gt;"Complete","",IF(AND(ISNUMBER($M139),$M139&gt;=Setup!$B$31),Setup!$B$32,0)+IF(AND($L139&lt;$F139,$F139-$L139&lt;=Setup!$B$33),Setup!$B$34,0))</f>
        <v/>
      </c>
      <c r="P139" t="str">
        <f t="shared" si="13"/>
        <v/>
      </c>
      <c r="Q139" t="str">
        <f t="shared" si="14"/>
        <v>Waiting</v>
      </c>
      <c r="R139">
        <f>IF(OR($B139="",$C139&gt;Setup!$B$15),"",IFERROR(INDEX('Fixture Library'!$E$4:$E$200,MATCH(Setup!$B$6&amp;"-"&amp;$C139,'Fixture Library'!$A$4:$A$200,0)),""))</f>
        <v>7</v>
      </c>
      <c r="S139">
        <f>IF(OR($B139="",$C139&gt;Setup!$B$15),"",IFERROR(INDEX('Fixture Library'!$F$4:$F$200,MATCH(Setup!$B$6&amp;"-"&amp;$C139,'Fixture Library'!$A$4:$A$200,0)),""))</f>
        <v>6</v>
      </c>
      <c r="T139">
        <f t="shared" si="15"/>
        <v>0</v>
      </c>
      <c r="U139">
        <f t="shared" si="16"/>
        <v>0</v>
      </c>
      <c r="V139">
        <f t="shared" si="17"/>
        <v>0</v>
      </c>
    </row>
    <row r="140" spans="1:22">
      <c r="A140">
        <v>137</v>
      </c>
      <c r="B140" t="str">
        <f>IF(INT(($A140-1)/Setup!$B$15)+1&lt;=Setup!$B$5,INDEX(Setup!$B$21:$B$28,INT(($A140-1)/Setup!$B$15)+1),"")</f>
        <v>E</v>
      </c>
      <c r="C140">
        <f>IF($B140="","",MOD($A140-1,Setup!$B$15)+1)</f>
        <v>25</v>
      </c>
      <c r="D140">
        <f>IF(OR($B140="",$C140&gt;Setup!$B$15),"",IFERROR(INDEX('Fixture Library'!$D$4:$D$200,MATCH(Setup!$B$6&amp;"-"&amp;$C140,'Fixture Library'!$A$4:$A$200,0)),""))</f>
        <v>7</v>
      </c>
      <c r="E140" t="str">
        <f>IF($R140="","",IFERROR(INDEX(Teams!$D$4:$D$67,MATCH($B140&amp;"-"&amp;$R140,Teams!$E$4:$E$67,0)),""))</f>
        <v>Team E1</v>
      </c>
      <c r="F140" s="88"/>
      <c r="G140" s="88"/>
      <c r="H140" s="88"/>
      <c r="I140" t="str">
        <f>IF($Q140&lt;&gt;"Complete","",IF(AND(ISNUMBER($G140),$G140&gt;=Setup!$B$31),Setup!$B$32,0)+IF(AND($F140&lt;$L140,$L140-$F140&lt;=Setup!$B$33),Setup!$B$34,0))</f>
        <v/>
      </c>
      <c r="J140" t="str">
        <f t="shared" si="12"/>
        <v/>
      </c>
      <c r="K140" t="str">
        <f>IF($S140="","",IFERROR(INDEX(Teams!$D$4:$D$67,MATCH($B140&amp;"-"&amp;$S140,Teams!$E$4:$E$67,0)),""))</f>
        <v>Team E2</v>
      </c>
      <c r="L140" s="88"/>
      <c r="M140" s="88"/>
      <c r="N140" s="88"/>
      <c r="O140" t="str">
        <f>IF($Q140&lt;&gt;"Complete","",IF(AND(ISNUMBER($M140),$M140&gt;=Setup!$B$31),Setup!$B$32,0)+IF(AND($L140&lt;$F140,$F140-$L140&lt;=Setup!$B$33),Setup!$B$34,0))</f>
        <v/>
      </c>
      <c r="P140" t="str">
        <f t="shared" si="13"/>
        <v/>
      </c>
      <c r="Q140" t="str">
        <f t="shared" si="14"/>
        <v>Waiting</v>
      </c>
      <c r="R140">
        <f>IF(OR($B140="",$C140&gt;Setup!$B$15),"",IFERROR(INDEX('Fixture Library'!$E$4:$E$200,MATCH(Setup!$B$6&amp;"-"&amp;$C140,'Fixture Library'!$A$4:$A$200,0)),""))</f>
        <v>1</v>
      </c>
      <c r="S140">
        <f>IF(OR($B140="",$C140&gt;Setup!$B$15),"",IFERROR(INDEX('Fixture Library'!$F$4:$F$200,MATCH(Setup!$B$6&amp;"-"&amp;$C140,'Fixture Library'!$A$4:$A$200,0)),""))</f>
        <v>2</v>
      </c>
      <c r="T140">
        <f t="shared" si="15"/>
        <v>0</v>
      </c>
      <c r="U140">
        <f t="shared" si="16"/>
        <v>0</v>
      </c>
      <c r="V140">
        <f t="shared" si="17"/>
        <v>0</v>
      </c>
    </row>
    <row r="141" spans="1:22">
      <c r="A141">
        <v>138</v>
      </c>
      <c r="B141" t="str">
        <f>IF(INT(($A141-1)/Setup!$B$15)+1&lt;=Setup!$B$5,INDEX(Setup!$B$21:$B$28,INT(($A141-1)/Setup!$B$15)+1),"")</f>
        <v>E</v>
      </c>
      <c r="C141">
        <f>IF($B141="","",MOD($A141-1,Setup!$B$15)+1)</f>
        <v>26</v>
      </c>
      <c r="D141">
        <f>IF(OR($B141="",$C141&gt;Setup!$B$15),"",IFERROR(INDEX('Fixture Library'!$D$4:$D$200,MATCH(Setup!$B$6&amp;"-"&amp;$C141,'Fixture Library'!$A$4:$A$200,0)),""))</f>
        <v>7</v>
      </c>
      <c r="E141" t="str">
        <f>IF($R141="","",IFERROR(INDEX(Teams!$D$4:$D$67,MATCH($B141&amp;"-"&amp;$R141,Teams!$E$4:$E$67,0)),""))</f>
        <v>Team E3</v>
      </c>
      <c r="F141" s="88"/>
      <c r="G141" s="88"/>
      <c r="H141" s="88"/>
      <c r="I141" t="str">
        <f>IF($Q141&lt;&gt;"Complete","",IF(AND(ISNUMBER($G141),$G141&gt;=Setup!$B$31),Setup!$B$32,0)+IF(AND($F141&lt;$L141,$L141-$F141&lt;=Setup!$B$33),Setup!$B$34,0))</f>
        <v/>
      </c>
      <c r="J141" t="str">
        <f t="shared" si="12"/>
        <v/>
      </c>
      <c r="K141" t="str">
        <f>IF($S141="","",IFERROR(INDEX(Teams!$D$4:$D$67,MATCH($B141&amp;"-"&amp;$S141,Teams!$E$4:$E$67,0)),""))</f>
        <v>Team E8</v>
      </c>
      <c r="L141" s="88"/>
      <c r="M141" s="88"/>
      <c r="N141" s="88"/>
      <c r="O141" t="str">
        <f>IF($Q141&lt;&gt;"Complete","",IF(AND(ISNUMBER($M141),$M141&gt;=Setup!$B$31),Setup!$B$32,0)+IF(AND($L141&lt;$F141,$F141-$L141&lt;=Setup!$B$33),Setup!$B$34,0))</f>
        <v/>
      </c>
      <c r="P141" t="str">
        <f t="shared" si="13"/>
        <v/>
      </c>
      <c r="Q141" t="str">
        <f t="shared" si="14"/>
        <v>Waiting</v>
      </c>
      <c r="R141">
        <f>IF(OR($B141="",$C141&gt;Setup!$B$15),"",IFERROR(INDEX('Fixture Library'!$E$4:$E$200,MATCH(Setup!$B$6&amp;"-"&amp;$C141,'Fixture Library'!$A$4:$A$200,0)),""))</f>
        <v>3</v>
      </c>
      <c r="S141">
        <f>IF(OR($B141="",$C141&gt;Setup!$B$15),"",IFERROR(INDEX('Fixture Library'!$F$4:$F$200,MATCH(Setup!$B$6&amp;"-"&amp;$C141,'Fixture Library'!$A$4:$A$200,0)),""))</f>
        <v>8</v>
      </c>
      <c r="T141">
        <f t="shared" si="15"/>
        <v>0</v>
      </c>
      <c r="U141">
        <f t="shared" si="16"/>
        <v>0</v>
      </c>
      <c r="V141">
        <f t="shared" si="17"/>
        <v>0</v>
      </c>
    </row>
    <row r="142" spans="1:22">
      <c r="A142">
        <v>139</v>
      </c>
      <c r="B142" t="str">
        <f>IF(INT(($A142-1)/Setup!$B$15)+1&lt;=Setup!$B$5,INDEX(Setup!$B$21:$B$28,INT(($A142-1)/Setup!$B$15)+1),"")</f>
        <v>E</v>
      </c>
      <c r="C142">
        <f>IF($B142="","",MOD($A142-1,Setup!$B$15)+1)</f>
        <v>27</v>
      </c>
      <c r="D142">
        <f>IF(OR($B142="",$C142&gt;Setup!$B$15),"",IFERROR(INDEX('Fixture Library'!$D$4:$D$200,MATCH(Setup!$B$6&amp;"-"&amp;$C142,'Fixture Library'!$A$4:$A$200,0)),""))</f>
        <v>7</v>
      </c>
      <c r="E142" t="str">
        <f>IF($R142="","",IFERROR(INDEX(Teams!$D$4:$D$67,MATCH($B142&amp;"-"&amp;$R142,Teams!$E$4:$E$67,0)),""))</f>
        <v>Team E4</v>
      </c>
      <c r="F142" s="88"/>
      <c r="G142" s="88"/>
      <c r="H142" s="88"/>
      <c r="I142" t="str">
        <f>IF($Q142&lt;&gt;"Complete","",IF(AND(ISNUMBER($G142),$G142&gt;=Setup!$B$31),Setup!$B$32,0)+IF(AND($F142&lt;$L142,$L142-$F142&lt;=Setup!$B$33),Setup!$B$34,0))</f>
        <v/>
      </c>
      <c r="J142" t="str">
        <f t="shared" si="12"/>
        <v/>
      </c>
      <c r="K142" t="str">
        <f>IF($S142="","",IFERROR(INDEX(Teams!$D$4:$D$67,MATCH($B142&amp;"-"&amp;$S142,Teams!$E$4:$E$67,0)),""))</f>
        <v>Team E7</v>
      </c>
      <c r="L142" s="88"/>
      <c r="M142" s="88"/>
      <c r="N142" s="88"/>
      <c r="O142" t="str">
        <f>IF($Q142&lt;&gt;"Complete","",IF(AND(ISNUMBER($M142),$M142&gt;=Setup!$B$31),Setup!$B$32,0)+IF(AND($L142&lt;$F142,$F142-$L142&lt;=Setup!$B$33),Setup!$B$34,0))</f>
        <v/>
      </c>
      <c r="P142" t="str">
        <f t="shared" si="13"/>
        <v/>
      </c>
      <c r="Q142" t="str">
        <f t="shared" si="14"/>
        <v>Waiting</v>
      </c>
      <c r="R142">
        <f>IF(OR($B142="",$C142&gt;Setup!$B$15),"",IFERROR(INDEX('Fixture Library'!$E$4:$E$200,MATCH(Setup!$B$6&amp;"-"&amp;$C142,'Fixture Library'!$A$4:$A$200,0)),""))</f>
        <v>4</v>
      </c>
      <c r="S142">
        <f>IF(OR($B142="",$C142&gt;Setup!$B$15),"",IFERROR(INDEX('Fixture Library'!$F$4:$F$200,MATCH(Setup!$B$6&amp;"-"&amp;$C142,'Fixture Library'!$A$4:$A$200,0)),""))</f>
        <v>7</v>
      </c>
      <c r="T142">
        <f t="shared" si="15"/>
        <v>0</v>
      </c>
      <c r="U142">
        <f t="shared" si="16"/>
        <v>0</v>
      </c>
      <c r="V142">
        <f t="shared" si="17"/>
        <v>0</v>
      </c>
    </row>
    <row r="143" spans="1:22">
      <c r="A143">
        <v>140</v>
      </c>
      <c r="B143" t="str">
        <f>IF(INT(($A143-1)/Setup!$B$15)+1&lt;=Setup!$B$5,INDEX(Setup!$B$21:$B$28,INT(($A143-1)/Setup!$B$15)+1),"")</f>
        <v>E</v>
      </c>
      <c r="C143">
        <f>IF($B143="","",MOD($A143-1,Setup!$B$15)+1)</f>
        <v>28</v>
      </c>
      <c r="D143">
        <f>IF(OR($B143="",$C143&gt;Setup!$B$15),"",IFERROR(INDEX('Fixture Library'!$D$4:$D$200,MATCH(Setup!$B$6&amp;"-"&amp;$C143,'Fixture Library'!$A$4:$A$200,0)),""))</f>
        <v>7</v>
      </c>
      <c r="E143" t="str">
        <f>IF($R143="","",IFERROR(INDEX(Teams!$D$4:$D$67,MATCH($B143&amp;"-"&amp;$R143,Teams!$E$4:$E$67,0)),""))</f>
        <v>Team E5</v>
      </c>
      <c r="F143" s="88"/>
      <c r="G143" s="88"/>
      <c r="H143" s="88"/>
      <c r="I143" t="str">
        <f>IF($Q143&lt;&gt;"Complete","",IF(AND(ISNUMBER($G143),$G143&gt;=Setup!$B$31),Setup!$B$32,0)+IF(AND($F143&lt;$L143,$L143-$F143&lt;=Setup!$B$33),Setup!$B$34,0))</f>
        <v/>
      </c>
      <c r="J143" t="str">
        <f t="shared" si="12"/>
        <v/>
      </c>
      <c r="K143" t="str">
        <f>IF($S143="","",IFERROR(INDEX(Teams!$D$4:$D$67,MATCH($B143&amp;"-"&amp;$S143,Teams!$E$4:$E$67,0)),""))</f>
        <v>Team E6</v>
      </c>
      <c r="L143" s="88"/>
      <c r="M143" s="88"/>
      <c r="N143" s="88"/>
      <c r="O143" t="str">
        <f>IF($Q143&lt;&gt;"Complete","",IF(AND(ISNUMBER($M143),$M143&gt;=Setup!$B$31),Setup!$B$32,0)+IF(AND($L143&lt;$F143,$F143-$L143&lt;=Setup!$B$33),Setup!$B$34,0))</f>
        <v/>
      </c>
      <c r="P143" t="str">
        <f t="shared" si="13"/>
        <v/>
      </c>
      <c r="Q143" t="str">
        <f t="shared" si="14"/>
        <v>Waiting</v>
      </c>
      <c r="R143">
        <f>IF(OR($B143="",$C143&gt;Setup!$B$15),"",IFERROR(INDEX('Fixture Library'!$E$4:$E$200,MATCH(Setup!$B$6&amp;"-"&amp;$C143,'Fixture Library'!$A$4:$A$200,0)),""))</f>
        <v>5</v>
      </c>
      <c r="S143">
        <f>IF(OR($B143="",$C143&gt;Setup!$B$15),"",IFERROR(INDEX('Fixture Library'!$F$4:$F$200,MATCH(Setup!$B$6&amp;"-"&amp;$C143,'Fixture Library'!$A$4:$A$200,0)),""))</f>
        <v>6</v>
      </c>
      <c r="T143">
        <f t="shared" si="15"/>
        <v>0</v>
      </c>
      <c r="U143">
        <f t="shared" si="16"/>
        <v>0</v>
      </c>
      <c r="V143">
        <f t="shared" si="17"/>
        <v>0</v>
      </c>
    </row>
    <row r="144" spans="1:22">
      <c r="A144">
        <v>141</v>
      </c>
      <c r="B144" t="str">
        <f>IF(INT(($A144-1)/Setup!$B$15)+1&lt;=Setup!$B$5,INDEX(Setup!$B$21:$B$28,INT(($A144-1)/Setup!$B$15)+1),"")</f>
        <v>F</v>
      </c>
      <c r="C144">
        <f>IF($B144="","",MOD($A144-1,Setup!$B$15)+1)</f>
        <v>1</v>
      </c>
      <c r="D144">
        <f>IF(OR($B144="",$C144&gt;Setup!$B$15),"",IFERROR(INDEX('Fixture Library'!$D$4:$D$200,MATCH(Setup!$B$6&amp;"-"&amp;$C144,'Fixture Library'!$A$4:$A$200,0)),""))</f>
        <v>1</v>
      </c>
      <c r="E144" t="str">
        <f>IF($R144="","",IFERROR(INDEX(Teams!$D$4:$D$67,MATCH($B144&amp;"-"&amp;$R144,Teams!$E$4:$E$67,0)),""))</f>
        <v>Team F1</v>
      </c>
      <c r="F144" s="88"/>
      <c r="G144" s="88"/>
      <c r="H144" s="88"/>
      <c r="I144" t="str">
        <f>IF($Q144&lt;&gt;"Complete","",IF(AND(ISNUMBER($G144),$G144&gt;=Setup!$B$31),Setup!$B$32,0)+IF(AND($F144&lt;$L144,$L144-$F144&lt;=Setup!$B$33),Setup!$B$34,0))</f>
        <v/>
      </c>
      <c r="J144" t="str">
        <f t="shared" si="12"/>
        <v/>
      </c>
      <c r="K144" t="str">
        <f>IF($S144="","",IFERROR(INDEX(Teams!$D$4:$D$67,MATCH($B144&amp;"-"&amp;$S144,Teams!$E$4:$E$67,0)),""))</f>
        <v>Team F8</v>
      </c>
      <c r="L144" s="88"/>
      <c r="M144" s="88"/>
      <c r="N144" s="88"/>
      <c r="O144" t="str">
        <f>IF($Q144&lt;&gt;"Complete","",IF(AND(ISNUMBER($M144),$M144&gt;=Setup!$B$31),Setup!$B$32,0)+IF(AND($L144&lt;$F144,$F144-$L144&lt;=Setup!$B$33),Setup!$B$34,0))</f>
        <v/>
      </c>
      <c r="P144" t="str">
        <f t="shared" si="13"/>
        <v/>
      </c>
      <c r="Q144" t="str">
        <f t="shared" si="14"/>
        <v>Waiting</v>
      </c>
      <c r="R144">
        <f>IF(OR($B144="",$C144&gt;Setup!$B$15),"",IFERROR(INDEX('Fixture Library'!$E$4:$E$200,MATCH(Setup!$B$6&amp;"-"&amp;$C144,'Fixture Library'!$A$4:$A$200,0)),""))</f>
        <v>1</v>
      </c>
      <c r="S144">
        <f>IF(OR($B144="",$C144&gt;Setup!$B$15),"",IFERROR(INDEX('Fixture Library'!$F$4:$F$200,MATCH(Setup!$B$6&amp;"-"&amp;$C144,'Fixture Library'!$A$4:$A$200,0)),""))</f>
        <v>8</v>
      </c>
      <c r="T144">
        <f t="shared" si="15"/>
        <v>0</v>
      </c>
      <c r="U144">
        <f t="shared" si="16"/>
        <v>0</v>
      </c>
      <c r="V144">
        <f t="shared" si="17"/>
        <v>0</v>
      </c>
    </row>
    <row r="145" spans="1:22">
      <c r="A145">
        <v>142</v>
      </c>
      <c r="B145" t="str">
        <f>IF(INT(($A145-1)/Setup!$B$15)+1&lt;=Setup!$B$5,INDEX(Setup!$B$21:$B$28,INT(($A145-1)/Setup!$B$15)+1),"")</f>
        <v>F</v>
      </c>
      <c r="C145">
        <f>IF($B145="","",MOD($A145-1,Setup!$B$15)+1)</f>
        <v>2</v>
      </c>
      <c r="D145">
        <f>IF(OR($B145="",$C145&gt;Setup!$B$15),"",IFERROR(INDEX('Fixture Library'!$D$4:$D$200,MATCH(Setup!$B$6&amp;"-"&amp;$C145,'Fixture Library'!$A$4:$A$200,0)),""))</f>
        <v>1</v>
      </c>
      <c r="E145" t="str">
        <f>IF($R145="","",IFERROR(INDEX(Teams!$D$4:$D$67,MATCH($B145&amp;"-"&amp;$R145,Teams!$E$4:$E$67,0)),""))</f>
        <v>Team F2</v>
      </c>
      <c r="F145" s="88"/>
      <c r="G145" s="88"/>
      <c r="H145" s="88"/>
      <c r="I145" t="str">
        <f>IF($Q145&lt;&gt;"Complete","",IF(AND(ISNUMBER($G145),$G145&gt;=Setup!$B$31),Setup!$B$32,0)+IF(AND($F145&lt;$L145,$L145-$F145&lt;=Setup!$B$33),Setup!$B$34,0))</f>
        <v/>
      </c>
      <c r="J145" t="str">
        <f t="shared" si="12"/>
        <v/>
      </c>
      <c r="K145" t="str">
        <f>IF($S145="","",IFERROR(INDEX(Teams!$D$4:$D$67,MATCH($B145&amp;"-"&amp;$S145,Teams!$E$4:$E$67,0)),""))</f>
        <v>Team F7</v>
      </c>
      <c r="L145" s="88"/>
      <c r="M145" s="88"/>
      <c r="N145" s="88"/>
      <c r="O145" t="str">
        <f>IF($Q145&lt;&gt;"Complete","",IF(AND(ISNUMBER($M145),$M145&gt;=Setup!$B$31),Setup!$B$32,0)+IF(AND($L145&lt;$F145,$F145-$L145&lt;=Setup!$B$33),Setup!$B$34,0))</f>
        <v/>
      </c>
      <c r="P145" t="str">
        <f t="shared" si="13"/>
        <v/>
      </c>
      <c r="Q145" t="str">
        <f t="shared" si="14"/>
        <v>Waiting</v>
      </c>
      <c r="R145">
        <f>IF(OR($B145="",$C145&gt;Setup!$B$15),"",IFERROR(INDEX('Fixture Library'!$E$4:$E$200,MATCH(Setup!$B$6&amp;"-"&amp;$C145,'Fixture Library'!$A$4:$A$200,0)),""))</f>
        <v>2</v>
      </c>
      <c r="S145">
        <f>IF(OR($B145="",$C145&gt;Setup!$B$15),"",IFERROR(INDEX('Fixture Library'!$F$4:$F$200,MATCH(Setup!$B$6&amp;"-"&amp;$C145,'Fixture Library'!$A$4:$A$200,0)),""))</f>
        <v>7</v>
      </c>
      <c r="T145">
        <f t="shared" si="15"/>
        <v>0</v>
      </c>
      <c r="U145">
        <f t="shared" si="16"/>
        <v>0</v>
      </c>
      <c r="V145">
        <f t="shared" si="17"/>
        <v>0</v>
      </c>
    </row>
    <row r="146" spans="1:22">
      <c r="A146">
        <v>143</v>
      </c>
      <c r="B146" t="str">
        <f>IF(INT(($A146-1)/Setup!$B$15)+1&lt;=Setup!$B$5,INDEX(Setup!$B$21:$B$28,INT(($A146-1)/Setup!$B$15)+1),"")</f>
        <v>F</v>
      </c>
      <c r="C146">
        <f>IF($B146="","",MOD($A146-1,Setup!$B$15)+1)</f>
        <v>3</v>
      </c>
      <c r="D146">
        <f>IF(OR($B146="",$C146&gt;Setup!$B$15),"",IFERROR(INDEX('Fixture Library'!$D$4:$D$200,MATCH(Setup!$B$6&amp;"-"&amp;$C146,'Fixture Library'!$A$4:$A$200,0)),""))</f>
        <v>1</v>
      </c>
      <c r="E146" t="str">
        <f>IF($R146="","",IFERROR(INDEX(Teams!$D$4:$D$67,MATCH($B146&amp;"-"&amp;$R146,Teams!$E$4:$E$67,0)),""))</f>
        <v>Team F3</v>
      </c>
      <c r="F146" s="88"/>
      <c r="G146" s="88"/>
      <c r="H146" s="88"/>
      <c r="I146" t="str">
        <f>IF($Q146&lt;&gt;"Complete","",IF(AND(ISNUMBER($G146),$G146&gt;=Setup!$B$31),Setup!$B$32,0)+IF(AND($F146&lt;$L146,$L146-$F146&lt;=Setup!$B$33),Setup!$B$34,0))</f>
        <v/>
      </c>
      <c r="J146" t="str">
        <f t="shared" si="12"/>
        <v/>
      </c>
      <c r="K146" t="str">
        <f>IF($S146="","",IFERROR(INDEX(Teams!$D$4:$D$67,MATCH($B146&amp;"-"&amp;$S146,Teams!$E$4:$E$67,0)),""))</f>
        <v>Team F6</v>
      </c>
      <c r="L146" s="88"/>
      <c r="M146" s="88"/>
      <c r="N146" s="88"/>
      <c r="O146" t="str">
        <f>IF($Q146&lt;&gt;"Complete","",IF(AND(ISNUMBER($M146),$M146&gt;=Setup!$B$31),Setup!$B$32,0)+IF(AND($L146&lt;$F146,$F146-$L146&lt;=Setup!$B$33),Setup!$B$34,0))</f>
        <v/>
      </c>
      <c r="P146" t="str">
        <f t="shared" si="13"/>
        <v/>
      </c>
      <c r="Q146" t="str">
        <f t="shared" si="14"/>
        <v>Waiting</v>
      </c>
      <c r="R146">
        <f>IF(OR($B146="",$C146&gt;Setup!$B$15),"",IFERROR(INDEX('Fixture Library'!$E$4:$E$200,MATCH(Setup!$B$6&amp;"-"&amp;$C146,'Fixture Library'!$A$4:$A$200,0)),""))</f>
        <v>3</v>
      </c>
      <c r="S146">
        <f>IF(OR($B146="",$C146&gt;Setup!$B$15),"",IFERROR(INDEX('Fixture Library'!$F$4:$F$200,MATCH(Setup!$B$6&amp;"-"&amp;$C146,'Fixture Library'!$A$4:$A$200,0)),""))</f>
        <v>6</v>
      </c>
      <c r="T146">
        <f t="shared" si="15"/>
        <v>0</v>
      </c>
      <c r="U146">
        <f t="shared" si="16"/>
        <v>0</v>
      </c>
      <c r="V146">
        <f t="shared" si="17"/>
        <v>0</v>
      </c>
    </row>
    <row r="147" spans="1:22">
      <c r="A147">
        <v>144</v>
      </c>
      <c r="B147" t="str">
        <f>IF(INT(($A147-1)/Setup!$B$15)+1&lt;=Setup!$B$5,INDEX(Setup!$B$21:$B$28,INT(($A147-1)/Setup!$B$15)+1),"")</f>
        <v>F</v>
      </c>
      <c r="C147">
        <f>IF($B147="","",MOD($A147-1,Setup!$B$15)+1)</f>
        <v>4</v>
      </c>
      <c r="D147">
        <f>IF(OR($B147="",$C147&gt;Setup!$B$15),"",IFERROR(INDEX('Fixture Library'!$D$4:$D$200,MATCH(Setup!$B$6&amp;"-"&amp;$C147,'Fixture Library'!$A$4:$A$200,0)),""))</f>
        <v>1</v>
      </c>
      <c r="E147" t="str">
        <f>IF($R147="","",IFERROR(INDEX(Teams!$D$4:$D$67,MATCH($B147&amp;"-"&amp;$R147,Teams!$E$4:$E$67,0)),""))</f>
        <v>Team F4</v>
      </c>
      <c r="F147" s="88"/>
      <c r="G147" s="88"/>
      <c r="H147" s="88"/>
      <c r="I147" t="str">
        <f>IF($Q147&lt;&gt;"Complete","",IF(AND(ISNUMBER($G147),$G147&gt;=Setup!$B$31),Setup!$B$32,0)+IF(AND($F147&lt;$L147,$L147-$F147&lt;=Setup!$B$33),Setup!$B$34,0))</f>
        <v/>
      </c>
      <c r="J147" t="str">
        <f t="shared" si="12"/>
        <v/>
      </c>
      <c r="K147" t="str">
        <f>IF($S147="","",IFERROR(INDEX(Teams!$D$4:$D$67,MATCH($B147&amp;"-"&amp;$S147,Teams!$E$4:$E$67,0)),""))</f>
        <v>Team F5</v>
      </c>
      <c r="L147" s="88"/>
      <c r="M147" s="88"/>
      <c r="N147" s="88"/>
      <c r="O147" t="str">
        <f>IF($Q147&lt;&gt;"Complete","",IF(AND(ISNUMBER($M147),$M147&gt;=Setup!$B$31),Setup!$B$32,0)+IF(AND($L147&lt;$F147,$F147-$L147&lt;=Setup!$B$33),Setup!$B$34,0))</f>
        <v/>
      </c>
      <c r="P147" t="str">
        <f t="shared" si="13"/>
        <v/>
      </c>
      <c r="Q147" t="str">
        <f t="shared" si="14"/>
        <v>Waiting</v>
      </c>
      <c r="R147">
        <f>IF(OR($B147="",$C147&gt;Setup!$B$15),"",IFERROR(INDEX('Fixture Library'!$E$4:$E$200,MATCH(Setup!$B$6&amp;"-"&amp;$C147,'Fixture Library'!$A$4:$A$200,0)),""))</f>
        <v>4</v>
      </c>
      <c r="S147">
        <f>IF(OR($B147="",$C147&gt;Setup!$B$15),"",IFERROR(INDEX('Fixture Library'!$F$4:$F$200,MATCH(Setup!$B$6&amp;"-"&amp;$C147,'Fixture Library'!$A$4:$A$200,0)),""))</f>
        <v>5</v>
      </c>
      <c r="T147">
        <f t="shared" si="15"/>
        <v>0</v>
      </c>
      <c r="U147">
        <f t="shared" si="16"/>
        <v>0</v>
      </c>
      <c r="V147">
        <f t="shared" si="17"/>
        <v>0</v>
      </c>
    </row>
    <row r="148" spans="1:22">
      <c r="A148">
        <v>145</v>
      </c>
      <c r="B148" t="str">
        <f>IF(INT(($A148-1)/Setup!$B$15)+1&lt;=Setup!$B$5,INDEX(Setup!$B$21:$B$28,INT(($A148-1)/Setup!$B$15)+1),"")</f>
        <v>F</v>
      </c>
      <c r="C148">
        <f>IF($B148="","",MOD($A148-1,Setup!$B$15)+1)</f>
        <v>5</v>
      </c>
      <c r="D148">
        <f>IF(OR($B148="",$C148&gt;Setup!$B$15),"",IFERROR(INDEX('Fixture Library'!$D$4:$D$200,MATCH(Setup!$B$6&amp;"-"&amp;$C148,'Fixture Library'!$A$4:$A$200,0)),""))</f>
        <v>2</v>
      </c>
      <c r="E148" t="str">
        <f>IF($R148="","",IFERROR(INDEX(Teams!$D$4:$D$67,MATCH($B148&amp;"-"&amp;$R148,Teams!$E$4:$E$67,0)),""))</f>
        <v>Team F7</v>
      </c>
      <c r="F148" s="88"/>
      <c r="G148" s="88"/>
      <c r="H148" s="88"/>
      <c r="I148" t="str">
        <f>IF($Q148&lt;&gt;"Complete","",IF(AND(ISNUMBER($G148),$G148&gt;=Setup!$B$31),Setup!$B$32,0)+IF(AND($F148&lt;$L148,$L148-$F148&lt;=Setup!$B$33),Setup!$B$34,0))</f>
        <v/>
      </c>
      <c r="J148" t="str">
        <f t="shared" si="12"/>
        <v/>
      </c>
      <c r="K148" t="str">
        <f>IF($S148="","",IFERROR(INDEX(Teams!$D$4:$D$67,MATCH($B148&amp;"-"&amp;$S148,Teams!$E$4:$E$67,0)),""))</f>
        <v>Team F1</v>
      </c>
      <c r="L148" s="88"/>
      <c r="M148" s="88"/>
      <c r="N148" s="88"/>
      <c r="O148" t="str">
        <f>IF($Q148&lt;&gt;"Complete","",IF(AND(ISNUMBER($M148),$M148&gt;=Setup!$B$31),Setup!$B$32,0)+IF(AND($L148&lt;$F148,$F148-$L148&lt;=Setup!$B$33),Setup!$B$34,0))</f>
        <v/>
      </c>
      <c r="P148" t="str">
        <f t="shared" si="13"/>
        <v/>
      </c>
      <c r="Q148" t="str">
        <f t="shared" si="14"/>
        <v>Waiting</v>
      </c>
      <c r="R148">
        <f>IF(OR($B148="",$C148&gt;Setup!$B$15),"",IFERROR(INDEX('Fixture Library'!$E$4:$E$200,MATCH(Setup!$B$6&amp;"-"&amp;$C148,'Fixture Library'!$A$4:$A$200,0)),""))</f>
        <v>7</v>
      </c>
      <c r="S148">
        <f>IF(OR($B148="",$C148&gt;Setup!$B$15),"",IFERROR(INDEX('Fixture Library'!$F$4:$F$200,MATCH(Setup!$B$6&amp;"-"&amp;$C148,'Fixture Library'!$A$4:$A$200,0)),""))</f>
        <v>1</v>
      </c>
      <c r="T148">
        <f t="shared" si="15"/>
        <v>0</v>
      </c>
      <c r="U148">
        <f t="shared" si="16"/>
        <v>0</v>
      </c>
      <c r="V148">
        <f t="shared" si="17"/>
        <v>0</v>
      </c>
    </row>
    <row r="149" spans="1:22">
      <c r="A149">
        <v>146</v>
      </c>
      <c r="B149" t="str">
        <f>IF(INT(($A149-1)/Setup!$B$15)+1&lt;=Setup!$B$5,INDEX(Setup!$B$21:$B$28,INT(($A149-1)/Setup!$B$15)+1),"")</f>
        <v>F</v>
      </c>
      <c r="C149">
        <f>IF($B149="","",MOD($A149-1,Setup!$B$15)+1)</f>
        <v>6</v>
      </c>
      <c r="D149">
        <f>IF(OR($B149="",$C149&gt;Setup!$B$15),"",IFERROR(INDEX('Fixture Library'!$D$4:$D$200,MATCH(Setup!$B$6&amp;"-"&amp;$C149,'Fixture Library'!$A$4:$A$200,0)),""))</f>
        <v>2</v>
      </c>
      <c r="E149" t="str">
        <f>IF($R149="","",IFERROR(INDEX(Teams!$D$4:$D$67,MATCH($B149&amp;"-"&amp;$R149,Teams!$E$4:$E$67,0)),""))</f>
        <v>Team F6</v>
      </c>
      <c r="F149" s="88"/>
      <c r="G149" s="88"/>
      <c r="H149" s="88"/>
      <c r="I149" t="str">
        <f>IF($Q149&lt;&gt;"Complete","",IF(AND(ISNUMBER($G149),$G149&gt;=Setup!$B$31),Setup!$B$32,0)+IF(AND($F149&lt;$L149,$L149-$F149&lt;=Setup!$B$33),Setup!$B$34,0))</f>
        <v/>
      </c>
      <c r="J149" t="str">
        <f t="shared" si="12"/>
        <v/>
      </c>
      <c r="K149" t="str">
        <f>IF($S149="","",IFERROR(INDEX(Teams!$D$4:$D$67,MATCH($B149&amp;"-"&amp;$S149,Teams!$E$4:$E$67,0)),""))</f>
        <v>Team F8</v>
      </c>
      <c r="L149" s="88"/>
      <c r="M149" s="88"/>
      <c r="N149" s="88"/>
      <c r="O149" t="str">
        <f>IF($Q149&lt;&gt;"Complete","",IF(AND(ISNUMBER($M149),$M149&gt;=Setup!$B$31),Setup!$B$32,0)+IF(AND($L149&lt;$F149,$F149-$L149&lt;=Setup!$B$33),Setup!$B$34,0))</f>
        <v/>
      </c>
      <c r="P149" t="str">
        <f t="shared" si="13"/>
        <v/>
      </c>
      <c r="Q149" t="str">
        <f t="shared" si="14"/>
        <v>Waiting</v>
      </c>
      <c r="R149">
        <f>IF(OR($B149="",$C149&gt;Setup!$B$15),"",IFERROR(INDEX('Fixture Library'!$E$4:$E$200,MATCH(Setup!$B$6&amp;"-"&amp;$C149,'Fixture Library'!$A$4:$A$200,0)),""))</f>
        <v>6</v>
      </c>
      <c r="S149">
        <f>IF(OR($B149="",$C149&gt;Setup!$B$15),"",IFERROR(INDEX('Fixture Library'!$F$4:$F$200,MATCH(Setup!$B$6&amp;"-"&amp;$C149,'Fixture Library'!$A$4:$A$200,0)),""))</f>
        <v>8</v>
      </c>
      <c r="T149">
        <f t="shared" si="15"/>
        <v>0</v>
      </c>
      <c r="U149">
        <f t="shared" si="16"/>
        <v>0</v>
      </c>
      <c r="V149">
        <f t="shared" si="17"/>
        <v>0</v>
      </c>
    </row>
    <row r="150" spans="1:22">
      <c r="A150">
        <v>147</v>
      </c>
      <c r="B150" t="str">
        <f>IF(INT(($A150-1)/Setup!$B$15)+1&lt;=Setup!$B$5,INDEX(Setup!$B$21:$B$28,INT(($A150-1)/Setup!$B$15)+1),"")</f>
        <v>F</v>
      </c>
      <c r="C150">
        <f>IF($B150="","",MOD($A150-1,Setup!$B$15)+1)</f>
        <v>7</v>
      </c>
      <c r="D150">
        <f>IF(OR($B150="",$C150&gt;Setup!$B$15),"",IFERROR(INDEX('Fixture Library'!$D$4:$D$200,MATCH(Setup!$B$6&amp;"-"&amp;$C150,'Fixture Library'!$A$4:$A$200,0)),""))</f>
        <v>2</v>
      </c>
      <c r="E150" t="str">
        <f>IF($R150="","",IFERROR(INDEX(Teams!$D$4:$D$67,MATCH($B150&amp;"-"&amp;$R150,Teams!$E$4:$E$67,0)),""))</f>
        <v>Team F5</v>
      </c>
      <c r="F150" s="88"/>
      <c r="G150" s="88"/>
      <c r="H150" s="88"/>
      <c r="I150" t="str">
        <f>IF($Q150&lt;&gt;"Complete","",IF(AND(ISNUMBER($G150),$G150&gt;=Setup!$B$31),Setup!$B$32,0)+IF(AND($F150&lt;$L150,$L150-$F150&lt;=Setup!$B$33),Setup!$B$34,0))</f>
        <v/>
      </c>
      <c r="J150" t="str">
        <f t="shared" si="12"/>
        <v/>
      </c>
      <c r="K150" t="str">
        <f>IF($S150="","",IFERROR(INDEX(Teams!$D$4:$D$67,MATCH($B150&amp;"-"&amp;$S150,Teams!$E$4:$E$67,0)),""))</f>
        <v>Team F2</v>
      </c>
      <c r="L150" s="88"/>
      <c r="M150" s="88"/>
      <c r="N150" s="88"/>
      <c r="O150" t="str">
        <f>IF($Q150&lt;&gt;"Complete","",IF(AND(ISNUMBER($M150),$M150&gt;=Setup!$B$31),Setup!$B$32,0)+IF(AND($L150&lt;$F150,$F150-$L150&lt;=Setup!$B$33),Setup!$B$34,0))</f>
        <v/>
      </c>
      <c r="P150" t="str">
        <f t="shared" si="13"/>
        <v/>
      </c>
      <c r="Q150" t="str">
        <f t="shared" si="14"/>
        <v>Waiting</v>
      </c>
      <c r="R150">
        <f>IF(OR($B150="",$C150&gt;Setup!$B$15),"",IFERROR(INDEX('Fixture Library'!$E$4:$E$200,MATCH(Setup!$B$6&amp;"-"&amp;$C150,'Fixture Library'!$A$4:$A$200,0)),""))</f>
        <v>5</v>
      </c>
      <c r="S150">
        <f>IF(OR($B150="",$C150&gt;Setup!$B$15),"",IFERROR(INDEX('Fixture Library'!$F$4:$F$200,MATCH(Setup!$B$6&amp;"-"&amp;$C150,'Fixture Library'!$A$4:$A$200,0)),""))</f>
        <v>2</v>
      </c>
      <c r="T150">
        <f t="shared" si="15"/>
        <v>0</v>
      </c>
      <c r="U150">
        <f t="shared" si="16"/>
        <v>0</v>
      </c>
      <c r="V150">
        <f t="shared" si="17"/>
        <v>0</v>
      </c>
    </row>
    <row r="151" spans="1:22">
      <c r="A151">
        <v>148</v>
      </c>
      <c r="B151" t="str">
        <f>IF(INT(($A151-1)/Setup!$B$15)+1&lt;=Setup!$B$5,INDEX(Setup!$B$21:$B$28,INT(($A151-1)/Setup!$B$15)+1),"")</f>
        <v>F</v>
      </c>
      <c r="C151">
        <f>IF($B151="","",MOD($A151-1,Setup!$B$15)+1)</f>
        <v>8</v>
      </c>
      <c r="D151">
        <f>IF(OR($B151="",$C151&gt;Setup!$B$15),"",IFERROR(INDEX('Fixture Library'!$D$4:$D$200,MATCH(Setup!$B$6&amp;"-"&amp;$C151,'Fixture Library'!$A$4:$A$200,0)),""))</f>
        <v>2</v>
      </c>
      <c r="E151" t="str">
        <f>IF($R151="","",IFERROR(INDEX(Teams!$D$4:$D$67,MATCH($B151&amp;"-"&amp;$R151,Teams!$E$4:$E$67,0)),""))</f>
        <v>Team F4</v>
      </c>
      <c r="F151" s="88"/>
      <c r="G151" s="88"/>
      <c r="H151" s="88"/>
      <c r="I151" t="str">
        <f>IF($Q151&lt;&gt;"Complete","",IF(AND(ISNUMBER($G151),$G151&gt;=Setup!$B$31),Setup!$B$32,0)+IF(AND($F151&lt;$L151,$L151-$F151&lt;=Setup!$B$33),Setup!$B$34,0))</f>
        <v/>
      </c>
      <c r="J151" t="str">
        <f t="shared" si="12"/>
        <v/>
      </c>
      <c r="K151" t="str">
        <f>IF($S151="","",IFERROR(INDEX(Teams!$D$4:$D$67,MATCH($B151&amp;"-"&amp;$S151,Teams!$E$4:$E$67,0)),""))</f>
        <v>Team F3</v>
      </c>
      <c r="L151" s="88"/>
      <c r="M151" s="88"/>
      <c r="N151" s="88"/>
      <c r="O151" t="str">
        <f>IF($Q151&lt;&gt;"Complete","",IF(AND(ISNUMBER($M151),$M151&gt;=Setup!$B$31),Setup!$B$32,0)+IF(AND($L151&lt;$F151,$F151-$L151&lt;=Setup!$B$33),Setup!$B$34,0))</f>
        <v/>
      </c>
      <c r="P151" t="str">
        <f t="shared" si="13"/>
        <v/>
      </c>
      <c r="Q151" t="str">
        <f t="shared" si="14"/>
        <v>Waiting</v>
      </c>
      <c r="R151">
        <f>IF(OR($B151="",$C151&gt;Setup!$B$15),"",IFERROR(INDEX('Fixture Library'!$E$4:$E$200,MATCH(Setup!$B$6&amp;"-"&amp;$C151,'Fixture Library'!$A$4:$A$200,0)),""))</f>
        <v>4</v>
      </c>
      <c r="S151">
        <f>IF(OR($B151="",$C151&gt;Setup!$B$15),"",IFERROR(INDEX('Fixture Library'!$F$4:$F$200,MATCH(Setup!$B$6&amp;"-"&amp;$C151,'Fixture Library'!$A$4:$A$200,0)),""))</f>
        <v>3</v>
      </c>
      <c r="T151">
        <f t="shared" si="15"/>
        <v>0</v>
      </c>
      <c r="U151">
        <f t="shared" si="16"/>
        <v>0</v>
      </c>
      <c r="V151">
        <f t="shared" si="17"/>
        <v>0</v>
      </c>
    </row>
    <row r="152" spans="1:22">
      <c r="A152">
        <v>149</v>
      </c>
      <c r="B152" t="str">
        <f>IF(INT(($A152-1)/Setup!$B$15)+1&lt;=Setup!$B$5,INDEX(Setup!$B$21:$B$28,INT(($A152-1)/Setup!$B$15)+1),"")</f>
        <v>F</v>
      </c>
      <c r="C152">
        <f>IF($B152="","",MOD($A152-1,Setup!$B$15)+1)</f>
        <v>9</v>
      </c>
      <c r="D152">
        <f>IF(OR($B152="",$C152&gt;Setup!$B$15),"",IFERROR(INDEX('Fixture Library'!$D$4:$D$200,MATCH(Setup!$B$6&amp;"-"&amp;$C152,'Fixture Library'!$A$4:$A$200,0)),""))</f>
        <v>3</v>
      </c>
      <c r="E152" t="str">
        <f>IF($R152="","",IFERROR(INDEX(Teams!$D$4:$D$67,MATCH($B152&amp;"-"&amp;$R152,Teams!$E$4:$E$67,0)),""))</f>
        <v>Team F1</v>
      </c>
      <c r="F152" s="88"/>
      <c r="G152" s="88"/>
      <c r="H152" s="88"/>
      <c r="I152" t="str">
        <f>IF($Q152&lt;&gt;"Complete","",IF(AND(ISNUMBER($G152),$G152&gt;=Setup!$B$31),Setup!$B$32,0)+IF(AND($F152&lt;$L152,$L152-$F152&lt;=Setup!$B$33),Setup!$B$34,0))</f>
        <v/>
      </c>
      <c r="J152" t="str">
        <f t="shared" si="12"/>
        <v/>
      </c>
      <c r="K152" t="str">
        <f>IF($S152="","",IFERROR(INDEX(Teams!$D$4:$D$67,MATCH($B152&amp;"-"&amp;$S152,Teams!$E$4:$E$67,0)),""))</f>
        <v>Team F6</v>
      </c>
      <c r="L152" s="88"/>
      <c r="M152" s="88"/>
      <c r="N152" s="88"/>
      <c r="O152" t="str">
        <f>IF($Q152&lt;&gt;"Complete","",IF(AND(ISNUMBER($M152),$M152&gt;=Setup!$B$31),Setup!$B$32,0)+IF(AND($L152&lt;$F152,$F152-$L152&lt;=Setup!$B$33),Setup!$B$34,0))</f>
        <v/>
      </c>
      <c r="P152" t="str">
        <f t="shared" si="13"/>
        <v/>
      </c>
      <c r="Q152" t="str">
        <f t="shared" si="14"/>
        <v>Waiting</v>
      </c>
      <c r="R152">
        <f>IF(OR($B152="",$C152&gt;Setup!$B$15),"",IFERROR(INDEX('Fixture Library'!$E$4:$E$200,MATCH(Setup!$B$6&amp;"-"&amp;$C152,'Fixture Library'!$A$4:$A$200,0)),""))</f>
        <v>1</v>
      </c>
      <c r="S152">
        <f>IF(OR($B152="",$C152&gt;Setup!$B$15),"",IFERROR(INDEX('Fixture Library'!$F$4:$F$200,MATCH(Setup!$B$6&amp;"-"&amp;$C152,'Fixture Library'!$A$4:$A$200,0)),""))</f>
        <v>6</v>
      </c>
      <c r="T152">
        <f t="shared" si="15"/>
        <v>0</v>
      </c>
      <c r="U152">
        <f t="shared" si="16"/>
        <v>0</v>
      </c>
      <c r="V152">
        <f t="shared" si="17"/>
        <v>0</v>
      </c>
    </row>
    <row r="153" spans="1:22">
      <c r="A153">
        <v>150</v>
      </c>
      <c r="B153" t="str">
        <f>IF(INT(($A153-1)/Setup!$B$15)+1&lt;=Setup!$B$5,INDEX(Setup!$B$21:$B$28,INT(($A153-1)/Setup!$B$15)+1),"")</f>
        <v>F</v>
      </c>
      <c r="C153">
        <f>IF($B153="","",MOD($A153-1,Setup!$B$15)+1)</f>
        <v>10</v>
      </c>
      <c r="D153">
        <f>IF(OR($B153="",$C153&gt;Setup!$B$15),"",IFERROR(INDEX('Fixture Library'!$D$4:$D$200,MATCH(Setup!$B$6&amp;"-"&amp;$C153,'Fixture Library'!$A$4:$A$200,0)),""))</f>
        <v>3</v>
      </c>
      <c r="E153" t="str">
        <f>IF($R153="","",IFERROR(INDEX(Teams!$D$4:$D$67,MATCH($B153&amp;"-"&amp;$R153,Teams!$E$4:$E$67,0)),""))</f>
        <v>Team F7</v>
      </c>
      <c r="F153" s="88"/>
      <c r="G153" s="88"/>
      <c r="H153" s="88"/>
      <c r="I153" t="str">
        <f>IF($Q153&lt;&gt;"Complete","",IF(AND(ISNUMBER($G153),$G153&gt;=Setup!$B$31),Setup!$B$32,0)+IF(AND($F153&lt;$L153,$L153-$F153&lt;=Setup!$B$33),Setup!$B$34,0))</f>
        <v/>
      </c>
      <c r="J153" t="str">
        <f t="shared" si="12"/>
        <v/>
      </c>
      <c r="K153" t="str">
        <f>IF($S153="","",IFERROR(INDEX(Teams!$D$4:$D$67,MATCH($B153&amp;"-"&amp;$S153,Teams!$E$4:$E$67,0)),""))</f>
        <v>Team F5</v>
      </c>
      <c r="L153" s="88"/>
      <c r="M153" s="88"/>
      <c r="N153" s="88"/>
      <c r="O153" t="str">
        <f>IF($Q153&lt;&gt;"Complete","",IF(AND(ISNUMBER($M153),$M153&gt;=Setup!$B$31),Setup!$B$32,0)+IF(AND($L153&lt;$F153,$F153-$L153&lt;=Setup!$B$33),Setup!$B$34,0))</f>
        <v/>
      </c>
      <c r="P153" t="str">
        <f t="shared" si="13"/>
        <v/>
      </c>
      <c r="Q153" t="str">
        <f t="shared" si="14"/>
        <v>Waiting</v>
      </c>
      <c r="R153">
        <f>IF(OR($B153="",$C153&gt;Setup!$B$15),"",IFERROR(INDEX('Fixture Library'!$E$4:$E$200,MATCH(Setup!$B$6&amp;"-"&amp;$C153,'Fixture Library'!$A$4:$A$200,0)),""))</f>
        <v>7</v>
      </c>
      <c r="S153">
        <f>IF(OR($B153="",$C153&gt;Setup!$B$15),"",IFERROR(INDEX('Fixture Library'!$F$4:$F$200,MATCH(Setup!$B$6&amp;"-"&amp;$C153,'Fixture Library'!$A$4:$A$200,0)),""))</f>
        <v>5</v>
      </c>
      <c r="T153">
        <f t="shared" si="15"/>
        <v>0</v>
      </c>
      <c r="U153">
        <f t="shared" si="16"/>
        <v>0</v>
      </c>
      <c r="V153">
        <f t="shared" si="17"/>
        <v>0</v>
      </c>
    </row>
    <row r="154" spans="1:22">
      <c r="A154">
        <v>151</v>
      </c>
      <c r="B154" t="str">
        <f>IF(INT(($A154-1)/Setup!$B$15)+1&lt;=Setup!$B$5,INDEX(Setup!$B$21:$B$28,INT(($A154-1)/Setup!$B$15)+1),"")</f>
        <v>F</v>
      </c>
      <c r="C154">
        <f>IF($B154="","",MOD($A154-1,Setup!$B$15)+1)</f>
        <v>11</v>
      </c>
      <c r="D154">
        <f>IF(OR($B154="",$C154&gt;Setup!$B$15),"",IFERROR(INDEX('Fixture Library'!$D$4:$D$200,MATCH(Setup!$B$6&amp;"-"&amp;$C154,'Fixture Library'!$A$4:$A$200,0)),""))</f>
        <v>3</v>
      </c>
      <c r="E154" t="str">
        <f>IF($R154="","",IFERROR(INDEX(Teams!$D$4:$D$67,MATCH($B154&amp;"-"&amp;$R154,Teams!$E$4:$E$67,0)),""))</f>
        <v>Team F8</v>
      </c>
      <c r="F154" s="88"/>
      <c r="G154" s="88"/>
      <c r="H154" s="88"/>
      <c r="I154" t="str">
        <f>IF($Q154&lt;&gt;"Complete","",IF(AND(ISNUMBER($G154),$G154&gt;=Setup!$B$31),Setup!$B$32,0)+IF(AND($F154&lt;$L154,$L154-$F154&lt;=Setup!$B$33),Setup!$B$34,0))</f>
        <v/>
      </c>
      <c r="J154" t="str">
        <f t="shared" si="12"/>
        <v/>
      </c>
      <c r="K154" t="str">
        <f>IF($S154="","",IFERROR(INDEX(Teams!$D$4:$D$67,MATCH($B154&amp;"-"&amp;$S154,Teams!$E$4:$E$67,0)),""))</f>
        <v>Team F4</v>
      </c>
      <c r="L154" s="88"/>
      <c r="M154" s="88"/>
      <c r="N154" s="88"/>
      <c r="O154" t="str">
        <f>IF($Q154&lt;&gt;"Complete","",IF(AND(ISNUMBER($M154),$M154&gt;=Setup!$B$31),Setup!$B$32,0)+IF(AND($L154&lt;$F154,$F154-$L154&lt;=Setup!$B$33),Setup!$B$34,0))</f>
        <v/>
      </c>
      <c r="P154" t="str">
        <f t="shared" si="13"/>
        <v/>
      </c>
      <c r="Q154" t="str">
        <f t="shared" si="14"/>
        <v>Waiting</v>
      </c>
      <c r="R154">
        <f>IF(OR($B154="",$C154&gt;Setup!$B$15),"",IFERROR(INDEX('Fixture Library'!$E$4:$E$200,MATCH(Setup!$B$6&amp;"-"&amp;$C154,'Fixture Library'!$A$4:$A$200,0)),""))</f>
        <v>8</v>
      </c>
      <c r="S154">
        <f>IF(OR($B154="",$C154&gt;Setup!$B$15),"",IFERROR(INDEX('Fixture Library'!$F$4:$F$200,MATCH(Setup!$B$6&amp;"-"&amp;$C154,'Fixture Library'!$A$4:$A$200,0)),""))</f>
        <v>4</v>
      </c>
      <c r="T154">
        <f t="shared" si="15"/>
        <v>0</v>
      </c>
      <c r="U154">
        <f t="shared" si="16"/>
        <v>0</v>
      </c>
      <c r="V154">
        <f t="shared" si="17"/>
        <v>0</v>
      </c>
    </row>
    <row r="155" spans="1:22">
      <c r="A155">
        <v>152</v>
      </c>
      <c r="B155" t="str">
        <f>IF(INT(($A155-1)/Setup!$B$15)+1&lt;=Setup!$B$5,INDEX(Setup!$B$21:$B$28,INT(($A155-1)/Setup!$B$15)+1),"")</f>
        <v>F</v>
      </c>
      <c r="C155">
        <f>IF($B155="","",MOD($A155-1,Setup!$B$15)+1)</f>
        <v>12</v>
      </c>
      <c r="D155">
        <f>IF(OR($B155="",$C155&gt;Setup!$B$15),"",IFERROR(INDEX('Fixture Library'!$D$4:$D$200,MATCH(Setup!$B$6&amp;"-"&amp;$C155,'Fixture Library'!$A$4:$A$200,0)),""))</f>
        <v>3</v>
      </c>
      <c r="E155" t="str">
        <f>IF($R155="","",IFERROR(INDEX(Teams!$D$4:$D$67,MATCH($B155&amp;"-"&amp;$R155,Teams!$E$4:$E$67,0)),""))</f>
        <v>Team F2</v>
      </c>
      <c r="F155" s="88"/>
      <c r="G155" s="88"/>
      <c r="H155" s="88"/>
      <c r="I155" t="str">
        <f>IF($Q155&lt;&gt;"Complete","",IF(AND(ISNUMBER($G155),$G155&gt;=Setup!$B$31),Setup!$B$32,0)+IF(AND($F155&lt;$L155,$L155-$F155&lt;=Setup!$B$33),Setup!$B$34,0))</f>
        <v/>
      </c>
      <c r="J155" t="str">
        <f t="shared" si="12"/>
        <v/>
      </c>
      <c r="K155" t="str">
        <f>IF($S155="","",IFERROR(INDEX(Teams!$D$4:$D$67,MATCH($B155&amp;"-"&amp;$S155,Teams!$E$4:$E$67,0)),""))</f>
        <v>Team F3</v>
      </c>
      <c r="L155" s="88"/>
      <c r="M155" s="88"/>
      <c r="N155" s="88"/>
      <c r="O155" t="str">
        <f>IF($Q155&lt;&gt;"Complete","",IF(AND(ISNUMBER($M155),$M155&gt;=Setup!$B$31),Setup!$B$32,0)+IF(AND($L155&lt;$F155,$F155-$L155&lt;=Setup!$B$33),Setup!$B$34,0))</f>
        <v/>
      </c>
      <c r="P155" t="str">
        <f t="shared" si="13"/>
        <v/>
      </c>
      <c r="Q155" t="str">
        <f t="shared" si="14"/>
        <v>Waiting</v>
      </c>
      <c r="R155">
        <f>IF(OR($B155="",$C155&gt;Setup!$B$15),"",IFERROR(INDEX('Fixture Library'!$E$4:$E$200,MATCH(Setup!$B$6&amp;"-"&amp;$C155,'Fixture Library'!$A$4:$A$200,0)),""))</f>
        <v>2</v>
      </c>
      <c r="S155">
        <f>IF(OR($B155="",$C155&gt;Setup!$B$15),"",IFERROR(INDEX('Fixture Library'!$F$4:$F$200,MATCH(Setup!$B$6&amp;"-"&amp;$C155,'Fixture Library'!$A$4:$A$200,0)),""))</f>
        <v>3</v>
      </c>
      <c r="T155">
        <f t="shared" si="15"/>
        <v>0</v>
      </c>
      <c r="U155">
        <f t="shared" si="16"/>
        <v>0</v>
      </c>
      <c r="V155">
        <f t="shared" si="17"/>
        <v>0</v>
      </c>
    </row>
    <row r="156" spans="1:22">
      <c r="A156">
        <v>153</v>
      </c>
      <c r="B156" t="str">
        <f>IF(INT(($A156-1)/Setup!$B$15)+1&lt;=Setup!$B$5,INDEX(Setup!$B$21:$B$28,INT(($A156-1)/Setup!$B$15)+1),"")</f>
        <v>F</v>
      </c>
      <c r="C156">
        <f>IF($B156="","",MOD($A156-1,Setup!$B$15)+1)</f>
        <v>13</v>
      </c>
      <c r="D156">
        <f>IF(OR($B156="",$C156&gt;Setup!$B$15),"",IFERROR(INDEX('Fixture Library'!$D$4:$D$200,MATCH(Setup!$B$6&amp;"-"&amp;$C156,'Fixture Library'!$A$4:$A$200,0)),""))</f>
        <v>4</v>
      </c>
      <c r="E156" t="str">
        <f>IF($R156="","",IFERROR(INDEX(Teams!$D$4:$D$67,MATCH($B156&amp;"-"&amp;$R156,Teams!$E$4:$E$67,0)),""))</f>
        <v>Team F5</v>
      </c>
      <c r="F156" s="88"/>
      <c r="G156" s="88"/>
      <c r="H156" s="88"/>
      <c r="I156" t="str">
        <f>IF($Q156&lt;&gt;"Complete","",IF(AND(ISNUMBER($G156),$G156&gt;=Setup!$B$31),Setup!$B$32,0)+IF(AND($F156&lt;$L156,$L156-$F156&lt;=Setup!$B$33),Setup!$B$34,0))</f>
        <v/>
      </c>
      <c r="J156" t="str">
        <f t="shared" si="12"/>
        <v/>
      </c>
      <c r="K156" t="str">
        <f>IF($S156="","",IFERROR(INDEX(Teams!$D$4:$D$67,MATCH($B156&amp;"-"&amp;$S156,Teams!$E$4:$E$67,0)),""))</f>
        <v>Team F1</v>
      </c>
      <c r="L156" s="88"/>
      <c r="M156" s="88"/>
      <c r="N156" s="88"/>
      <c r="O156" t="str">
        <f>IF($Q156&lt;&gt;"Complete","",IF(AND(ISNUMBER($M156),$M156&gt;=Setup!$B$31),Setup!$B$32,0)+IF(AND($L156&lt;$F156,$F156-$L156&lt;=Setup!$B$33),Setup!$B$34,0))</f>
        <v/>
      </c>
      <c r="P156" t="str">
        <f t="shared" si="13"/>
        <v/>
      </c>
      <c r="Q156" t="str">
        <f t="shared" si="14"/>
        <v>Waiting</v>
      </c>
      <c r="R156">
        <f>IF(OR($B156="",$C156&gt;Setup!$B$15),"",IFERROR(INDEX('Fixture Library'!$E$4:$E$200,MATCH(Setup!$B$6&amp;"-"&amp;$C156,'Fixture Library'!$A$4:$A$200,0)),""))</f>
        <v>5</v>
      </c>
      <c r="S156">
        <f>IF(OR($B156="",$C156&gt;Setup!$B$15),"",IFERROR(INDEX('Fixture Library'!$F$4:$F$200,MATCH(Setup!$B$6&amp;"-"&amp;$C156,'Fixture Library'!$A$4:$A$200,0)),""))</f>
        <v>1</v>
      </c>
      <c r="T156">
        <f t="shared" si="15"/>
        <v>0</v>
      </c>
      <c r="U156">
        <f t="shared" si="16"/>
        <v>0</v>
      </c>
      <c r="V156">
        <f t="shared" si="17"/>
        <v>0</v>
      </c>
    </row>
    <row r="157" spans="1:22">
      <c r="A157">
        <v>154</v>
      </c>
      <c r="B157" t="str">
        <f>IF(INT(($A157-1)/Setup!$B$15)+1&lt;=Setup!$B$5,INDEX(Setup!$B$21:$B$28,INT(($A157-1)/Setup!$B$15)+1),"")</f>
        <v>F</v>
      </c>
      <c r="C157">
        <f>IF($B157="","",MOD($A157-1,Setup!$B$15)+1)</f>
        <v>14</v>
      </c>
      <c r="D157">
        <f>IF(OR($B157="",$C157&gt;Setup!$B$15),"",IFERROR(INDEX('Fixture Library'!$D$4:$D$200,MATCH(Setup!$B$6&amp;"-"&amp;$C157,'Fixture Library'!$A$4:$A$200,0)),""))</f>
        <v>4</v>
      </c>
      <c r="E157" t="str">
        <f>IF($R157="","",IFERROR(INDEX(Teams!$D$4:$D$67,MATCH($B157&amp;"-"&amp;$R157,Teams!$E$4:$E$67,0)),""))</f>
        <v>Team F4</v>
      </c>
      <c r="F157" s="88"/>
      <c r="G157" s="88"/>
      <c r="H157" s="88"/>
      <c r="I157" t="str">
        <f>IF($Q157&lt;&gt;"Complete","",IF(AND(ISNUMBER($G157),$G157&gt;=Setup!$B$31),Setup!$B$32,0)+IF(AND($F157&lt;$L157,$L157-$F157&lt;=Setup!$B$33),Setup!$B$34,0))</f>
        <v/>
      </c>
      <c r="J157" t="str">
        <f t="shared" si="12"/>
        <v/>
      </c>
      <c r="K157" t="str">
        <f>IF($S157="","",IFERROR(INDEX(Teams!$D$4:$D$67,MATCH($B157&amp;"-"&amp;$S157,Teams!$E$4:$E$67,0)),""))</f>
        <v>Team F6</v>
      </c>
      <c r="L157" s="88"/>
      <c r="M157" s="88"/>
      <c r="N157" s="88"/>
      <c r="O157" t="str">
        <f>IF($Q157&lt;&gt;"Complete","",IF(AND(ISNUMBER($M157),$M157&gt;=Setup!$B$31),Setup!$B$32,0)+IF(AND($L157&lt;$F157,$F157-$L157&lt;=Setup!$B$33),Setup!$B$34,0))</f>
        <v/>
      </c>
      <c r="P157" t="str">
        <f t="shared" si="13"/>
        <v/>
      </c>
      <c r="Q157" t="str">
        <f t="shared" si="14"/>
        <v>Waiting</v>
      </c>
      <c r="R157">
        <f>IF(OR($B157="",$C157&gt;Setup!$B$15),"",IFERROR(INDEX('Fixture Library'!$E$4:$E$200,MATCH(Setup!$B$6&amp;"-"&amp;$C157,'Fixture Library'!$A$4:$A$200,0)),""))</f>
        <v>4</v>
      </c>
      <c r="S157">
        <f>IF(OR($B157="",$C157&gt;Setup!$B$15),"",IFERROR(INDEX('Fixture Library'!$F$4:$F$200,MATCH(Setup!$B$6&amp;"-"&amp;$C157,'Fixture Library'!$A$4:$A$200,0)),""))</f>
        <v>6</v>
      </c>
      <c r="T157">
        <f t="shared" si="15"/>
        <v>0</v>
      </c>
      <c r="U157">
        <f t="shared" si="16"/>
        <v>0</v>
      </c>
      <c r="V157">
        <f t="shared" si="17"/>
        <v>0</v>
      </c>
    </row>
    <row r="158" spans="1:22">
      <c r="A158">
        <v>155</v>
      </c>
      <c r="B158" t="str">
        <f>IF(INT(($A158-1)/Setup!$B$15)+1&lt;=Setup!$B$5,INDEX(Setup!$B$21:$B$28,INT(($A158-1)/Setup!$B$15)+1),"")</f>
        <v>F</v>
      </c>
      <c r="C158">
        <f>IF($B158="","",MOD($A158-1,Setup!$B$15)+1)</f>
        <v>15</v>
      </c>
      <c r="D158">
        <f>IF(OR($B158="",$C158&gt;Setup!$B$15),"",IFERROR(INDEX('Fixture Library'!$D$4:$D$200,MATCH(Setup!$B$6&amp;"-"&amp;$C158,'Fixture Library'!$A$4:$A$200,0)),""))</f>
        <v>4</v>
      </c>
      <c r="E158" t="str">
        <f>IF($R158="","",IFERROR(INDEX(Teams!$D$4:$D$67,MATCH($B158&amp;"-"&amp;$R158,Teams!$E$4:$E$67,0)),""))</f>
        <v>Team F3</v>
      </c>
      <c r="F158" s="88"/>
      <c r="G158" s="88"/>
      <c r="H158" s="88"/>
      <c r="I158" t="str">
        <f>IF($Q158&lt;&gt;"Complete","",IF(AND(ISNUMBER($G158),$G158&gt;=Setup!$B$31),Setup!$B$32,0)+IF(AND($F158&lt;$L158,$L158-$F158&lt;=Setup!$B$33),Setup!$B$34,0))</f>
        <v/>
      </c>
      <c r="J158" t="str">
        <f t="shared" si="12"/>
        <v/>
      </c>
      <c r="K158" t="str">
        <f>IF($S158="","",IFERROR(INDEX(Teams!$D$4:$D$67,MATCH($B158&amp;"-"&amp;$S158,Teams!$E$4:$E$67,0)),""))</f>
        <v>Team F7</v>
      </c>
      <c r="L158" s="88"/>
      <c r="M158" s="88"/>
      <c r="N158" s="88"/>
      <c r="O158" t="str">
        <f>IF($Q158&lt;&gt;"Complete","",IF(AND(ISNUMBER($M158),$M158&gt;=Setup!$B$31),Setup!$B$32,0)+IF(AND($L158&lt;$F158,$F158-$L158&lt;=Setup!$B$33),Setup!$B$34,0))</f>
        <v/>
      </c>
      <c r="P158" t="str">
        <f t="shared" si="13"/>
        <v/>
      </c>
      <c r="Q158" t="str">
        <f t="shared" si="14"/>
        <v>Waiting</v>
      </c>
      <c r="R158">
        <f>IF(OR($B158="",$C158&gt;Setup!$B$15),"",IFERROR(INDEX('Fixture Library'!$E$4:$E$200,MATCH(Setup!$B$6&amp;"-"&amp;$C158,'Fixture Library'!$A$4:$A$200,0)),""))</f>
        <v>3</v>
      </c>
      <c r="S158">
        <f>IF(OR($B158="",$C158&gt;Setup!$B$15),"",IFERROR(INDEX('Fixture Library'!$F$4:$F$200,MATCH(Setup!$B$6&amp;"-"&amp;$C158,'Fixture Library'!$A$4:$A$200,0)),""))</f>
        <v>7</v>
      </c>
      <c r="T158">
        <f t="shared" si="15"/>
        <v>0</v>
      </c>
      <c r="U158">
        <f t="shared" si="16"/>
        <v>0</v>
      </c>
      <c r="V158">
        <f t="shared" si="17"/>
        <v>0</v>
      </c>
    </row>
    <row r="159" spans="1:22">
      <c r="A159">
        <v>156</v>
      </c>
      <c r="B159" t="str">
        <f>IF(INT(($A159-1)/Setup!$B$15)+1&lt;=Setup!$B$5,INDEX(Setup!$B$21:$B$28,INT(($A159-1)/Setup!$B$15)+1),"")</f>
        <v>F</v>
      </c>
      <c r="C159">
        <f>IF($B159="","",MOD($A159-1,Setup!$B$15)+1)</f>
        <v>16</v>
      </c>
      <c r="D159">
        <f>IF(OR($B159="",$C159&gt;Setup!$B$15),"",IFERROR(INDEX('Fixture Library'!$D$4:$D$200,MATCH(Setup!$B$6&amp;"-"&amp;$C159,'Fixture Library'!$A$4:$A$200,0)),""))</f>
        <v>4</v>
      </c>
      <c r="E159" t="str">
        <f>IF($R159="","",IFERROR(INDEX(Teams!$D$4:$D$67,MATCH($B159&amp;"-"&amp;$R159,Teams!$E$4:$E$67,0)),""))</f>
        <v>Team F2</v>
      </c>
      <c r="F159" s="88"/>
      <c r="G159" s="88"/>
      <c r="H159" s="88"/>
      <c r="I159" t="str">
        <f>IF($Q159&lt;&gt;"Complete","",IF(AND(ISNUMBER($G159),$G159&gt;=Setup!$B$31),Setup!$B$32,0)+IF(AND($F159&lt;$L159,$L159-$F159&lt;=Setup!$B$33),Setup!$B$34,0))</f>
        <v/>
      </c>
      <c r="J159" t="str">
        <f t="shared" si="12"/>
        <v/>
      </c>
      <c r="K159" t="str">
        <f>IF($S159="","",IFERROR(INDEX(Teams!$D$4:$D$67,MATCH($B159&amp;"-"&amp;$S159,Teams!$E$4:$E$67,0)),""))</f>
        <v>Team F8</v>
      </c>
      <c r="L159" s="88"/>
      <c r="M159" s="88"/>
      <c r="N159" s="88"/>
      <c r="O159" t="str">
        <f>IF($Q159&lt;&gt;"Complete","",IF(AND(ISNUMBER($M159),$M159&gt;=Setup!$B$31),Setup!$B$32,0)+IF(AND($L159&lt;$F159,$F159-$L159&lt;=Setup!$B$33),Setup!$B$34,0))</f>
        <v/>
      </c>
      <c r="P159" t="str">
        <f t="shared" si="13"/>
        <v/>
      </c>
      <c r="Q159" t="str">
        <f t="shared" si="14"/>
        <v>Waiting</v>
      </c>
      <c r="R159">
        <f>IF(OR($B159="",$C159&gt;Setup!$B$15),"",IFERROR(INDEX('Fixture Library'!$E$4:$E$200,MATCH(Setup!$B$6&amp;"-"&amp;$C159,'Fixture Library'!$A$4:$A$200,0)),""))</f>
        <v>2</v>
      </c>
      <c r="S159">
        <f>IF(OR($B159="",$C159&gt;Setup!$B$15),"",IFERROR(INDEX('Fixture Library'!$F$4:$F$200,MATCH(Setup!$B$6&amp;"-"&amp;$C159,'Fixture Library'!$A$4:$A$200,0)),""))</f>
        <v>8</v>
      </c>
      <c r="T159">
        <f t="shared" si="15"/>
        <v>0</v>
      </c>
      <c r="U159">
        <f t="shared" si="16"/>
        <v>0</v>
      </c>
      <c r="V159">
        <f t="shared" si="17"/>
        <v>0</v>
      </c>
    </row>
    <row r="160" spans="1:22">
      <c r="A160">
        <v>157</v>
      </c>
      <c r="B160" t="str">
        <f>IF(INT(($A160-1)/Setup!$B$15)+1&lt;=Setup!$B$5,INDEX(Setup!$B$21:$B$28,INT(($A160-1)/Setup!$B$15)+1),"")</f>
        <v>F</v>
      </c>
      <c r="C160">
        <f>IF($B160="","",MOD($A160-1,Setup!$B$15)+1)</f>
        <v>17</v>
      </c>
      <c r="D160">
        <f>IF(OR($B160="",$C160&gt;Setup!$B$15),"",IFERROR(INDEX('Fixture Library'!$D$4:$D$200,MATCH(Setup!$B$6&amp;"-"&amp;$C160,'Fixture Library'!$A$4:$A$200,0)),""))</f>
        <v>5</v>
      </c>
      <c r="E160" t="str">
        <f>IF($R160="","",IFERROR(INDEX(Teams!$D$4:$D$67,MATCH($B160&amp;"-"&amp;$R160,Teams!$E$4:$E$67,0)),""))</f>
        <v>Team F1</v>
      </c>
      <c r="F160" s="88"/>
      <c r="G160" s="88"/>
      <c r="H160" s="88"/>
      <c r="I160" t="str">
        <f>IF($Q160&lt;&gt;"Complete","",IF(AND(ISNUMBER($G160),$G160&gt;=Setup!$B$31),Setup!$B$32,0)+IF(AND($F160&lt;$L160,$L160-$F160&lt;=Setup!$B$33),Setup!$B$34,0))</f>
        <v/>
      </c>
      <c r="J160" t="str">
        <f t="shared" si="12"/>
        <v/>
      </c>
      <c r="K160" t="str">
        <f>IF($S160="","",IFERROR(INDEX(Teams!$D$4:$D$67,MATCH($B160&amp;"-"&amp;$S160,Teams!$E$4:$E$67,0)),""))</f>
        <v>Team F4</v>
      </c>
      <c r="L160" s="88"/>
      <c r="M160" s="88"/>
      <c r="N160" s="88"/>
      <c r="O160" t="str">
        <f>IF($Q160&lt;&gt;"Complete","",IF(AND(ISNUMBER($M160),$M160&gt;=Setup!$B$31),Setup!$B$32,0)+IF(AND($L160&lt;$F160,$F160-$L160&lt;=Setup!$B$33),Setup!$B$34,0))</f>
        <v/>
      </c>
      <c r="P160" t="str">
        <f t="shared" si="13"/>
        <v/>
      </c>
      <c r="Q160" t="str">
        <f t="shared" si="14"/>
        <v>Waiting</v>
      </c>
      <c r="R160">
        <f>IF(OR($B160="",$C160&gt;Setup!$B$15),"",IFERROR(INDEX('Fixture Library'!$E$4:$E$200,MATCH(Setup!$B$6&amp;"-"&amp;$C160,'Fixture Library'!$A$4:$A$200,0)),""))</f>
        <v>1</v>
      </c>
      <c r="S160">
        <f>IF(OR($B160="",$C160&gt;Setup!$B$15),"",IFERROR(INDEX('Fixture Library'!$F$4:$F$200,MATCH(Setup!$B$6&amp;"-"&amp;$C160,'Fixture Library'!$A$4:$A$200,0)),""))</f>
        <v>4</v>
      </c>
      <c r="T160">
        <f t="shared" si="15"/>
        <v>0</v>
      </c>
      <c r="U160">
        <f t="shared" si="16"/>
        <v>0</v>
      </c>
      <c r="V160">
        <f t="shared" si="17"/>
        <v>0</v>
      </c>
    </row>
    <row r="161" spans="1:22">
      <c r="A161">
        <v>158</v>
      </c>
      <c r="B161" t="str">
        <f>IF(INT(($A161-1)/Setup!$B$15)+1&lt;=Setup!$B$5,INDEX(Setup!$B$21:$B$28,INT(($A161-1)/Setup!$B$15)+1),"")</f>
        <v>F</v>
      </c>
      <c r="C161">
        <f>IF($B161="","",MOD($A161-1,Setup!$B$15)+1)</f>
        <v>18</v>
      </c>
      <c r="D161">
        <f>IF(OR($B161="",$C161&gt;Setup!$B$15),"",IFERROR(INDEX('Fixture Library'!$D$4:$D$200,MATCH(Setup!$B$6&amp;"-"&amp;$C161,'Fixture Library'!$A$4:$A$200,0)),""))</f>
        <v>5</v>
      </c>
      <c r="E161" t="str">
        <f>IF($R161="","",IFERROR(INDEX(Teams!$D$4:$D$67,MATCH($B161&amp;"-"&amp;$R161,Teams!$E$4:$E$67,0)),""))</f>
        <v>Team F5</v>
      </c>
      <c r="F161" s="88"/>
      <c r="G161" s="88"/>
      <c r="H161" s="88"/>
      <c r="I161" t="str">
        <f>IF($Q161&lt;&gt;"Complete","",IF(AND(ISNUMBER($G161),$G161&gt;=Setup!$B$31),Setup!$B$32,0)+IF(AND($F161&lt;$L161,$L161-$F161&lt;=Setup!$B$33),Setup!$B$34,0))</f>
        <v/>
      </c>
      <c r="J161" t="str">
        <f t="shared" si="12"/>
        <v/>
      </c>
      <c r="K161" t="str">
        <f>IF($S161="","",IFERROR(INDEX(Teams!$D$4:$D$67,MATCH($B161&amp;"-"&amp;$S161,Teams!$E$4:$E$67,0)),""))</f>
        <v>Team F3</v>
      </c>
      <c r="L161" s="88"/>
      <c r="M161" s="88"/>
      <c r="N161" s="88"/>
      <c r="O161" t="str">
        <f>IF($Q161&lt;&gt;"Complete","",IF(AND(ISNUMBER($M161),$M161&gt;=Setup!$B$31),Setup!$B$32,0)+IF(AND($L161&lt;$F161,$F161-$L161&lt;=Setup!$B$33),Setup!$B$34,0))</f>
        <v/>
      </c>
      <c r="P161" t="str">
        <f t="shared" si="13"/>
        <v/>
      </c>
      <c r="Q161" t="str">
        <f t="shared" si="14"/>
        <v>Waiting</v>
      </c>
      <c r="R161">
        <f>IF(OR($B161="",$C161&gt;Setup!$B$15),"",IFERROR(INDEX('Fixture Library'!$E$4:$E$200,MATCH(Setup!$B$6&amp;"-"&amp;$C161,'Fixture Library'!$A$4:$A$200,0)),""))</f>
        <v>5</v>
      </c>
      <c r="S161">
        <f>IF(OR($B161="",$C161&gt;Setup!$B$15),"",IFERROR(INDEX('Fixture Library'!$F$4:$F$200,MATCH(Setup!$B$6&amp;"-"&amp;$C161,'Fixture Library'!$A$4:$A$200,0)),""))</f>
        <v>3</v>
      </c>
      <c r="T161">
        <f t="shared" si="15"/>
        <v>0</v>
      </c>
      <c r="U161">
        <f t="shared" si="16"/>
        <v>0</v>
      </c>
      <c r="V161">
        <f t="shared" si="17"/>
        <v>0</v>
      </c>
    </row>
    <row r="162" spans="1:22">
      <c r="A162">
        <v>159</v>
      </c>
      <c r="B162" t="str">
        <f>IF(INT(($A162-1)/Setup!$B$15)+1&lt;=Setup!$B$5,INDEX(Setup!$B$21:$B$28,INT(($A162-1)/Setup!$B$15)+1),"")</f>
        <v>F</v>
      </c>
      <c r="C162">
        <f>IF($B162="","",MOD($A162-1,Setup!$B$15)+1)</f>
        <v>19</v>
      </c>
      <c r="D162">
        <f>IF(OR($B162="",$C162&gt;Setup!$B$15),"",IFERROR(INDEX('Fixture Library'!$D$4:$D$200,MATCH(Setup!$B$6&amp;"-"&amp;$C162,'Fixture Library'!$A$4:$A$200,0)),""))</f>
        <v>5</v>
      </c>
      <c r="E162" t="str">
        <f>IF($R162="","",IFERROR(INDEX(Teams!$D$4:$D$67,MATCH($B162&amp;"-"&amp;$R162,Teams!$E$4:$E$67,0)),""))</f>
        <v>Team F6</v>
      </c>
      <c r="F162" s="88"/>
      <c r="G162" s="88"/>
      <c r="H162" s="88"/>
      <c r="I162" t="str">
        <f>IF($Q162&lt;&gt;"Complete","",IF(AND(ISNUMBER($G162),$G162&gt;=Setup!$B$31),Setup!$B$32,0)+IF(AND($F162&lt;$L162,$L162-$F162&lt;=Setup!$B$33),Setup!$B$34,0))</f>
        <v/>
      </c>
      <c r="J162" t="str">
        <f t="shared" si="12"/>
        <v/>
      </c>
      <c r="K162" t="str">
        <f>IF($S162="","",IFERROR(INDEX(Teams!$D$4:$D$67,MATCH($B162&amp;"-"&amp;$S162,Teams!$E$4:$E$67,0)),""))</f>
        <v>Team F2</v>
      </c>
      <c r="L162" s="88"/>
      <c r="M162" s="88"/>
      <c r="N162" s="88"/>
      <c r="O162" t="str">
        <f>IF($Q162&lt;&gt;"Complete","",IF(AND(ISNUMBER($M162),$M162&gt;=Setup!$B$31),Setup!$B$32,0)+IF(AND($L162&lt;$F162,$F162-$L162&lt;=Setup!$B$33),Setup!$B$34,0))</f>
        <v/>
      </c>
      <c r="P162" t="str">
        <f t="shared" si="13"/>
        <v/>
      </c>
      <c r="Q162" t="str">
        <f t="shared" si="14"/>
        <v>Waiting</v>
      </c>
      <c r="R162">
        <f>IF(OR($B162="",$C162&gt;Setup!$B$15),"",IFERROR(INDEX('Fixture Library'!$E$4:$E$200,MATCH(Setup!$B$6&amp;"-"&amp;$C162,'Fixture Library'!$A$4:$A$200,0)),""))</f>
        <v>6</v>
      </c>
      <c r="S162">
        <f>IF(OR($B162="",$C162&gt;Setup!$B$15),"",IFERROR(INDEX('Fixture Library'!$F$4:$F$200,MATCH(Setup!$B$6&amp;"-"&amp;$C162,'Fixture Library'!$A$4:$A$200,0)),""))</f>
        <v>2</v>
      </c>
      <c r="T162">
        <f t="shared" si="15"/>
        <v>0</v>
      </c>
      <c r="U162">
        <f t="shared" si="16"/>
        <v>0</v>
      </c>
      <c r="V162">
        <f t="shared" si="17"/>
        <v>0</v>
      </c>
    </row>
    <row r="163" spans="1:22">
      <c r="A163">
        <v>160</v>
      </c>
      <c r="B163" t="str">
        <f>IF(INT(($A163-1)/Setup!$B$15)+1&lt;=Setup!$B$5,INDEX(Setup!$B$21:$B$28,INT(($A163-1)/Setup!$B$15)+1),"")</f>
        <v>F</v>
      </c>
      <c r="C163">
        <f>IF($B163="","",MOD($A163-1,Setup!$B$15)+1)</f>
        <v>20</v>
      </c>
      <c r="D163">
        <f>IF(OR($B163="",$C163&gt;Setup!$B$15),"",IFERROR(INDEX('Fixture Library'!$D$4:$D$200,MATCH(Setup!$B$6&amp;"-"&amp;$C163,'Fixture Library'!$A$4:$A$200,0)),""))</f>
        <v>5</v>
      </c>
      <c r="E163" t="str">
        <f>IF($R163="","",IFERROR(INDEX(Teams!$D$4:$D$67,MATCH($B163&amp;"-"&amp;$R163,Teams!$E$4:$E$67,0)),""))</f>
        <v>Team F7</v>
      </c>
      <c r="F163" s="88"/>
      <c r="G163" s="88"/>
      <c r="H163" s="88"/>
      <c r="I163" t="str">
        <f>IF($Q163&lt;&gt;"Complete","",IF(AND(ISNUMBER($G163),$G163&gt;=Setup!$B$31),Setup!$B$32,0)+IF(AND($F163&lt;$L163,$L163-$F163&lt;=Setup!$B$33),Setup!$B$34,0))</f>
        <v/>
      </c>
      <c r="J163" t="str">
        <f t="shared" si="12"/>
        <v/>
      </c>
      <c r="K163" t="str">
        <f>IF($S163="","",IFERROR(INDEX(Teams!$D$4:$D$67,MATCH($B163&amp;"-"&amp;$S163,Teams!$E$4:$E$67,0)),""))</f>
        <v>Team F8</v>
      </c>
      <c r="L163" s="88"/>
      <c r="M163" s="88"/>
      <c r="N163" s="88"/>
      <c r="O163" t="str">
        <f>IF($Q163&lt;&gt;"Complete","",IF(AND(ISNUMBER($M163),$M163&gt;=Setup!$B$31),Setup!$B$32,0)+IF(AND($L163&lt;$F163,$F163-$L163&lt;=Setup!$B$33),Setup!$B$34,0))</f>
        <v/>
      </c>
      <c r="P163" t="str">
        <f t="shared" si="13"/>
        <v/>
      </c>
      <c r="Q163" t="str">
        <f t="shared" si="14"/>
        <v>Waiting</v>
      </c>
      <c r="R163">
        <f>IF(OR($B163="",$C163&gt;Setup!$B$15),"",IFERROR(INDEX('Fixture Library'!$E$4:$E$200,MATCH(Setup!$B$6&amp;"-"&amp;$C163,'Fixture Library'!$A$4:$A$200,0)),""))</f>
        <v>7</v>
      </c>
      <c r="S163">
        <f>IF(OR($B163="",$C163&gt;Setup!$B$15),"",IFERROR(INDEX('Fixture Library'!$F$4:$F$200,MATCH(Setup!$B$6&amp;"-"&amp;$C163,'Fixture Library'!$A$4:$A$200,0)),""))</f>
        <v>8</v>
      </c>
      <c r="T163">
        <f t="shared" si="15"/>
        <v>0</v>
      </c>
      <c r="U163">
        <f t="shared" si="16"/>
        <v>0</v>
      </c>
      <c r="V163">
        <f t="shared" si="17"/>
        <v>0</v>
      </c>
    </row>
    <row r="164" spans="1:22">
      <c r="A164">
        <v>161</v>
      </c>
      <c r="B164" t="str">
        <f>IF(INT(($A164-1)/Setup!$B$15)+1&lt;=Setup!$B$5,INDEX(Setup!$B$21:$B$28,INT(($A164-1)/Setup!$B$15)+1),"")</f>
        <v>F</v>
      </c>
      <c r="C164">
        <f>IF($B164="","",MOD($A164-1,Setup!$B$15)+1)</f>
        <v>21</v>
      </c>
      <c r="D164">
        <f>IF(OR($B164="",$C164&gt;Setup!$B$15),"",IFERROR(INDEX('Fixture Library'!$D$4:$D$200,MATCH(Setup!$B$6&amp;"-"&amp;$C164,'Fixture Library'!$A$4:$A$200,0)),""))</f>
        <v>6</v>
      </c>
      <c r="E164" t="str">
        <f>IF($R164="","",IFERROR(INDEX(Teams!$D$4:$D$67,MATCH($B164&amp;"-"&amp;$R164,Teams!$E$4:$E$67,0)),""))</f>
        <v>Team F3</v>
      </c>
      <c r="F164" s="88"/>
      <c r="G164" s="88"/>
      <c r="H164" s="88"/>
      <c r="I164" t="str">
        <f>IF($Q164&lt;&gt;"Complete","",IF(AND(ISNUMBER($G164),$G164&gt;=Setup!$B$31),Setup!$B$32,0)+IF(AND($F164&lt;$L164,$L164-$F164&lt;=Setup!$B$33),Setup!$B$34,0))</f>
        <v/>
      </c>
      <c r="J164" t="str">
        <f t="shared" si="12"/>
        <v/>
      </c>
      <c r="K164" t="str">
        <f>IF($S164="","",IFERROR(INDEX(Teams!$D$4:$D$67,MATCH($B164&amp;"-"&amp;$S164,Teams!$E$4:$E$67,0)),""))</f>
        <v>Team F1</v>
      </c>
      <c r="L164" s="88"/>
      <c r="M164" s="88"/>
      <c r="N164" s="88"/>
      <c r="O164" t="str">
        <f>IF($Q164&lt;&gt;"Complete","",IF(AND(ISNUMBER($M164),$M164&gt;=Setup!$B$31),Setup!$B$32,0)+IF(AND($L164&lt;$F164,$F164-$L164&lt;=Setup!$B$33),Setup!$B$34,0))</f>
        <v/>
      </c>
      <c r="P164" t="str">
        <f t="shared" si="13"/>
        <v/>
      </c>
      <c r="Q164" t="str">
        <f t="shared" si="14"/>
        <v>Waiting</v>
      </c>
      <c r="R164">
        <f>IF(OR($B164="",$C164&gt;Setup!$B$15),"",IFERROR(INDEX('Fixture Library'!$E$4:$E$200,MATCH(Setup!$B$6&amp;"-"&amp;$C164,'Fixture Library'!$A$4:$A$200,0)),""))</f>
        <v>3</v>
      </c>
      <c r="S164">
        <f>IF(OR($B164="",$C164&gt;Setup!$B$15),"",IFERROR(INDEX('Fixture Library'!$F$4:$F$200,MATCH(Setup!$B$6&amp;"-"&amp;$C164,'Fixture Library'!$A$4:$A$200,0)),""))</f>
        <v>1</v>
      </c>
      <c r="T164">
        <f t="shared" si="15"/>
        <v>0</v>
      </c>
      <c r="U164">
        <f t="shared" si="16"/>
        <v>0</v>
      </c>
      <c r="V164">
        <f t="shared" si="17"/>
        <v>0</v>
      </c>
    </row>
    <row r="165" spans="1:22">
      <c r="A165">
        <v>162</v>
      </c>
      <c r="B165" t="str">
        <f>IF(INT(($A165-1)/Setup!$B$15)+1&lt;=Setup!$B$5,INDEX(Setup!$B$21:$B$28,INT(($A165-1)/Setup!$B$15)+1),"")</f>
        <v>F</v>
      </c>
      <c r="C165">
        <f>IF($B165="","",MOD($A165-1,Setup!$B$15)+1)</f>
        <v>22</v>
      </c>
      <c r="D165">
        <f>IF(OR($B165="",$C165&gt;Setup!$B$15),"",IFERROR(INDEX('Fixture Library'!$D$4:$D$200,MATCH(Setup!$B$6&amp;"-"&amp;$C165,'Fixture Library'!$A$4:$A$200,0)),""))</f>
        <v>6</v>
      </c>
      <c r="E165" t="str">
        <f>IF($R165="","",IFERROR(INDEX(Teams!$D$4:$D$67,MATCH($B165&amp;"-"&amp;$R165,Teams!$E$4:$E$67,0)),""))</f>
        <v>Team F2</v>
      </c>
      <c r="F165" s="88"/>
      <c r="G165" s="88"/>
      <c r="H165" s="88"/>
      <c r="I165" t="str">
        <f>IF($Q165&lt;&gt;"Complete","",IF(AND(ISNUMBER($G165),$G165&gt;=Setup!$B$31),Setup!$B$32,0)+IF(AND($F165&lt;$L165,$L165-$F165&lt;=Setup!$B$33),Setup!$B$34,0))</f>
        <v/>
      </c>
      <c r="J165" t="str">
        <f t="shared" si="12"/>
        <v/>
      </c>
      <c r="K165" t="str">
        <f>IF($S165="","",IFERROR(INDEX(Teams!$D$4:$D$67,MATCH($B165&amp;"-"&amp;$S165,Teams!$E$4:$E$67,0)),""))</f>
        <v>Team F4</v>
      </c>
      <c r="L165" s="88"/>
      <c r="M165" s="88"/>
      <c r="N165" s="88"/>
      <c r="O165" t="str">
        <f>IF($Q165&lt;&gt;"Complete","",IF(AND(ISNUMBER($M165),$M165&gt;=Setup!$B$31),Setup!$B$32,0)+IF(AND($L165&lt;$F165,$F165-$L165&lt;=Setup!$B$33),Setup!$B$34,0))</f>
        <v/>
      </c>
      <c r="P165" t="str">
        <f t="shared" si="13"/>
        <v/>
      </c>
      <c r="Q165" t="str">
        <f t="shared" si="14"/>
        <v>Waiting</v>
      </c>
      <c r="R165">
        <f>IF(OR($B165="",$C165&gt;Setup!$B$15),"",IFERROR(INDEX('Fixture Library'!$E$4:$E$200,MATCH(Setup!$B$6&amp;"-"&amp;$C165,'Fixture Library'!$A$4:$A$200,0)),""))</f>
        <v>2</v>
      </c>
      <c r="S165">
        <f>IF(OR($B165="",$C165&gt;Setup!$B$15),"",IFERROR(INDEX('Fixture Library'!$F$4:$F$200,MATCH(Setup!$B$6&amp;"-"&amp;$C165,'Fixture Library'!$A$4:$A$200,0)),""))</f>
        <v>4</v>
      </c>
      <c r="T165">
        <f t="shared" si="15"/>
        <v>0</v>
      </c>
      <c r="U165">
        <f t="shared" si="16"/>
        <v>0</v>
      </c>
      <c r="V165">
        <f t="shared" si="17"/>
        <v>0</v>
      </c>
    </row>
    <row r="166" spans="1:22">
      <c r="A166">
        <v>163</v>
      </c>
      <c r="B166" t="str">
        <f>IF(INT(($A166-1)/Setup!$B$15)+1&lt;=Setup!$B$5,INDEX(Setup!$B$21:$B$28,INT(($A166-1)/Setup!$B$15)+1),"")</f>
        <v>F</v>
      </c>
      <c r="C166">
        <f>IF($B166="","",MOD($A166-1,Setup!$B$15)+1)</f>
        <v>23</v>
      </c>
      <c r="D166">
        <f>IF(OR($B166="",$C166&gt;Setup!$B$15),"",IFERROR(INDEX('Fixture Library'!$D$4:$D$200,MATCH(Setup!$B$6&amp;"-"&amp;$C166,'Fixture Library'!$A$4:$A$200,0)),""))</f>
        <v>6</v>
      </c>
      <c r="E166" t="str">
        <f>IF($R166="","",IFERROR(INDEX(Teams!$D$4:$D$67,MATCH($B166&amp;"-"&amp;$R166,Teams!$E$4:$E$67,0)),""))</f>
        <v>Team F8</v>
      </c>
      <c r="F166" s="88"/>
      <c r="G166" s="88"/>
      <c r="H166" s="88"/>
      <c r="I166" t="str">
        <f>IF($Q166&lt;&gt;"Complete","",IF(AND(ISNUMBER($G166),$G166&gt;=Setup!$B$31),Setup!$B$32,0)+IF(AND($F166&lt;$L166,$L166-$F166&lt;=Setup!$B$33),Setup!$B$34,0))</f>
        <v/>
      </c>
      <c r="J166" t="str">
        <f t="shared" si="12"/>
        <v/>
      </c>
      <c r="K166" t="str">
        <f>IF($S166="","",IFERROR(INDEX(Teams!$D$4:$D$67,MATCH($B166&amp;"-"&amp;$S166,Teams!$E$4:$E$67,0)),""))</f>
        <v>Team F5</v>
      </c>
      <c r="L166" s="88"/>
      <c r="M166" s="88"/>
      <c r="N166" s="88"/>
      <c r="O166" t="str">
        <f>IF($Q166&lt;&gt;"Complete","",IF(AND(ISNUMBER($M166),$M166&gt;=Setup!$B$31),Setup!$B$32,0)+IF(AND($L166&lt;$F166,$F166-$L166&lt;=Setup!$B$33),Setup!$B$34,0))</f>
        <v/>
      </c>
      <c r="P166" t="str">
        <f t="shared" si="13"/>
        <v/>
      </c>
      <c r="Q166" t="str">
        <f t="shared" si="14"/>
        <v>Waiting</v>
      </c>
      <c r="R166">
        <f>IF(OR($B166="",$C166&gt;Setup!$B$15),"",IFERROR(INDEX('Fixture Library'!$E$4:$E$200,MATCH(Setup!$B$6&amp;"-"&amp;$C166,'Fixture Library'!$A$4:$A$200,0)),""))</f>
        <v>8</v>
      </c>
      <c r="S166">
        <f>IF(OR($B166="",$C166&gt;Setup!$B$15),"",IFERROR(INDEX('Fixture Library'!$F$4:$F$200,MATCH(Setup!$B$6&amp;"-"&amp;$C166,'Fixture Library'!$A$4:$A$200,0)),""))</f>
        <v>5</v>
      </c>
      <c r="T166">
        <f t="shared" si="15"/>
        <v>0</v>
      </c>
      <c r="U166">
        <f t="shared" si="16"/>
        <v>0</v>
      </c>
      <c r="V166">
        <f t="shared" si="17"/>
        <v>0</v>
      </c>
    </row>
    <row r="167" spans="1:22">
      <c r="A167">
        <v>164</v>
      </c>
      <c r="B167" t="str">
        <f>IF(INT(($A167-1)/Setup!$B$15)+1&lt;=Setup!$B$5,INDEX(Setup!$B$21:$B$28,INT(($A167-1)/Setup!$B$15)+1),"")</f>
        <v>F</v>
      </c>
      <c r="C167">
        <f>IF($B167="","",MOD($A167-1,Setup!$B$15)+1)</f>
        <v>24</v>
      </c>
      <c r="D167">
        <f>IF(OR($B167="",$C167&gt;Setup!$B$15),"",IFERROR(INDEX('Fixture Library'!$D$4:$D$200,MATCH(Setup!$B$6&amp;"-"&amp;$C167,'Fixture Library'!$A$4:$A$200,0)),""))</f>
        <v>6</v>
      </c>
      <c r="E167" t="str">
        <f>IF($R167="","",IFERROR(INDEX(Teams!$D$4:$D$67,MATCH($B167&amp;"-"&amp;$R167,Teams!$E$4:$E$67,0)),""))</f>
        <v>Team F7</v>
      </c>
      <c r="F167" s="88"/>
      <c r="G167" s="88"/>
      <c r="H167" s="88"/>
      <c r="I167" t="str">
        <f>IF($Q167&lt;&gt;"Complete","",IF(AND(ISNUMBER($G167),$G167&gt;=Setup!$B$31),Setup!$B$32,0)+IF(AND($F167&lt;$L167,$L167-$F167&lt;=Setup!$B$33),Setup!$B$34,0))</f>
        <v/>
      </c>
      <c r="J167" t="str">
        <f t="shared" si="12"/>
        <v/>
      </c>
      <c r="K167" t="str">
        <f>IF($S167="","",IFERROR(INDEX(Teams!$D$4:$D$67,MATCH($B167&amp;"-"&amp;$S167,Teams!$E$4:$E$67,0)),""))</f>
        <v>Team F6</v>
      </c>
      <c r="L167" s="88"/>
      <c r="M167" s="88"/>
      <c r="N167" s="88"/>
      <c r="O167" t="str">
        <f>IF($Q167&lt;&gt;"Complete","",IF(AND(ISNUMBER($M167),$M167&gt;=Setup!$B$31),Setup!$B$32,0)+IF(AND($L167&lt;$F167,$F167-$L167&lt;=Setup!$B$33),Setup!$B$34,0))</f>
        <v/>
      </c>
      <c r="P167" t="str">
        <f t="shared" si="13"/>
        <v/>
      </c>
      <c r="Q167" t="str">
        <f t="shared" si="14"/>
        <v>Waiting</v>
      </c>
      <c r="R167">
        <f>IF(OR($B167="",$C167&gt;Setup!$B$15),"",IFERROR(INDEX('Fixture Library'!$E$4:$E$200,MATCH(Setup!$B$6&amp;"-"&amp;$C167,'Fixture Library'!$A$4:$A$200,0)),""))</f>
        <v>7</v>
      </c>
      <c r="S167">
        <f>IF(OR($B167="",$C167&gt;Setup!$B$15),"",IFERROR(INDEX('Fixture Library'!$F$4:$F$200,MATCH(Setup!$B$6&amp;"-"&amp;$C167,'Fixture Library'!$A$4:$A$200,0)),""))</f>
        <v>6</v>
      </c>
      <c r="T167">
        <f t="shared" si="15"/>
        <v>0</v>
      </c>
      <c r="U167">
        <f t="shared" si="16"/>
        <v>0</v>
      </c>
      <c r="V167">
        <f t="shared" si="17"/>
        <v>0</v>
      </c>
    </row>
    <row r="168" spans="1:22">
      <c r="A168">
        <v>165</v>
      </c>
      <c r="B168" t="str">
        <f>IF(INT(($A168-1)/Setup!$B$15)+1&lt;=Setup!$B$5,INDEX(Setup!$B$21:$B$28,INT(($A168-1)/Setup!$B$15)+1),"")</f>
        <v>F</v>
      </c>
      <c r="C168">
        <f>IF($B168="","",MOD($A168-1,Setup!$B$15)+1)</f>
        <v>25</v>
      </c>
      <c r="D168">
        <f>IF(OR($B168="",$C168&gt;Setup!$B$15),"",IFERROR(INDEX('Fixture Library'!$D$4:$D$200,MATCH(Setup!$B$6&amp;"-"&amp;$C168,'Fixture Library'!$A$4:$A$200,0)),""))</f>
        <v>7</v>
      </c>
      <c r="E168" t="str">
        <f>IF($R168="","",IFERROR(INDEX(Teams!$D$4:$D$67,MATCH($B168&amp;"-"&amp;$R168,Teams!$E$4:$E$67,0)),""))</f>
        <v>Team F1</v>
      </c>
      <c r="F168" s="88"/>
      <c r="G168" s="88"/>
      <c r="H168" s="88"/>
      <c r="I168" t="str">
        <f>IF($Q168&lt;&gt;"Complete","",IF(AND(ISNUMBER($G168),$G168&gt;=Setup!$B$31),Setup!$B$32,0)+IF(AND($F168&lt;$L168,$L168-$F168&lt;=Setup!$B$33),Setup!$B$34,0))</f>
        <v/>
      </c>
      <c r="J168" t="str">
        <f t="shared" si="12"/>
        <v/>
      </c>
      <c r="K168" t="str">
        <f>IF($S168="","",IFERROR(INDEX(Teams!$D$4:$D$67,MATCH($B168&amp;"-"&amp;$S168,Teams!$E$4:$E$67,0)),""))</f>
        <v>Team F2</v>
      </c>
      <c r="L168" s="88"/>
      <c r="M168" s="88"/>
      <c r="N168" s="88"/>
      <c r="O168" t="str">
        <f>IF($Q168&lt;&gt;"Complete","",IF(AND(ISNUMBER($M168),$M168&gt;=Setup!$B$31),Setup!$B$32,0)+IF(AND($L168&lt;$F168,$F168-$L168&lt;=Setup!$B$33),Setup!$B$34,0))</f>
        <v/>
      </c>
      <c r="P168" t="str">
        <f t="shared" si="13"/>
        <v/>
      </c>
      <c r="Q168" t="str">
        <f t="shared" si="14"/>
        <v>Waiting</v>
      </c>
      <c r="R168">
        <f>IF(OR($B168="",$C168&gt;Setup!$B$15),"",IFERROR(INDEX('Fixture Library'!$E$4:$E$200,MATCH(Setup!$B$6&amp;"-"&amp;$C168,'Fixture Library'!$A$4:$A$200,0)),""))</f>
        <v>1</v>
      </c>
      <c r="S168">
        <f>IF(OR($B168="",$C168&gt;Setup!$B$15),"",IFERROR(INDEX('Fixture Library'!$F$4:$F$200,MATCH(Setup!$B$6&amp;"-"&amp;$C168,'Fixture Library'!$A$4:$A$200,0)),""))</f>
        <v>2</v>
      </c>
      <c r="T168">
        <f t="shared" si="15"/>
        <v>0</v>
      </c>
      <c r="U168">
        <f t="shared" si="16"/>
        <v>0</v>
      </c>
      <c r="V168">
        <f t="shared" si="17"/>
        <v>0</v>
      </c>
    </row>
    <row r="169" spans="1:22">
      <c r="A169">
        <v>166</v>
      </c>
      <c r="B169" t="str">
        <f>IF(INT(($A169-1)/Setup!$B$15)+1&lt;=Setup!$B$5,INDEX(Setup!$B$21:$B$28,INT(($A169-1)/Setup!$B$15)+1),"")</f>
        <v>F</v>
      </c>
      <c r="C169">
        <f>IF($B169="","",MOD($A169-1,Setup!$B$15)+1)</f>
        <v>26</v>
      </c>
      <c r="D169">
        <f>IF(OR($B169="",$C169&gt;Setup!$B$15),"",IFERROR(INDEX('Fixture Library'!$D$4:$D$200,MATCH(Setup!$B$6&amp;"-"&amp;$C169,'Fixture Library'!$A$4:$A$200,0)),""))</f>
        <v>7</v>
      </c>
      <c r="E169" t="str">
        <f>IF($R169="","",IFERROR(INDEX(Teams!$D$4:$D$67,MATCH($B169&amp;"-"&amp;$R169,Teams!$E$4:$E$67,0)),""))</f>
        <v>Team F3</v>
      </c>
      <c r="F169" s="88"/>
      <c r="G169" s="88"/>
      <c r="H169" s="88"/>
      <c r="I169" t="str">
        <f>IF($Q169&lt;&gt;"Complete","",IF(AND(ISNUMBER($G169),$G169&gt;=Setup!$B$31),Setup!$B$32,0)+IF(AND($F169&lt;$L169,$L169-$F169&lt;=Setup!$B$33),Setup!$B$34,0))</f>
        <v/>
      </c>
      <c r="J169" t="str">
        <f t="shared" si="12"/>
        <v/>
      </c>
      <c r="K169" t="str">
        <f>IF($S169="","",IFERROR(INDEX(Teams!$D$4:$D$67,MATCH($B169&amp;"-"&amp;$S169,Teams!$E$4:$E$67,0)),""))</f>
        <v>Team F8</v>
      </c>
      <c r="L169" s="88"/>
      <c r="M169" s="88"/>
      <c r="N169" s="88"/>
      <c r="O169" t="str">
        <f>IF($Q169&lt;&gt;"Complete","",IF(AND(ISNUMBER($M169),$M169&gt;=Setup!$B$31),Setup!$B$32,0)+IF(AND($L169&lt;$F169,$F169-$L169&lt;=Setup!$B$33),Setup!$B$34,0))</f>
        <v/>
      </c>
      <c r="P169" t="str">
        <f t="shared" si="13"/>
        <v/>
      </c>
      <c r="Q169" t="str">
        <f t="shared" si="14"/>
        <v>Waiting</v>
      </c>
      <c r="R169">
        <f>IF(OR($B169="",$C169&gt;Setup!$B$15),"",IFERROR(INDEX('Fixture Library'!$E$4:$E$200,MATCH(Setup!$B$6&amp;"-"&amp;$C169,'Fixture Library'!$A$4:$A$200,0)),""))</f>
        <v>3</v>
      </c>
      <c r="S169">
        <f>IF(OR($B169="",$C169&gt;Setup!$B$15),"",IFERROR(INDEX('Fixture Library'!$F$4:$F$200,MATCH(Setup!$B$6&amp;"-"&amp;$C169,'Fixture Library'!$A$4:$A$200,0)),""))</f>
        <v>8</v>
      </c>
      <c r="T169">
        <f t="shared" si="15"/>
        <v>0</v>
      </c>
      <c r="U169">
        <f t="shared" si="16"/>
        <v>0</v>
      </c>
      <c r="V169">
        <f t="shared" si="17"/>
        <v>0</v>
      </c>
    </row>
    <row r="170" spans="1:22">
      <c r="A170">
        <v>167</v>
      </c>
      <c r="B170" t="str">
        <f>IF(INT(($A170-1)/Setup!$B$15)+1&lt;=Setup!$B$5,INDEX(Setup!$B$21:$B$28,INT(($A170-1)/Setup!$B$15)+1),"")</f>
        <v>F</v>
      </c>
      <c r="C170">
        <f>IF($B170="","",MOD($A170-1,Setup!$B$15)+1)</f>
        <v>27</v>
      </c>
      <c r="D170">
        <f>IF(OR($B170="",$C170&gt;Setup!$B$15),"",IFERROR(INDEX('Fixture Library'!$D$4:$D$200,MATCH(Setup!$B$6&amp;"-"&amp;$C170,'Fixture Library'!$A$4:$A$200,0)),""))</f>
        <v>7</v>
      </c>
      <c r="E170" t="str">
        <f>IF($R170="","",IFERROR(INDEX(Teams!$D$4:$D$67,MATCH($B170&amp;"-"&amp;$R170,Teams!$E$4:$E$67,0)),""))</f>
        <v>Team F4</v>
      </c>
      <c r="F170" s="88"/>
      <c r="G170" s="88"/>
      <c r="H170" s="88"/>
      <c r="I170" t="str">
        <f>IF($Q170&lt;&gt;"Complete","",IF(AND(ISNUMBER($G170),$G170&gt;=Setup!$B$31),Setup!$B$32,0)+IF(AND($F170&lt;$L170,$L170-$F170&lt;=Setup!$B$33),Setup!$B$34,0))</f>
        <v/>
      </c>
      <c r="J170" t="str">
        <f t="shared" si="12"/>
        <v/>
      </c>
      <c r="K170" t="str">
        <f>IF($S170="","",IFERROR(INDEX(Teams!$D$4:$D$67,MATCH($B170&amp;"-"&amp;$S170,Teams!$E$4:$E$67,0)),""))</f>
        <v>Team F7</v>
      </c>
      <c r="L170" s="88"/>
      <c r="M170" s="88"/>
      <c r="N170" s="88"/>
      <c r="O170" t="str">
        <f>IF($Q170&lt;&gt;"Complete","",IF(AND(ISNUMBER($M170),$M170&gt;=Setup!$B$31),Setup!$B$32,0)+IF(AND($L170&lt;$F170,$F170-$L170&lt;=Setup!$B$33),Setup!$B$34,0))</f>
        <v/>
      </c>
      <c r="P170" t="str">
        <f t="shared" si="13"/>
        <v/>
      </c>
      <c r="Q170" t="str">
        <f t="shared" si="14"/>
        <v>Waiting</v>
      </c>
      <c r="R170">
        <f>IF(OR($B170="",$C170&gt;Setup!$B$15),"",IFERROR(INDEX('Fixture Library'!$E$4:$E$200,MATCH(Setup!$B$6&amp;"-"&amp;$C170,'Fixture Library'!$A$4:$A$200,0)),""))</f>
        <v>4</v>
      </c>
      <c r="S170">
        <f>IF(OR($B170="",$C170&gt;Setup!$B$15),"",IFERROR(INDEX('Fixture Library'!$F$4:$F$200,MATCH(Setup!$B$6&amp;"-"&amp;$C170,'Fixture Library'!$A$4:$A$200,0)),""))</f>
        <v>7</v>
      </c>
      <c r="T170">
        <f t="shared" si="15"/>
        <v>0</v>
      </c>
      <c r="U170">
        <f t="shared" si="16"/>
        <v>0</v>
      </c>
      <c r="V170">
        <f t="shared" si="17"/>
        <v>0</v>
      </c>
    </row>
    <row r="171" spans="1:22">
      <c r="A171">
        <v>168</v>
      </c>
      <c r="B171" t="str">
        <f>IF(INT(($A171-1)/Setup!$B$15)+1&lt;=Setup!$B$5,INDEX(Setup!$B$21:$B$28,INT(($A171-1)/Setup!$B$15)+1),"")</f>
        <v>F</v>
      </c>
      <c r="C171">
        <f>IF($B171="","",MOD($A171-1,Setup!$B$15)+1)</f>
        <v>28</v>
      </c>
      <c r="D171">
        <f>IF(OR($B171="",$C171&gt;Setup!$B$15),"",IFERROR(INDEX('Fixture Library'!$D$4:$D$200,MATCH(Setup!$B$6&amp;"-"&amp;$C171,'Fixture Library'!$A$4:$A$200,0)),""))</f>
        <v>7</v>
      </c>
      <c r="E171" t="str">
        <f>IF($R171="","",IFERROR(INDEX(Teams!$D$4:$D$67,MATCH($B171&amp;"-"&amp;$R171,Teams!$E$4:$E$67,0)),""))</f>
        <v>Team F5</v>
      </c>
      <c r="F171" s="88"/>
      <c r="G171" s="88"/>
      <c r="H171" s="88"/>
      <c r="I171" t="str">
        <f>IF($Q171&lt;&gt;"Complete","",IF(AND(ISNUMBER($G171),$G171&gt;=Setup!$B$31),Setup!$B$32,0)+IF(AND($F171&lt;$L171,$L171-$F171&lt;=Setup!$B$33),Setup!$B$34,0))</f>
        <v/>
      </c>
      <c r="J171" t="str">
        <f t="shared" si="12"/>
        <v/>
      </c>
      <c r="K171" t="str">
        <f>IF($S171="","",IFERROR(INDEX(Teams!$D$4:$D$67,MATCH($B171&amp;"-"&amp;$S171,Teams!$E$4:$E$67,0)),""))</f>
        <v>Team F6</v>
      </c>
      <c r="L171" s="88"/>
      <c r="M171" s="88"/>
      <c r="N171" s="88"/>
      <c r="O171" t="str">
        <f>IF($Q171&lt;&gt;"Complete","",IF(AND(ISNUMBER($M171),$M171&gt;=Setup!$B$31),Setup!$B$32,0)+IF(AND($L171&lt;$F171,$F171-$L171&lt;=Setup!$B$33),Setup!$B$34,0))</f>
        <v/>
      </c>
      <c r="P171" t="str">
        <f t="shared" si="13"/>
        <v/>
      </c>
      <c r="Q171" t="str">
        <f t="shared" si="14"/>
        <v>Waiting</v>
      </c>
      <c r="R171">
        <f>IF(OR($B171="",$C171&gt;Setup!$B$15),"",IFERROR(INDEX('Fixture Library'!$E$4:$E$200,MATCH(Setup!$B$6&amp;"-"&amp;$C171,'Fixture Library'!$A$4:$A$200,0)),""))</f>
        <v>5</v>
      </c>
      <c r="S171">
        <f>IF(OR($B171="",$C171&gt;Setup!$B$15),"",IFERROR(INDEX('Fixture Library'!$F$4:$F$200,MATCH(Setup!$B$6&amp;"-"&amp;$C171,'Fixture Library'!$A$4:$A$200,0)),""))</f>
        <v>6</v>
      </c>
      <c r="T171">
        <f t="shared" si="15"/>
        <v>0</v>
      </c>
      <c r="U171">
        <f t="shared" si="16"/>
        <v>0</v>
      </c>
      <c r="V171">
        <f t="shared" si="17"/>
        <v>0</v>
      </c>
    </row>
    <row r="172" spans="1:22">
      <c r="A172">
        <v>169</v>
      </c>
      <c r="B172" t="str">
        <f>IF(INT(($A172-1)/Setup!$B$15)+1&lt;=Setup!$B$5,INDEX(Setup!$B$21:$B$28,INT(($A172-1)/Setup!$B$15)+1),"")</f>
        <v>G</v>
      </c>
      <c r="C172">
        <f>IF($B172="","",MOD($A172-1,Setup!$B$15)+1)</f>
        <v>1</v>
      </c>
      <c r="D172">
        <f>IF(OR($B172="",$C172&gt;Setup!$B$15),"",IFERROR(INDEX('Fixture Library'!$D$4:$D$200,MATCH(Setup!$B$6&amp;"-"&amp;$C172,'Fixture Library'!$A$4:$A$200,0)),""))</f>
        <v>1</v>
      </c>
      <c r="E172" t="str">
        <f>IF($R172="","",IFERROR(INDEX(Teams!$D$4:$D$67,MATCH($B172&amp;"-"&amp;$R172,Teams!$E$4:$E$67,0)),""))</f>
        <v>Team G1</v>
      </c>
      <c r="F172" s="88"/>
      <c r="G172" s="88"/>
      <c r="H172" s="88"/>
      <c r="I172" t="str">
        <f>IF($Q172&lt;&gt;"Complete","",IF(AND(ISNUMBER($G172),$G172&gt;=Setup!$B$31),Setup!$B$32,0)+IF(AND($F172&lt;$L172,$L172-$F172&lt;=Setup!$B$33),Setup!$B$34,0))</f>
        <v/>
      </c>
      <c r="J172" t="str">
        <f t="shared" si="12"/>
        <v/>
      </c>
      <c r="K172" t="str">
        <f>IF($S172="","",IFERROR(INDEX(Teams!$D$4:$D$67,MATCH($B172&amp;"-"&amp;$S172,Teams!$E$4:$E$67,0)),""))</f>
        <v>Team G8</v>
      </c>
      <c r="L172" s="88"/>
      <c r="M172" s="88"/>
      <c r="N172" s="88"/>
      <c r="O172" t="str">
        <f>IF($Q172&lt;&gt;"Complete","",IF(AND(ISNUMBER($M172),$M172&gt;=Setup!$B$31),Setup!$B$32,0)+IF(AND($L172&lt;$F172,$F172-$L172&lt;=Setup!$B$33),Setup!$B$34,0))</f>
        <v/>
      </c>
      <c r="P172" t="str">
        <f t="shared" si="13"/>
        <v/>
      </c>
      <c r="Q172" t="str">
        <f t="shared" si="14"/>
        <v>Waiting</v>
      </c>
      <c r="R172">
        <f>IF(OR($B172="",$C172&gt;Setup!$B$15),"",IFERROR(INDEX('Fixture Library'!$E$4:$E$200,MATCH(Setup!$B$6&amp;"-"&amp;$C172,'Fixture Library'!$A$4:$A$200,0)),""))</f>
        <v>1</v>
      </c>
      <c r="S172">
        <f>IF(OR($B172="",$C172&gt;Setup!$B$15),"",IFERROR(INDEX('Fixture Library'!$F$4:$F$200,MATCH(Setup!$B$6&amp;"-"&amp;$C172,'Fixture Library'!$A$4:$A$200,0)),""))</f>
        <v>8</v>
      </c>
      <c r="T172">
        <f t="shared" si="15"/>
        <v>0</v>
      </c>
      <c r="U172">
        <f t="shared" si="16"/>
        <v>0</v>
      </c>
      <c r="V172">
        <f t="shared" si="17"/>
        <v>0</v>
      </c>
    </row>
    <row r="173" spans="1:22">
      <c r="A173">
        <v>170</v>
      </c>
      <c r="B173" t="str">
        <f>IF(INT(($A173-1)/Setup!$B$15)+1&lt;=Setup!$B$5,INDEX(Setup!$B$21:$B$28,INT(($A173-1)/Setup!$B$15)+1),"")</f>
        <v>G</v>
      </c>
      <c r="C173">
        <f>IF($B173="","",MOD($A173-1,Setup!$B$15)+1)</f>
        <v>2</v>
      </c>
      <c r="D173">
        <f>IF(OR($B173="",$C173&gt;Setup!$B$15),"",IFERROR(INDEX('Fixture Library'!$D$4:$D$200,MATCH(Setup!$B$6&amp;"-"&amp;$C173,'Fixture Library'!$A$4:$A$200,0)),""))</f>
        <v>1</v>
      </c>
      <c r="E173" t="str">
        <f>IF($R173="","",IFERROR(INDEX(Teams!$D$4:$D$67,MATCH($B173&amp;"-"&amp;$R173,Teams!$E$4:$E$67,0)),""))</f>
        <v>Team G2</v>
      </c>
      <c r="F173" s="88"/>
      <c r="G173" s="88"/>
      <c r="H173" s="88"/>
      <c r="I173" t="str">
        <f>IF($Q173&lt;&gt;"Complete","",IF(AND(ISNUMBER($G173),$G173&gt;=Setup!$B$31),Setup!$B$32,0)+IF(AND($F173&lt;$L173,$L173-$F173&lt;=Setup!$B$33),Setup!$B$34,0))</f>
        <v/>
      </c>
      <c r="J173" t="str">
        <f t="shared" si="12"/>
        <v/>
      </c>
      <c r="K173" t="str">
        <f>IF($S173="","",IFERROR(INDEX(Teams!$D$4:$D$67,MATCH($B173&amp;"-"&amp;$S173,Teams!$E$4:$E$67,0)),""))</f>
        <v>Team G7</v>
      </c>
      <c r="L173" s="88"/>
      <c r="M173" s="88"/>
      <c r="N173" s="88"/>
      <c r="O173" t="str">
        <f>IF($Q173&lt;&gt;"Complete","",IF(AND(ISNUMBER($M173),$M173&gt;=Setup!$B$31),Setup!$B$32,0)+IF(AND($L173&lt;$F173,$F173-$L173&lt;=Setup!$B$33),Setup!$B$34,0))</f>
        <v/>
      </c>
      <c r="P173" t="str">
        <f t="shared" si="13"/>
        <v/>
      </c>
      <c r="Q173" t="str">
        <f t="shared" si="14"/>
        <v>Waiting</v>
      </c>
      <c r="R173">
        <f>IF(OR($B173="",$C173&gt;Setup!$B$15),"",IFERROR(INDEX('Fixture Library'!$E$4:$E$200,MATCH(Setup!$B$6&amp;"-"&amp;$C173,'Fixture Library'!$A$4:$A$200,0)),""))</f>
        <v>2</v>
      </c>
      <c r="S173">
        <f>IF(OR($B173="",$C173&gt;Setup!$B$15),"",IFERROR(INDEX('Fixture Library'!$F$4:$F$200,MATCH(Setup!$B$6&amp;"-"&amp;$C173,'Fixture Library'!$A$4:$A$200,0)),""))</f>
        <v>7</v>
      </c>
      <c r="T173">
        <f t="shared" si="15"/>
        <v>0</v>
      </c>
      <c r="U173">
        <f t="shared" si="16"/>
        <v>0</v>
      </c>
      <c r="V173">
        <f t="shared" si="17"/>
        <v>0</v>
      </c>
    </row>
    <row r="174" spans="1:22">
      <c r="A174">
        <v>171</v>
      </c>
      <c r="B174" t="str">
        <f>IF(INT(($A174-1)/Setup!$B$15)+1&lt;=Setup!$B$5,INDEX(Setup!$B$21:$B$28,INT(($A174-1)/Setup!$B$15)+1),"")</f>
        <v>G</v>
      </c>
      <c r="C174">
        <f>IF($B174="","",MOD($A174-1,Setup!$B$15)+1)</f>
        <v>3</v>
      </c>
      <c r="D174">
        <f>IF(OR($B174="",$C174&gt;Setup!$B$15),"",IFERROR(INDEX('Fixture Library'!$D$4:$D$200,MATCH(Setup!$B$6&amp;"-"&amp;$C174,'Fixture Library'!$A$4:$A$200,0)),""))</f>
        <v>1</v>
      </c>
      <c r="E174" t="str">
        <f>IF($R174="","",IFERROR(INDEX(Teams!$D$4:$D$67,MATCH($B174&amp;"-"&amp;$R174,Teams!$E$4:$E$67,0)),""))</f>
        <v>Team G3</v>
      </c>
      <c r="F174" s="88"/>
      <c r="G174" s="88"/>
      <c r="H174" s="88"/>
      <c r="I174" t="str">
        <f>IF($Q174&lt;&gt;"Complete","",IF(AND(ISNUMBER($G174),$G174&gt;=Setup!$B$31),Setup!$B$32,0)+IF(AND($F174&lt;$L174,$L174-$F174&lt;=Setup!$B$33),Setup!$B$34,0))</f>
        <v/>
      </c>
      <c r="J174" t="str">
        <f t="shared" si="12"/>
        <v/>
      </c>
      <c r="K174" t="str">
        <f>IF($S174="","",IFERROR(INDEX(Teams!$D$4:$D$67,MATCH($B174&amp;"-"&amp;$S174,Teams!$E$4:$E$67,0)),""))</f>
        <v>Team G6</v>
      </c>
      <c r="L174" s="88"/>
      <c r="M174" s="88"/>
      <c r="N174" s="88"/>
      <c r="O174" t="str">
        <f>IF($Q174&lt;&gt;"Complete","",IF(AND(ISNUMBER($M174),$M174&gt;=Setup!$B$31),Setup!$B$32,0)+IF(AND($L174&lt;$F174,$F174-$L174&lt;=Setup!$B$33),Setup!$B$34,0))</f>
        <v/>
      </c>
      <c r="P174" t="str">
        <f t="shared" si="13"/>
        <v/>
      </c>
      <c r="Q174" t="str">
        <f t="shared" si="14"/>
        <v>Waiting</v>
      </c>
      <c r="R174">
        <f>IF(OR($B174="",$C174&gt;Setup!$B$15),"",IFERROR(INDEX('Fixture Library'!$E$4:$E$200,MATCH(Setup!$B$6&amp;"-"&amp;$C174,'Fixture Library'!$A$4:$A$200,0)),""))</f>
        <v>3</v>
      </c>
      <c r="S174">
        <f>IF(OR($B174="",$C174&gt;Setup!$B$15),"",IFERROR(INDEX('Fixture Library'!$F$4:$F$200,MATCH(Setup!$B$6&amp;"-"&amp;$C174,'Fixture Library'!$A$4:$A$200,0)),""))</f>
        <v>6</v>
      </c>
      <c r="T174">
        <f t="shared" si="15"/>
        <v>0</v>
      </c>
      <c r="U174">
        <f t="shared" si="16"/>
        <v>0</v>
      </c>
      <c r="V174">
        <f t="shared" si="17"/>
        <v>0</v>
      </c>
    </row>
    <row r="175" spans="1:22">
      <c r="A175">
        <v>172</v>
      </c>
      <c r="B175" t="str">
        <f>IF(INT(($A175-1)/Setup!$B$15)+1&lt;=Setup!$B$5,INDEX(Setup!$B$21:$B$28,INT(($A175-1)/Setup!$B$15)+1),"")</f>
        <v>G</v>
      </c>
      <c r="C175">
        <f>IF($B175="","",MOD($A175-1,Setup!$B$15)+1)</f>
        <v>4</v>
      </c>
      <c r="D175">
        <f>IF(OR($B175="",$C175&gt;Setup!$B$15),"",IFERROR(INDEX('Fixture Library'!$D$4:$D$200,MATCH(Setup!$B$6&amp;"-"&amp;$C175,'Fixture Library'!$A$4:$A$200,0)),""))</f>
        <v>1</v>
      </c>
      <c r="E175" t="str">
        <f>IF($R175="","",IFERROR(INDEX(Teams!$D$4:$D$67,MATCH($B175&amp;"-"&amp;$R175,Teams!$E$4:$E$67,0)),""))</f>
        <v>Team G4</v>
      </c>
      <c r="F175" s="88"/>
      <c r="G175" s="88"/>
      <c r="H175" s="88"/>
      <c r="I175" t="str">
        <f>IF($Q175&lt;&gt;"Complete","",IF(AND(ISNUMBER($G175),$G175&gt;=Setup!$B$31),Setup!$B$32,0)+IF(AND($F175&lt;$L175,$L175-$F175&lt;=Setup!$B$33),Setup!$B$34,0))</f>
        <v/>
      </c>
      <c r="J175" t="str">
        <f t="shared" si="12"/>
        <v/>
      </c>
      <c r="K175" t="str">
        <f>IF($S175="","",IFERROR(INDEX(Teams!$D$4:$D$67,MATCH($B175&amp;"-"&amp;$S175,Teams!$E$4:$E$67,0)),""))</f>
        <v>Team G5</v>
      </c>
      <c r="L175" s="88"/>
      <c r="M175" s="88"/>
      <c r="N175" s="88"/>
      <c r="O175" t="str">
        <f>IF($Q175&lt;&gt;"Complete","",IF(AND(ISNUMBER($M175),$M175&gt;=Setup!$B$31),Setup!$B$32,0)+IF(AND($L175&lt;$F175,$F175-$L175&lt;=Setup!$B$33),Setup!$B$34,0))</f>
        <v/>
      </c>
      <c r="P175" t="str">
        <f t="shared" si="13"/>
        <v/>
      </c>
      <c r="Q175" t="str">
        <f t="shared" si="14"/>
        <v>Waiting</v>
      </c>
      <c r="R175">
        <f>IF(OR($B175="",$C175&gt;Setup!$B$15),"",IFERROR(INDEX('Fixture Library'!$E$4:$E$200,MATCH(Setup!$B$6&amp;"-"&amp;$C175,'Fixture Library'!$A$4:$A$200,0)),""))</f>
        <v>4</v>
      </c>
      <c r="S175">
        <f>IF(OR($B175="",$C175&gt;Setup!$B$15),"",IFERROR(INDEX('Fixture Library'!$F$4:$F$200,MATCH(Setup!$B$6&amp;"-"&amp;$C175,'Fixture Library'!$A$4:$A$200,0)),""))</f>
        <v>5</v>
      </c>
      <c r="T175">
        <f t="shared" si="15"/>
        <v>0</v>
      </c>
      <c r="U175">
        <f t="shared" si="16"/>
        <v>0</v>
      </c>
      <c r="V175">
        <f t="shared" si="17"/>
        <v>0</v>
      </c>
    </row>
    <row r="176" spans="1:22">
      <c r="A176">
        <v>173</v>
      </c>
      <c r="B176" t="str">
        <f>IF(INT(($A176-1)/Setup!$B$15)+1&lt;=Setup!$B$5,INDEX(Setup!$B$21:$B$28,INT(($A176-1)/Setup!$B$15)+1),"")</f>
        <v>G</v>
      </c>
      <c r="C176">
        <f>IF($B176="","",MOD($A176-1,Setup!$B$15)+1)</f>
        <v>5</v>
      </c>
      <c r="D176">
        <f>IF(OR($B176="",$C176&gt;Setup!$B$15),"",IFERROR(INDEX('Fixture Library'!$D$4:$D$200,MATCH(Setup!$B$6&amp;"-"&amp;$C176,'Fixture Library'!$A$4:$A$200,0)),""))</f>
        <v>2</v>
      </c>
      <c r="E176" t="str">
        <f>IF($R176="","",IFERROR(INDEX(Teams!$D$4:$D$67,MATCH($B176&amp;"-"&amp;$R176,Teams!$E$4:$E$67,0)),""))</f>
        <v>Team G7</v>
      </c>
      <c r="F176" s="88"/>
      <c r="G176" s="88"/>
      <c r="H176" s="88"/>
      <c r="I176" t="str">
        <f>IF($Q176&lt;&gt;"Complete","",IF(AND(ISNUMBER($G176),$G176&gt;=Setup!$B$31),Setup!$B$32,0)+IF(AND($F176&lt;$L176,$L176-$F176&lt;=Setup!$B$33),Setup!$B$34,0))</f>
        <v/>
      </c>
      <c r="J176" t="str">
        <f t="shared" si="12"/>
        <v/>
      </c>
      <c r="K176" t="str">
        <f>IF($S176="","",IFERROR(INDEX(Teams!$D$4:$D$67,MATCH($B176&amp;"-"&amp;$S176,Teams!$E$4:$E$67,0)),""))</f>
        <v>Team G1</v>
      </c>
      <c r="L176" s="88"/>
      <c r="M176" s="88"/>
      <c r="N176" s="88"/>
      <c r="O176" t="str">
        <f>IF($Q176&lt;&gt;"Complete","",IF(AND(ISNUMBER($M176),$M176&gt;=Setup!$B$31),Setup!$B$32,0)+IF(AND($L176&lt;$F176,$F176-$L176&lt;=Setup!$B$33),Setup!$B$34,0))</f>
        <v/>
      </c>
      <c r="P176" t="str">
        <f t="shared" si="13"/>
        <v/>
      </c>
      <c r="Q176" t="str">
        <f t="shared" si="14"/>
        <v>Waiting</v>
      </c>
      <c r="R176">
        <f>IF(OR($B176="",$C176&gt;Setup!$B$15),"",IFERROR(INDEX('Fixture Library'!$E$4:$E$200,MATCH(Setup!$B$6&amp;"-"&amp;$C176,'Fixture Library'!$A$4:$A$200,0)),""))</f>
        <v>7</v>
      </c>
      <c r="S176">
        <f>IF(OR($B176="",$C176&gt;Setup!$B$15),"",IFERROR(INDEX('Fixture Library'!$F$4:$F$200,MATCH(Setup!$B$6&amp;"-"&amp;$C176,'Fixture Library'!$A$4:$A$200,0)),""))</f>
        <v>1</v>
      </c>
      <c r="T176">
        <f t="shared" si="15"/>
        <v>0</v>
      </c>
      <c r="U176">
        <f t="shared" si="16"/>
        <v>0</v>
      </c>
      <c r="V176">
        <f t="shared" si="17"/>
        <v>0</v>
      </c>
    </row>
    <row r="177" spans="1:22">
      <c r="A177">
        <v>174</v>
      </c>
      <c r="B177" t="str">
        <f>IF(INT(($A177-1)/Setup!$B$15)+1&lt;=Setup!$B$5,INDEX(Setup!$B$21:$B$28,INT(($A177-1)/Setup!$B$15)+1),"")</f>
        <v>G</v>
      </c>
      <c r="C177">
        <f>IF($B177="","",MOD($A177-1,Setup!$B$15)+1)</f>
        <v>6</v>
      </c>
      <c r="D177">
        <f>IF(OR($B177="",$C177&gt;Setup!$B$15),"",IFERROR(INDEX('Fixture Library'!$D$4:$D$200,MATCH(Setup!$B$6&amp;"-"&amp;$C177,'Fixture Library'!$A$4:$A$200,0)),""))</f>
        <v>2</v>
      </c>
      <c r="E177" t="str">
        <f>IF($R177="","",IFERROR(INDEX(Teams!$D$4:$D$67,MATCH($B177&amp;"-"&amp;$R177,Teams!$E$4:$E$67,0)),""))</f>
        <v>Team G6</v>
      </c>
      <c r="F177" s="88"/>
      <c r="G177" s="88"/>
      <c r="H177" s="88"/>
      <c r="I177" t="str">
        <f>IF($Q177&lt;&gt;"Complete","",IF(AND(ISNUMBER($G177),$G177&gt;=Setup!$B$31),Setup!$B$32,0)+IF(AND($F177&lt;$L177,$L177-$F177&lt;=Setup!$B$33),Setup!$B$34,0))</f>
        <v/>
      </c>
      <c r="J177" t="str">
        <f t="shared" si="12"/>
        <v/>
      </c>
      <c r="K177" t="str">
        <f>IF($S177="","",IFERROR(INDEX(Teams!$D$4:$D$67,MATCH($B177&amp;"-"&amp;$S177,Teams!$E$4:$E$67,0)),""))</f>
        <v>Team G8</v>
      </c>
      <c r="L177" s="88"/>
      <c r="M177" s="88"/>
      <c r="N177" s="88"/>
      <c r="O177" t="str">
        <f>IF($Q177&lt;&gt;"Complete","",IF(AND(ISNUMBER($M177),$M177&gt;=Setup!$B$31),Setup!$B$32,0)+IF(AND($L177&lt;$F177,$F177-$L177&lt;=Setup!$B$33),Setup!$B$34,0))</f>
        <v/>
      </c>
      <c r="P177" t="str">
        <f t="shared" si="13"/>
        <v/>
      </c>
      <c r="Q177" t="str">
        <f t="shared" si="14"/>
        <v>Waiting</v>
      </c>
      <c r="R177">
        <f>IF(OR($B177="",$C177&gt;Setup!$B$15),"",IFERROR(INDEX('Fixture Library'!$E$4:$E$200,MATCH(Setup!$B$6&amp;"-"&amp;$C177,'Fixture Library'!$A$4:$A$200,0)),""))</f>
        <v>6</v>
      </c>
      <c r="S177">
        <f>IF(OR($B177="",$C177&gt;Setup!$B$15),"",IFERROR(INDEX('Fixture Library'!$F$4:$F$200,MATCH(Setup!$B$6&amp;"-"&amp;$C177,'Fixture Library'!$A$4:$A$200,0)),""))</f>
        <v>8</v>
      </c>
      <c r="T177">
        <f t="shared" si="15"/>
        <v>0</v>
      </c>
      <c r="U177">
        <f t="shared" si="16"/>
        <v>0</v>
      </c>
      <c r="V177">
        <f t="shared" si="17"/>
        <v>0</v>
      </c>
    </row>
    <row r="178" spans="1:22">
      <c r="A178">
        <v>175</v>
      </c>
      <c r="B178" t="str">
        <f>IF(INT(($A178-1)/Setup!$B$15)+1&lt;=Setup!$B$5,INDEX(Setup!$B$21:$B$28,INT(($A178-1)/Setup!$B$15)+1),"")</f>
        <v>G</v>
      </c>
      <c r="C178">
        <f>IF($B178="","",MOD($A178-1,Setup!$B$15)+1)</f>
        <v>7</v>
      </c>
      <c r="D178">
        <f>IF(OR($B178="",$C178&gt;Setup!$B$15),"",IFERROR(INDEX('Fixture Library'!$D$4:$D$200,MATCH(Setup!$B$6&amp;"-"&amp;$C178,'Fixture Library'!$A$4:$A$200,0)),""))</f>
        <v>2</v>
      </c>
      <c r="E178" t="str">
        <f>IF($R178="","",IFERROR(INDEX(Teams!$D$4:$D$67,MATCH($B178&amp;"-"&amp;$R178,Teams!$E$4:$E$67,0)),""))</f>
        <v>Team G5</v>
      </c>
      <c r="F178" s="88"/>
      <c r="G178" s="88"/>
      <c r="H178" s="88"/>
      <c r="I178" t="str">
        <f>IF($Q178&lt;&gt;"Complete","",IF(AND(ISNUMBER($G178),$G178&gt;=Setup!$B$31),Setup!$B$32,0)+IF(AND($F178&lt;$L178,$L178-$F178&lt;=Setup!$B$33),Setup!$B$34,0))</f>
        <v/>
      </c>
      <c r="J178" t="str">
        <f t="shared" si="12"/>
        <v/>
      </c>
      <c r="K178" t="str">
        <f>IF($S178="","",IFERROR(INDEX(Teams!$D$4:$D$67,MATCH($B178&amp;"-"&amp;$S178,Teams!$E$4:$E$67,0)),""))</f>
        <v>Team G2</v>
      </c>
      <c r="L178" s="88"/>
      <c r="M178" s="88"/>
      <c r="N178" s="88"/>
      <c r="O178" t="str">
        <f>IF($Q178&lt;&gt;"Complete","",IF(AND(ISNUMBER($M178),$M178&gt;=Setup!$B$31),Setup!$B$32,0)+IF(AND($L178&lt;$F178,$F178-$L178&lt;=Setup!$B$33),Setup!$B$34,0))</f>
        <v/>
      </c>
      <c r="P178" t="str">
        <f t="shared" si="13"/>
        <v/>
      </c>
      <c r="Q178" t="str">
        <f t="shared" si="14"/>
        <v>Waiting</v>
      </c>
      <c r="R178">
        <f>IF(OR($B178="",$C178&gt;Setup!$B$15),"",IFERROR(INDEX('Fixture Library'!$E$4:$E$200,MATCH(Setup!$B$6&amp;"-"&amp;$C178,'Fixture Library'!$A$4:$A$200,0)),""))</f>
        <v>5</v>
      </c>
      <c r="S178">
        <f>IF(OR($B178="",$C178&gt;Setup!$B$15),"",IFERROR(INDEX('Fixture Library'!$F$4:$F$200,MATCH(Setup!$B$6&amp;"-"&amp;$C178,'Fixture Library'!$A$4:$A$200,0)),""))</f>
        <v>2</v>
      </c>
      <c r="T178">
        <f t="shared" si="15"/>
        <v>0</v>
      </c>
      <c r="U178">
        <f t="shared" si="16"/>
        <v>0</v>
      </c>
      <c r="V178">
        <f t="shared" si="17"/>
        <v>0</v>
      </c>
    </row>
    <row r="179" spans="1:22">
      <c r="A179">
        <v>176</v>
      </c>
      <c r="B179" t="str">
        <f>IF(INT(($A179-1)/Setup!$B$15)+1&lt;=Setup!$B$5,INDEX(Setup!$B$21:$B$28,INT(($A179-1)/Setup!$B$15)+1),"")</f>
        <v>G</v>
      </c>
      <c r="C179">
        <f>IF($B179="","",MOD($A179-1,Setup!$B$15)+1)</f>
        <v>8</v>
      </c>
      <c r="D179">
        <f>IF(OR($B179="",$C179&gt;Setup!$B$15),"",IFERROR(INDEX('Fixture Library'!$D$4:$D$200,MATCH(Setup!$B$6&amp;"-"&amp;$C179,'Fixture Library'!$A$4:$A$200,0)),""))</f>
        <v>2</v>
      </c>
      <c r="E179" t="str">
        <f>IF($R179="","",IFERROR(INDEX(Teams!$D$4:$D$67,MATCH($B179&amp;"-"&amp;$R179,Teams!$E$4:$E$67,0)),""))</f>
        <v>Team G4</v>
      </c>
      <c r="F179" s="88"/>
      <c r="G179" s="88"/>
      <c r="H179" s="88"/>
      <c r="I179" t="str">
        <f>IF($Q179&lt;&gt;"Complete","",IF(AND(ISNUMBER($G179),$G179&gt;=Setup!$B$31),Setup!$B$32,0)+IF(AND($F179&lt;$L179,$L179-$F179&lt;=Setup!$B$33),Setup!$B$34,0))</f>
        <v/>
      </c>
      <c r="J179" t="str">
        <f t="shared" si="12"/>
        <v/>
      </c>
      <c r="K179" t="str">
        <f>IF($S179="","",IFERROR(INDEX(Teams!$D$4:$D$67,MATCH($B179&amp;"-"&amp;$S179,Teams!$E$4:$E$67,0)),""))</f>
        <v>Team G3</v>
      </c>
      <c r="L179" s="88"/>
      <c r="M179" s="88"/>
      <c r="N179" s="88"/>
      <c r="O179" t="str">
        <f>IF($Q179&lt;&gt;"Complete","",IF(AND(ISNUMBER($M179),$M179&gt;=Setup!$B$31),Setup!$B$32,0)+IF(AND($L179&lt;$F179,$F179-$L179&lt;=Setup!$B$33),Setup!$B$34,0))</f>
        <v/>
      </c>
      <c r="P179" t="str">
        <f t="shared" si="13"/>
        <v/>
      </c>
      <c r="Q179" t="str">
        <f t="shared" si="14"/>
        <v>Waiting</v>
      </c>
      <c r="R179">
        <f>IF(OR($B179="",$C179&gt;Setup!$B$15),"",IFERROR(INDEX('Fixture Library'!$E$4:$E$200,MATCH(Setup!$B$6&amp;"-"&amp;$C179,'Fixture Library'!$A$4:$A$200,0)),""))</f>
        <v>4</v>
      </c>
      <c r="S179">
        <f>IF(OR($B179="",$C179&gt;Setup!$B$15),"",IFERROR(INDEX('Fixture Library'!$F$4:$F$200,MATCH(Setup!$B$6&amp;"-"&amp;$C179,'Fixture Library'!$A$4:$A$200,0)),""))</f>
        <v>3</v>
      </c>
      <c r="T179">
        <f t="shared" si="15"/>
        <v>0</v>
      </c>
      <c r="U179">
        <f t="shared" si="16"/>
        <v>0</v>
      </c>
      <c r="V179">
        <f t="shared" si="17"/>
        <v>0</v>
      </c>
    </row>
    <row r="180" spans="1:22">
      <c r="A180">
        <v>177</v>
      </c>
      <c r="B180" t="str">
        <f>IF(INT(($A180-1)/Setup!$B$15)+1&lt;=Setup!$B$5,INDEX(Setup!$B$21:$B$28,INT(($A180-1)/Setup!$B$15)+1),"")</f>
        <v>G</v>
      </c>
      <c r="C180">
        <f>IF($B180="","",MOD($A180-1,Setup!$B$15)+1)</f>
        <v>9</v>
      </c>
      <c r="D180">
        <f>IF(OR($B180="",$C180&gt;Setup!$B$15),"",IFERROR(INDEX('Fixture Library'!$D$4:$D$200,MATCH(Setup!$B$6&amp;"-"&amp;$C180,'Fixture Library'!$A$4:$A$200,0)),""))</f>
        <v>3</v>
      </c>
      <c r="E180" t="str">
        <f>IF($R180="","",IFERROR(INDEX(Teams!$D$4:$D$67,MATCH($B180&amp;"-"&amp;$R180,Teams!$E$4:$E$67,0)),""))</f>
        <v>Team G1</v>
      </c>
      <c r="F180" s="88"/>
      <c r="G180" s="88"/>
      <c r="H180" s="88"/>
      <c r="I180" t="str">
        <f>IF($Q180&lt;&gt;"Complete","",IF(AND(ISNUMBER($G180),$G180&gt;=Setup!$B$31),Setup!$B$32,0)+IF(AND($F180&lt;$L180,$L180-$F180&lt;=Setup!$B$33),Setup!$B$34,0))</f>
        <v/>
      </c>
      <c r="J180" t="str">
        <f t="shared" si="12"/>
        <v/>
      </c>
      <c r="K180" t="str">
        <f>IF($S180="","",IFERROR(INDEX(Teams!$D$4:$D$67,MATCH($B180&amp;"-"&amp;$S180,Teams!$E$4:$E$67,0)),""))</f>
        <v>Team G6</v>
      </c>
      <c r="L180" s="88"/>
      <c r="M180" s="88"/>
      <c r="N180" s="88"/>
      <c r="O180" t="str">
        <f>IF($Q180&lt;&gt;"Complete","",IF(AND(ISNUMBER($M180),$M180&gt;=Setup!$B$31),Setup!$B$32,0)+IF(AND($L180&lt;$F180,$F180-$L180&lt;=Setup!$B$33),Setup!$B$34,0))</f>
        <v/>
      </c>
      <c r="P180" t="str">
        <f t="shared" si="13"/>
        <v/>
      </c>
      <c r="Q180" t="str">
        <f t="shared" si="14"/>
        <v>Waiting</v>
      </c>
      <c r="R180">
        <f>IF(OR($B180="",$C180&gt;Setup!$B$15),"",IFERROR(INDEX('Fixture Library'!$E$4:$E$200,MATCH(Setup!$B$6&amp;"-"&amp;$C180,'Fixture Library'!$A$4:$A$200,0)),""))</f>
        <v>1</v>
      </c>
      <c r="S180">
        <f>IF(OR($B180="",$C180&gt;Setup!$B$15),"",IFERROR(INDEX('Fixture Library'!$F$4:$F$200,MATCH(Setup!$B$6&amp;"-"&amp;$C180,'Fixture Library'!$A$4:$A$200,0)),""))</f>
        <v>6</v>
      </c>
      <c r="T180">
        <f t="shared" si="15"/>
        <v>0</v>
      </c>
      <c r="U180">
        <f t="shared" si="16"/>
        <v>0</v>
      </c>
      <c r="V180">
        <f t="shared" si="17"/>
        <v>0</v>
      </c>
    </row>
    <row r="181" spans="1:22">
      <c r="A181">
        <v>178</v>
      </c>
      <c r="B181" t="str">
        <f>IF(INT(($A181-1)/Setup!$B$15)+1&lt;=Setup!$B$5,INDEX(Setup!$B$21:$B$28,INT(($A181-1)/Setup!$B$15)+1),"")</f>
        <v>G</v>
      </c>
      <c r="C181">
        <f>IF($B181="","",MOD($A181-1,Setup!$B$15)+1)</f>
        <v>10</v>
      </c>
      <c r="D181">
        <f>IF(OR($B181="",$C181&gt;Setup!$B$15),"",IFERROR(INDEX('Fixture Library'!$D$4:$D$200,MATCH(Setup!$B$6&amp;"-"&amp;$C181,'Fixture Library'!$A$4:$A$200,0)),""))</f>
        <v>3</v>
      </c>
      <c r="E181" t="str">
        <f>IF($R181="","",IFERROR(INDEX(Teams!$D$4:$D$67,MATCH($B181&amp;"-"&amp;$R181,Teams!$E$4:$E$67,0)),""))</f>
        <v>Team G7</v>
      </c>
      <c r="F181" s="88"/>
      <c r="G181" s="88"/>
      <c r="H181" s="88"/>
      <c r="I181" t="str">
        <f>IF($Q181&lt;&gt;"Complete","",IF(AND(ISNUMBER($G181),$G181&gt;=Setup!$B$31),Setup!$B$32,0)+IF(AND($F181&lt;$L181,$L181-$F181&lt;=Setup!$B$33),Setup!$B$34,0))</f>
        <v/>
      </c>
      <c r="J181" t="str">
        <f t="shared" si="12"/>
        <v/>
      </c>
      <c r="K181" t="str">
        <f>IF($S181="","",IFERROR(INDEX(Teams!$D$4:$D$67,MATCH($B181&amp;"-"&amp;$S181,Teams!$E$4:$E$67,0)),""))</f>
        <v>Team G5</v>
      </c>
      <c r="L181" s="88"/>
      <c r="M181" s="88"/>
      <c r="N181" s="88"/>
      <c r="O181" t="str">
        <f>IF($Q181&lt;&gt;"Complete","",IF(AND(ISNUMBER($M181),$M181&gt;=Setup!$B$31),Setup!$B$32,0)+IF(AND($L181&lt;$F181,$F181-$L181&lt;=Setup!$B$33),Setup!$B$34,0))</f>
        <v/>
      </c>
      <c r="P181" t="str">
        <f t="shared" si="13"/>
        <v/>
      </c>
      <c r="Q181" t="str">
        <f t="shared" si="14"/>
        <v>Waiting</v>
      </c>
      <c r="R181">
        <f>IF(OR($B181="",$C181&gt;Setup!$B$15),"",IFERROR(INDEX('Fixture Library'!$E$4:$E$200,MATCH(Setup!$B$6&amp;"-"&amp;$C181,'Fixture Library'!$A$4:$A$200,0)),""))</f>
        <v>7</v>
      </c>
      <c r="S181">
        <f>IF(OR($B181="",$C181&gt;Setup!$B$15),"",IFERROR(INDEX('Fixture Library'!$F$4:$F$200,MATCH(Setup!$B$6&amp;"-"&amp;$C181,'Fixture Library'!$A$4:$A$200,0)),""))</f>
        <v>5</v>
      </c>
      <c r="T181">
        <f t="shared" si="15"/>
        <v>0</v>
      </c>
      <c r="U181">
        <f t="shared" si="16"/>
        <v>0</v>
      </c>
      <c r="V181">
        <f t="shared" si="17"/>
        <v>0</v>
      </c>
    </row>
    <row r="182" spans="1:22">
      <c r="A182">
        <v>179</v>
      </c>
      <c r="B182" t="str">
        <f>IF(INT(($A182-1)/Setup!$B$15)+1&lt;=Setup!$B$5,INDEX(Setup!$B$21:$B$28,INT(($A182-1)/Setup!$B$15)+1),"")</f>
        <v>G</v>
      </c>
      <c r="C182">
        <f>IF($B182="","",MOD($A182-1,Setup!$B$15)+1)</f>
        <v>11</v>
      </c>
      <c r="D182">
        <f>IF(OR($B182="",$C182&gt;Setup!$B$15),"",IFERROR(INDEX('Fixture Library'!$D$4:$D$200,MATCH(Setup!$B$6&amp;"-"&amp;$C182,'Fixture Library'!$A$4:$A$200,0)),""))</f>
        <v>3</v>
      </c>
      <c r="E182" t="str">
        <f>IF($R182="","",IFERROR(INDEX(Teams!$D$4:$D$67,MATCH($B182&amp;"-"&amp;$R182,Teams!$E$4:$E$67,0)),""))</f>
        <v>Team G8</v>
      </c>
      <c r="F182" s="88"/>
      <c r="G182" s="88"/>
      <c r="H182" s="88"/>
      <c r="I182" t="str">
        <f>IF($Q182&lt;&gt;"Complete","",IF(AND(ISNUMBER($G182),$G182&gt;=Setup!$B$31),Setup!$B$32,0)+IF(AND($F182&lt;$L182,$L182-$F182&lt;=Setup!$B$33),Setup!$B$34,0))</f>
        <v/>
      </c>
      <c r="J182" t="str">
        <f t="shared" si="12"/>
        <v/>
      </c>
      <c r="K182" t="str">
        <f>IF($S182="","",IFERROR(INDEX(Teams!$D$4:$D$67,MATCH($B182&amp;"-"&amp;$S182,Teams!$E$4:$E$67,0)),""))</f>
        <v>Team G4</v>
      </c>
      <c r="L182" s="88"/>
      <c r="M182" s="88"/>
      <c r="N182" s="88"/>
      <c r="O182" t="str">
        <f>IF($Q182&lt;&gt;"Complete","",IF(AND(ISNUMBER($M182),$M182&gt;=Setup!$B$31),Setup!$B$32,0)+IF(AND($L182&lt;$F182,$F182-$L182&lt;=Setup!$B$33),Setup!$B$34,0))</f>
        <v/>
      </c>
      <c r="P182" t="str">
        <f t="shared" si="13"/>
        <v/>
      </c>
      <c r="Q182" t="str">
        <f t="shared" si="14"/>
        <v>Waiting</v>
      </c>
      <c r="R182">
        <f>IF(OR($B182="",$C182&gt;Setup!$B$15),"",IFERROR(INDEX('Fixture Library'!$E$4:$E$200,MATCH(Setup!$B$6&amp;"-"&amp;$C182,'Fixture Library'!$A$4:$A$200,0)),""))</f>
        <v>8</v>
      </c>
      <c r="S182">
        <f>IF(OR($B182="",$C182&gt;Setup!$B$15),"",IFERROR(INDEX('Fixture Library'!$F$4:$F$200,MATCH(Setup!$B$6&amp;"-"&amp;$C182,'Fixture Library'!$A$4:$A$200,0)),""))</f>
        <v>4</v>
      </c>
      <c r="T182">
        <f t="shared" si="15"/>
        <v>0</v>
      </c>
      <c r="U182">
        <f t="shared" si="16"/>
        <v>0</v>
      </c>
      <c r="V182">
        <f t="shared" si="17"/>
        <v>0</v>
      </c>
    </row>
    <row r="183" spans="1:22">
      <c r="A183">
        <v>180</v>
      </c>
      <c r="B183" t="str">
        <f>IF(INT(($A183-1)/Setup!$B$15)+1&lt;=Setup!$B$5,INDEX(Setup!$B$21:$B$28,INT(($A183-1)/Setup!$B$15)+1),"")</f>
        <v>G</v>
      </c>
      <c r="C183">
        <f>IF($B183="","",MOD($A183-1,Setup!$B$15)+1)</f>
        <v>12</v>
      </c>
      <c r="D183">
        <f>IF(OR($B183="",$C183&gt;Setup!$B$15),"",IFERROR(INDEX('Fixture Library'!$D$4:$D$200,MATCH(Setup!$B$6&amp;"-"&amp;$C183,'Fixture Library'!$A$4:$A$200,0)),""))</f>
        <v>3</v>
      </c>
      <c r="E183" t="str">
        <f>IF($R183="","",IFERROR(INDEX(Teams!$D$4:$D$67,MATCH($B183&amp;"-"&amp;$R183,Teams!$E$4:$E$67,0)),""))</f>
        <v>Team G2</v>
      </c>
      <c r="F183" s="88"/>
      <c r="G183" s="88"/>
      <c r="H183" s="88"/>
      <c r="I183" t="str">
        <f>IF($Q183&lt;&gt;"Complete","",IF(AND(ISNUMBER($G183),$G183&gt;=Setup!$B$31),Setup!$B$32,0)+IF(AND($F183&lt;$L183,$L183-$F183&lt;=Setup!$B$33),Setup!$B$34,0))</f>
        <v/>
      </c>
      <c r="J183" t="str">
        <f t="shared" si="12"/>
        <v/>
      </c>
      <c r="K183" t="str">
        <f>IF($S183="","",IFERROR(INDEX(Teams!$D$4:$D$67,MATCH($B183&amp;"-"&amp;$S183,Teams!$E$4:$E$67,0)),""))</f>
        <v>Team G3</v>
      </c>
      <c r="L183" s="88"/>
      <c r="M183" s="88"/>
      <c r="N183" s="88"/>
      <c r="O183" t="str">
        <f>IF($Q183&lt;&gt;"Complete","",IF(AND(ISNUMBER($M183),$M183&gt;=Setup!$B$31),Setup!$B$32,0)+IF(AND($L183&lt;$F183,$F183-$L183&lt;=Setup!$B$33),Setup!$B$34,0))</f>
        <v/>
      </c>
      <c r="P183" t="str">
        <f t="shared" si="13"/>
        <v/>
      </c>
      <c r="Q183" t="str">
        <f t="shared" si="14"/>
        <v>Waiting</v>
      </c>
      <c r="R183">
        <f>IF(OR($B183="",$C183&gt;Setup!$B$15),"",IFERROR(INDEX('Fixture Library'!$E$4:$E$200,MATCH(Setup!$B$6&amp;"-"&amp;$C183,'Fixture Library'!$A$4:$A$200,0)),""))</f>
        <v>2</v>
      </c>
      <c r="S183">
        <f>IF(OR($B183="",$C183&gt;Setup!$B$15),"",IFERROR(INDEX('Fixture Library'!$F$4:$F$200,MATCH(Setup!$B$6&amp;"-"&amp;$C183,'Fixture Library'!$A$4:$A$200,0)),""))</f>
        <v>3</v>
      </c>
      <c r="T183">
        <f t="shared" si="15"/>
        <v>0</v>
      </c>
      <c r="U183">
        <f t="shared" si="16"/>
        <v>0</v>
      </c>
      <c r="V183">
        <f t="shared" si="17"/>
        <v>0</v>
      </c>
    </row>
    <row r="184" spans="1:22">
      <c r="A184">
        <v>181</v>
      </c>
      <c r="B184" t="str">
        <f>IF(INT(($A184-1)/Setup!$B$15)+1&lt;=Setup!$B$5,INDEX(Setup!$B$21:$B$28,INT(($A184-1)/Setup!$B$15)+1),"")</f>
        <v>G</v>
      </c>
      <c r="C184">
        <f>IF($B184="","",MOD($A184-1,Setup!$B$15)+1)</f>
        <v>13</v>
      </c>
      <c r="D184">
        <f>IF(OR($B184="",$C184&gt;Setup!$B$15),"",IFERROR(INDEX('Fixture Library'!$D$4:$D$200,MATCH(Setup!$B$6&amp;"-"&amp;$C184,'Fixture Library'!$A$4:$A$200,0)),""))</f>
        <v>4</v>
      </c>
      <c r="E184" t="str">
        <f>IF($R184="","",IFERROR(INDEX(Teams!$D$4:$D$67,MATCH($B184&amp;"-"&amp;$R184,Teams!$E$4:$E$67,0)),""))</f>
        <v>Team G5</v>
      </c>
      <c r="F184" s="88"/>
      <c r="G184" s="88"/>
      <c r="H184" s="88"/>
      <c r="I184" t="str">
        <f>IF($Q184&lt;&gt;"Complete","",IF(AND(ISNUMBER($G184),$G184&gt;=Setup!$B$31),Setup!$B$32,0)+IF(AND($F184&lt;$L184,$L184-$F184&lt;=Setup!$B$33),Setup!$B$34,0))</f>
        <v/>
      </c>
      <c r="J184" t="str">
        <f t="shared" si="12"/>
        <v/>
      </c>
      <c r="K184" t="str">
        <f>IF($S184="","",IFERROR(INDEX(Teams!$D$4:$D$67,MATCH($B184&amp;"-"&amp;$S184,Teams!$E$4:$E$67,0)),""))</f>
        <v>Team G1</v>
      </c>
      <c r="L184" s="88"/>
      <c r="M184" s="88"/>
      <c r="N184" s="88"/>
      <c r="O184" t="str">
        <f>IF($Q184&lt;&gt;"Complete","",IF(AND(ISNUMBER($M184),$M184&gt;=Setup!$B$31),Setup!$B$32,0)+IF(AND($L184&lt;$F184,$F184-$L184&lt;=Setup!$B$33),Setup!$B$34,0))</f>
        <v/>
      </c>
      <c r="P184" t="str">
        <f t="shared" si="13"/>
        <v/>
      </c>
      <c r="Q184" t="str">
        <f t="shared" si="14"/>
        <v>Waiting</v>
      </c>
      <c r="R184">
        <f>IF(OR($B184="",$C184&gt;Setup!$B$15),"",IFERROR(INDEX('Fixture Library'!$E$4:$E$200,MATCH(Setup!$B$6&amp;"-"&amp;$C184,'Fixture Library'!$A$4:$A$200,0)),""))</f>
        <v>5</v>
      </c>
      <c r="S184">
        <f>IF(OR($B184="",$C184&gt;Setup!$B$15),"",IFERROR(INDEX('Fixture Library'!$F$4:$F$200,MATCH(Setup!$B$6&amp;"-"&amp;$C184,'Fixture Library'!$A$4:$A$200,0)),""))</f>
        <v>1</v>
      </c>
      <c r="T184">
        <f t="shared" si="15"/>
        <v>0</v>
      </c>
      <c r="U184">
        <f t="shared" si="16"/>
        <v>0</v>
      </c>
      <c r="V184">
        <f t="shared" si="17"/>
        <v>0</v>
      </c>
    </row>
    <row r="185" spans="1:22">
      <c r="A185">
        <v>182</v>
      </c>
      <c r="B185" t="str">
        <f>IF(INT(($A185-1)/Setup!$B$15)+1&lt;=Setup!$B$5,INDEX(Setup!$B$21:$B$28,INT(($A185-1)/Setup!$B$15)+1),"")</f>
        <v>G</v>
      </c>
      <c r="C185">
        <f>IF($B185="","",MOD($A185-1,Setup!$B$15)+1)</f>
        <v>14</v>
      </c>
      <c r="D185">
        <f>IF(OR($B185="",$C185&gt;Setup!$B$15),"",IFERROR(INDEX('Fixture Library'!$D$4:$D$200,MATCH(Setup!$B$6&amp;"-"&amp;$C185,'Fixture Library'!$A$4:$A$200,0)),""))</f>
        <v>4</v>
      </c>
      <c r="E185" t="str">
        <f>IF($R185="","",IFERROR(INDEX(Teams!$D$4:$D$67,MATCH($B185&amp;"-"&amp;$R185,Teams!$E$4:$E$67,0)),""))</f>
        <v>Team G4</v>
      </c>
      <c r="F185" s="88"/>
      <c r="G185" s="88"/>
      <c r="H185" s="88"/>
      <c r="I185" t="str">
        <f>IF($Q185&lt;&gt;"Complete","",IF(AND(ISNUMBER($G185),$G185&gt;=Setup!$B$31),Setup!$B$32,0)+IF(AND($F185&lt;$L185,$L185-$F185&lt;=Setup!$B$33),Setup!$B$34,0))</f>
        <v/>
      </c>
      <c r="J185" t="str">
        <f t="shared" si="12"/>
        <v/>
      </c>
      <c r="K185" t="str">
        <f>IF($S185="","",IFERROR(INDEX(Teams!$D$4:$D$67,MATCH($B185&amp;"-"&amp;$S185,Teams!$E$4:$E$67,0)),""))</f>
        <v>Team G6</v>
      </c>
      <c r="L185" s="88"/>
      <c r="M185" s="88"/>
      <c r="N185" s="88"/>
      <c r="O185" t="str">
        <f>IF($Q185&lt;&gt;"Complete","",IF(AND(ISNUMBER($M185),$M185&gt;=Setup!$B$31),Setup!$B$32,0)+IF(AND($L185&lt;$F185,$F185-$L185&lt;=Setup!$B$33),Setup!$B$34,0))</f>
        <v/>
      </c>
      <c r="P185" t="str">
        <f t="shared" si="13"/>
        <v/>
      </c>
      <c r="Q185" t="str">
        <f t="shared" si="14"/>
        <v>Waiting</v>
      </c>
      <c r="R185">
        <f>IF(OR($B185="",$C185&gt;Setup!$B$15),"",IFERROR(INDEX('Fixture Library'!$E$4:$E$200,MATCH(Setup!$B$6&amp;"-"&amp;$C185,'Fixture Library'!$A$4:$A$200,0)),""))</f>
        <v>4</v>
      </c>
      <c r="S185">
        <f>IF(OR($B185="",$C185&gt;Setup!$B$15),"",IFERROR(INDEX('Fixture Library'!$F$4:$F$200,MATCH(Setup!$B$6&amp;"-"&amp;$C185,'Fixture Library'!$A$4:$A$200,0)),""))</f>
        <v>6</v>
      </c>
      <c r="T185">
        <f t="shared" si="15"/>
        <v>0</v>
      </c>
      <c r="U185">
        <f t="shared" si="16"/>
        <v>0</v>
      </c>
      <c r="V185">
        <f t="shared" si="17"/>
        <v>0</v>
      </c>
    </row>
    <row r="186" spans="1:22">
      <c r="A186">
        <v>183</v>
      </c>
      <c r="B186" t="str">
        <f>IF(INT(($A186-1)/Setup!$B$15)+1&lt;=Setup!$B$5,INDEX(Setup!$B$21:$B$28,INT(($A186-1)/Setup!$B$15)+1),"")</f>
        <v>G</v>
      </c>
      <c r="C186">
        <f>IF($B186="","",MOD($A186-1,Setup!$B$15)+1)</f>
        <v>15</v>
      </c>
      <c r="D186">
        <f>IF(OR($B186="",$C186&gt;Setup!$B$15),"",IFERROR(INDEX('Fixture Library'!$D$4:$D$200,MATCH(Setup!$B$6&amp;"-"&amp;$C186,'Fixture Library'!$A$4:$A$200,0)),""))</f>
        <v>4</v>
      </c>
      <c r="E186" t="str">
        <f>IF($R186="","",IFERROR(INDEX(Teams!$D$4:$D$67,MATCH($B186&amp;"-"&amp;$R186,Teams!$E$4:$E$67,0)),""))</f>
        <v>Team G3</v>
      </c>
      <c r="F186" s="88"/>
      <c r="G186" s="88"/>
      <c r="H186" s="88"/>
      <c r="I186" t="str">
        <f>IF($Q186&lt;&gt;"Complete","",IF(AND(ISNUMBER($G186),$G186&gt;=Setup!$B$31),Setup!$B$32,0)+IF(AND($F186&lt;$L186,$L186-$F186&lt;=Setup!$B$33),Setup!$B$34,0))</f>
        <v/>
      </c>
      <c r="J186" t="str">
        <f t="shared" si="12"/>
        <v/>
      </c>
      <c r="K186" t="str">
        <f>IF($S186="","",IFERROR(INDEX(Teams!$D$4:$D$67,MATCH($B186&amp;"-"&amp;$S186,Teams!$E$4:$E$67,0)),""))</f>
        <v>Team G7</v>
      </c>
      <c r="L186" s="88"/>
      <c r="M186" s="88"/>
      <c r="N186" s="88"/>
      <c r="O186" t="str">
        <f>IF($Q186&lt;&gt;"Complete","",IF(AND(ISNUMBER($M186),$M186&gt;=Setup!$B$31),Setup!$B$32,0)+IF(AND($L186&lt;$F186,$F186-$L186&lt;=Setup!$B$33),Setup!$B$34,0))</f>
        <v/>
      </c>
      <c r="P186" t="str">
        <f t="shared" si="13"/>
        <v/>
      </c>
      <c r="Q186" t="str">
        <f t="shared" si="14"/>
        <v>Waiting</v>
      </c>
      <c r="R186">
        <f>IF(OR($B186="",$C186&gt;Setup!$B$15),"",IFERROR(INDEX('Fixture Library'!$E$4:$E$200,MATCH(Setup!$B$6&amp;"-"&amp;$C186,'Fixture Library'!$A$4:$A$200,0)),""))</f>
        <v>3</v>
      </c>
      <c r="S186">
        <f>IF(OR($B186="",$C186&gt;Setup!$B$15),"",IFERROR(INDEX('Fixture Library'!$F$4:$F$200,MATCH(Setup!$B$6&amp;"-"&amp;$C186,'Fixture Library'!$A$4:$A$200,0)),""))</f>
        <v>7</v>
      </c>
      <c r="T186">
        <f t="shared" si="15"/>
        <v>0</v>
      </c>
      <c r="U186">
        <f t="shared" si="16"/>
        <v>0</v>
      </c>
      <c r="V186">
        <f t="shared" si="17"/>
        <v>0</v>
      </c>
    </row>
    <row r="187" spans="1:22">
      <c r="A187">
        <v>184</v>
      </c>
      <c r="B187" t="str">
        <f>IF(INT(($A187-1)/Setup!$B$15)+1&lt;=Setup!$B$5,INDEX(Setup!$B$21:$B$28,INT(($A187-1)/Setup!$B$15)+1),"")</f>
        <v>G</v>
      </c>
      <c r="C187">
        <f>IF($B187="","",MOD($A187-1,Setup!$B$15)+1)</f>
        <v>16</v>
      </c>
      <c r="D187">
        <f>IF(OR($B187="",$C187&gt;Setup!$B$15),"",IFERROR(INDEX('Fixture Library'!$D$4:$D$200,MATCH(Setup!$B$6&amp;"-"&amp;$C187,'Fixture Library'!$A$4:$A$200,0)),""))</f>
        <v>4</v>
      </c>
      <c r="E187" t="str">
        <f>IF($R187="","",IFERROR(INDEX(Teams!$D$4:$D$67,MATCH($B187&amp;"-"&amp;$R187,Teams!$E$4:$E$67,0)),""))</f>
        <v>Team G2</v>
      </c>
      <c r="F187" s="88"/>
      <c r="G187" s="88"/>
      <c r="H187" s="88"/>
      <c r="I187" t="str">
        <f>IF($Q187&lt;&gt;"Complete","",IF(AND(ISNUMBER($G187),$G187&gt;=Setup!$B$31),Setup!$B$32,0)+IF(AND($F187&lt;$L187,$L187-$F187&lt;=Setup!$B$33),Setup!$B$34,0))</f>
        <v/>
      </c>
      <c r="J187" t="str">
        <f t="shared" si="12"/>
        <v/>
      </c>
      <c r="K187" t="str">
        <f>IF($S187="","",IFERROR(INDEX(Teams!$D$4:$D$67,MATCH($B187&amp;"-"&amp;$S187,Teams!$E$4:$E$67,0)),""))</f>
        <v>Team G8</v>
      </c>
      <c r="L187" s="88"/>
      <c r="M187" s="88"/>
      <c r="N187" s="88"/>
      <c r="O187" t="str">
        <f>IF($Q187&lt;&gt;"Complete","",IF(AND(ISNUMBER($M187),$M187&gt;=Setup!$B$31),Setup!$B$32,0)+IF(AND($L187&lt;$F187,$F187-$L187&lt;=Setup!$B$33),Setup!$B$34,0))</f>
        <v/>
      </c>
      <c r="P187" t="str">
        <f t="shared" si="13"/>
        <v/>
      </c>
      <c r="Q187" t="str">
        <f t="shared" si="14"/>
        <v>Waiting</v>
      </c>
      <c r="R187">
        <f>IF(OR($B187="",$C187&gt;Setup!$B$15),"",IFERROR(INDEX('Fixture Library'!$E$4:$E$200,MATCH(Setup!$B$6&amp;"-"&amp;$C187,'Fixture Library'!$A$4:$A$200,0)),""))</f>
        <v>2</v>
      </c>
      <c r="S187">
        <f>IF(OR($B187="",$C187&gt;Setup!$B$15),"",IFERROR(INDEX('Fixture Library'!$F$4:$F$200,MATCH(Setup!$B$6&amp;"-"&amp;$C187,'Fixture Library'!$A$4:$A$200,0)),""))</f>
        <v>8</v>
      </c>
      <c r="T187">
        <f t="shared" si="15"/>
        <v>0</v>
      </c>
      <c r="U187">
        <f t="shared" si="16"/>
        <v>0</v>
      </c>
      <c r="V187">
        <f t="shared" si="17"/>
        <v>0</v>
      </c>
    </row>
    <row r="188" spans="1:22">
      <c r="A188">
        <v>185</v>
      </c>
      <c r="B188" t="str">
        <f>IF(INT(($A188-1)/Setup!$B$15)+1&lt;=Setup!$B$5,INDEX(Setup!$B$21:$B$28,INT(($A188-1)/Setup!$B$15)+1),"")</f>
        <v>G</v>
      </c>
      <c r="C188">
        <f>IF($B188="","",MOD($A188-1,Setup!$B$15)+1)</f>
        <v>17</v>
      </c>
      <c r="D188">
        <f>IF(OR($B188="",$C188&gt;Setup!$B$15),"",IFERROR(INDEX('Fixture Library'!$D$4:$D$200,MATCH(Setup!$B$6&amp;"-"&amp;$C188,'Fixture Library'!$A$4:$A$200,0)),""))</f>
        <v>5</v>
      </c>
      <c r="E188" t="str">
        <f>IF($R188="","",IFERROR(INDEX(Teams!$D$4:$D$67,MATCH($B188&amp;"-"&amp;$R188,Teams!$E$4:$E$67,0)),""))</f>
        <v>Team G1</v>
      </c>
      <c r="F188" s="88"/>
      <c r="G188" s="88"/>
      <c r="H188" s="88"/>
      <c r="I188" t="str">
        <f>IF($Q188&lt;&gt;"Complete","",IF(AND(ISNUMBER($G188),$G188&gt;=Setup!$B$31),Setup!$B$32,0)+IF(AND($F188&lt;$L188,$L188-$F188&lt;=Setup!$B$33),Setup!$B$34,0))</f>
        <v/>
      </c>
      <c r="J188" t="str">
        <f t="shared" si="12"/>
        <v/>
      </c>
      <c r="K188" t="str">
        <f>IF($S188="","",IFERROR(INDEX(Teams!$D$4:$D$67,MATCH($B188&amp;"-"&amp;$S188,Teams!$E$4:$E$67,0)),""))</f>
        <v>Team G4</v>
      </c>
      <c r="L188" s="88"/>
      <c r="M188" s="88"/>
      <c r="N188" s="88"/>
      <c r="O188" t="str">
        <f>IF($Q188&lt;&gt;"Complete","",IF(AND(ISNUMBER($M188),$M188&gt;=Setup!$B$31),Setup!$B$32,0)+IF(AND($L188&lt;$F188,$F188-$L188&lt;=Setup!$B$33),Setup!$B$34,0))</f>
        <v/>
      </c>
      <c r="P188" t="str">
        <f t="shared" si="13"/>
        <v/>
      </c>
      <c r="Q188" t="str">
        <f t="shared" si="14"/>
        <v>Waiting</v>
      </c>
      <c r="R188">
        <f>IF(OR($B188="",$C188&gt;Setup!$B$15),"",IFERROR(INDEX('Fixture Library'!$E$4:$E$200,MATCH(Setup!$B$6&amp;"-"&amp;$C188,'Fixture Library'!$A$4:$A$200,0)),""))</f>
        <v>1</v>
      </c>
      <c r="S188">
        <f>IF(OR($B188="",$C188&gt;Setup!$B$15),"",IFERROR(INDEX('Fixture Library'!$F$4:$F$200,MATCH(Setup!$B$6&amp;"-"&amp;$C188,'Fixture Library'!$A$4:$A$200,0)),""))</f>
        <v>4</v>
      </c>
      <c r="T188">
        <f t="shared" si="15"/>
        <v>0</v>
      </c>
      <c r="U188">
        <f t="shared" si="16"/>
        <v>0</v>
      </c>
      <c r="V188">
        <f t="shared" si="17"/>
        <v>0</v>
      </c>
    </row>
    <row r="189" spans="1:22">
      <c r="A189">
        <v>186</v>
      </c>
      <c r="B189" t="str">
        <f>IF(INT(($A189-1)/Setup!$B$15)+1&lt;=Setup!$B$5,INDEX(Setup!$B$21:$B$28,INT(($A189-1)/Setup!$B$15)+1),"")</f>
        <v>G</v>
      </c>
      <c r="C189">
        <f>IF($B189="","",MOD($A189-1,Setup!$B$15)+1)</f>
        <v>18</v>
      </c>
      <c r="D189">
        <f>IF(OR($B189="",$C189&gt;Setup!$B$15),"",IFERROR(INDEX('Fixture Library'!$D$4:$D$200,MATCH(Setup!$B$6&amp;"-"&amp;$C189,'Fixture Library'!$A$4:$A$200,0)),""))</f>
        <v>5</v>
      </c>
      <c r="E189" t="str">
        <f>IF($R189="","",IFERROR(INDEX(Teams!$D$4:$D$67,MATCH($B189&amp;"-"&amp;$R189,Teams!$E$4:$E$67,0)),""))</f>
        <v>Team G5</v>
      </c>
      <c r="F189" s="88"/>
      <c r="G189" s="88"/>
      <c r="H189" s="88"/>
      <c r="I189" t="str">
        <f>IF($Q189&lt;&gt;"Complete","",IF(AND(ISNUMBER($G189),$G189&gt;=Setup!$B$31),Setup!$B$32,0)+IF(AND($F189&lt;$L189,$L189-$F189&lt;=Setup!$B$33),Setup!$B$34,0))</f>
        <v/>
      </c>
      <c r="J189" t="str">
        <f t="shared" si="12"/>
        <v/>
      </c>
      <c r="K189" t="str">
        <f>IF($S189="","",IFERROR(INDEX(Teams!$D$4:$D$67,MATCH($B189&amp;"-"&amp;$S189,Teams!$E$4:$E$67,0)),""))</f>
        <v>Team G3</v>
      </c>
      <c r="L189" s="88"/>
      <c r="M189" s="88"/>
      <c r="N189" s="88"/>
      <c r="O189" t="str">
        <f>IF($Q189&lt;&gt;"Complete","",IF(AND(ISNUMBER($M189),$M189&gt;=Setup!$B$31),Setup!$B$32,0)+IF(AND($L189&lt;$F189,$F189-$L189&lt;=Setup!$B$33),Setup!$B$34,0))</f>
        <v/>
      </c>
      <c r="P189" t="str">
        <f t="shared" si="13"/>
        <v/>
      </c>
      <c r="Q189" t="str">
        <f t="shared" si="14"/>
        <v>Waiting</v>
      </c>
      <c r="R189">
        <f>IF(OR($B189="",$C189&gt;Setup!$B$15),"",IFERROR(INDEX('Fixture Library'!$E$4:$E$200,MATCH(Setup!$B$6&amp;"-"&amp;$C189,'Fixture Library'!$A$4:$A$200,0)),""))</f>
        <v>5</v>
      </c>
      <c r="S189">
        <f>IF(OR($B189="",$C189&gt;Setup!$B$15),"",IFERROR(INDEX('Fixture Library'!$F$4:$F$200,MATCH(Setup!$B$6&amp;"-"&amp;$C189,'Fixture Library'!$A$4:$A$200,0)),""))</f>
        <v>3</v>
      </c>
      <c r="T189">
        <f t="shared" si="15"/>
        <v>0</v>
      </c>
      <c r="U189">
        <f t="shared" si="16"/>
        <v>0</v>
      </c>
      <c r="V189">
        <f t="shared" si="17"/>
        <v>0</v>
      </c>
    </row>
    <row r="190" spans="1:22">
      <c r="A190">
        <v>187</v>
      </c>
      <c r="B190" t="str">
        <f>IF(INT(($A190-1)/Setup!$B$15)+1&lt;=Setup!$B$5,INDEX(Setup!$B$21:$B$28,INT(($A190-1)/Setup!$B$15)+1),"")</f>
        <v>G</v>
      </c>
      <c r="C190">
        <f>IF($B190="","",MOD($A190-1,Setup!$B$15)+1)</f>
        <v>19</v>
      </c>
      <c r="D190">
        <f>IF(OR($B190="",$C190&gt;Setup!$B$15),"",IFERROR(INDEX('Fixture Library'!$D$4:$D$200,MATCH(Setup!$B$6&amp;"-"&amp;$C190,'Fixture Library'!$A$4:$A$200,0)),""))</f>
        <v>5</v>
      </c>
      <c r="E190" t="str">
        <f>IF($R190="","",IFERROR(INDEX(Teams!$D$4:$D$67,MATCH($B190&amp;"-"&amp;$R190,Teams!$E$4:$E$67,0)),""))</f>
        <v>Team G6</v>
      </c>
      <c r="F190" s="88"/>
      <c r="G190" s="88"/>
      <c r="H190" s="88"/>
      <c r="I190" t="str">
        <f>IF($Q190&lt;&gt;"Complete","",IF(AND(ISNUMBER($G190),$G190&gt;=Setup!$B$31),Setup!$B$32,0)+IF(AND($F190&lt;$L190,$L190-$F190&lt;=Setup!$B$33),Setup!$B$34,0))</f>
        <v/>
      </c>
      <c r="J190" t="str">
        <f t="shared" si="12"/>
        <v/>
      </c>
      <c r="K190" t="str">
        <f>IF($S190="","",IFERROR(INDEX(Teams!$D$4:$D$67,MATCH($B190&amp;"-"&amp;$S190,Teams!$E$4:$E$67,0)),""))</f>
        <v>Team G2</v>
      </c>
      <c r="L190" s="88"/>
      <c r="M190" s="88"/>
      <c r="N190" s="88"/>
      <c r="O190" t="str">
        <f>IF($Q190&lt;&gt;"Complete","",IF(AND(ISNUMBER($M190),$M190&gt;=Setup!$B$31),Setup!$B$32,0)+IF(AND($L190&lt;$F190,$F190-$L190&lt;=Setup!$B$33),Setup!$B$34,0))</f>
        <v/>
      </c>
      <c r="P190" t="str">
        <f t="shared" si="13"/>
        <v/>
      </c>
      <c r="Q190" t="str">
        <f t="shared" si="14"/>
        <v>Waiting</v>
      </c>
      <c r="R190">
        <f>IF(OR($B190="",$C190&gt;Setup!$B$15),"",IFERROR(INDEX('Fixture Library'!$E$4:$E$200,MATCH(Setup!$B$6&amp;"-"&amp;$C190,'Fixture Library'!$A$4:$A$200,0)),""))</f>
        <v>6</v>
      </c>
      <c r="S190">
        <f>IF(OR($B190="",$C190&gt;Setup!$B$15),"",IFERROR(INDEX('Fixture Library'!$F$4:$F$200,MATCH(Setup!$B$6&amp;"-"&amp;$C190,'Fixture Library'!$A$4:$A$200,0)),""))</f>
        <v>2</v>
      </c>
      <c r="T190">
        <f t="shared" si="15"/>
        <v>0</v>
      </c>
      <c r="U190">
        <f t="shared" si="16"/>
        <v>0</v>
      </c>
      <c r="V190">
        <f t="shared" si="17"/>
        <v>0</v>
      </c>
    </row>
    <row r="191" spans="1:22">
      <c r="A191">
        <v>188</v>
      </c>
      <c r="B191" t="str">
        <f>IF(INT(($A191-1)/Setup!$B$15)+1&lt;=Setup!$B$5,INDEX(Setup!$B$21:$B$28,INT(($A191-1)/Setup!$B$15)+1),"")</f>
        <v>G</v>
      </c>
      <c r="C191">
        <f>IF($B191="","",MOD($A191-1,Setup!$B$15)+1)</f>
        <v>20</v>
      </c>
      <c r="D191">
        <f>IF(OR($B191="",$C191&gt;Setup!$B$15),"",IFERROR(INDEX('Fixture Library'!$D$4:$D$200,MATCH(Setup!$B$6&amp;"-"&amp;$C191,'Fixture Library'!$A$4:$A$200,0)),""))</f>
        <v>5</v>
      </c>
      <c r="E191" t="str">
        <f>IF($R191="","",IFERROR(INDEX(Teams!$D$4:$D$67,MATCH($B191&amp;"-"&amp;$R191,Teams!$E$4:$E$67,0)),""))</f>
        <v>Team G7</v>
      </c>
      <c r="F191" s="88"/>
      <c r="G191" s="88"/>
      <c r="H191" s="88"/>
      <c r="I191" t="str">
        <f>IF($Q191&lt;&gt;"Complete","",IF(AND(ISNUMBER($G191),$G191&gt;=Setup!$B$31),Setup!$B$32,0)+IF(AND($F191&lt;$L191,$L191-$F191&lt;=Setup!$B$33),Setup!$B$34,0))</f>
        <v/>
      </c>
      <c r="J191" t="str">
        <f t="shared" si="12"/>
        <v/>
      </c>
      <c r="K191" t="str">
        <f>IF($S191="","",IFERROR(INDEX(Teams!$D$4:$D$67,MATCH($B191&amp;"-"&amp;$S191,Teams!$E$4:$E$67,0)),""))</f>
        <v>Team G8</v>
      </c>
      <c r="L191" s="88"/>
      <c r="M191" s="88"/>
      <c r="N191" s="88"/>
      <c r="O191" t="str">
        <f>IF($Q191&lt;&gt;"Complete","",IF(AND(ISNUMBER($M191),$M191&gt;=Setup!$B$31),Setup!$B$32,0)+IF(AND($L191&lt;$F191,$F191-$L191&lt;=Setup!$B$33),Setup!$B$34,0))</f>
        <v/>
      </c>
      <c r="P191" t="str">
        <f t="shared" si="13"/>
        <v/>
      </c>
      <c r="Q191" t="str">
        <f t="shared" si="14"/>
        <v>Waiting</v>
      </c>
      <c r="R191">
        <f>IF(OR($B191="",$C191&gt;Setup!$B$15),"",IFERROR(INDEX('Fixture Library'!$E$4:$E$200,MATCH(Setup!$B$6&amp;"-"&amp;$C191,'Fixture Library'!$A$4:$A$200,0)),""))</f>
        <v>7</v>
      </c>
      <c r="S191">
        <f>IF(OR($B191="",$C191&gt;Setup!$B$15),"",IFERROR(INDEX('Fixture Library'!$F$4:$F$200,MATCH(Setup!$B$6&amp;"-"&amp;$C191,'Fixture Library'!$A$4:$A$200,0)),""))</f>
        <v>8</v>
      </c>
      <c r="T191">
        <f t="shared" si="15"/>
        <v>0</v>
      </c>
      <c r="U191">
        <f t="shared" si="16"/>
        <v>0</v>
      </c>
      <c r="V191">
        <f t="shared" si="17"/>
        <v>0</v>
      </c>
    </row>
    <row r="192" spans="1:22">
      <c r="A192">
        <v>189</v>
      </c>
      <c r="B192" t="str">
        <f>IF(INT(($A192-1)/Setup!$B$15)+1&lt;=Setup!$B$5,INDEX(Setup!$B$21:$B$28,INT(($A192-1)/Setup!$B$15)+1),"")</f>
        <v>G</v>
      </c>
      <c r="C192">
        <f>IF($B192="","",MOD($A192-1,Setup!$B$15)+1)</f>
        <v>21</v>
      </c>
      <c r="D192">
        <f>IF(OR($B192="",$C192&gt;Setup!$B$15),"",IFERROR(INDEX('Fixture Library'!$D$4:$D$200,MATCH(Setup!$B$6&amp;"-"&amp;$C192,'Fixture Library'!$A$4:$A$200,0)),""))</f>
        <v>6</v>
      </c>
      <c r="E192" t="str">
        <f>IF($R192="","",IFERROR(INDEX(Teams!$D$4:$D$67,MATCH($B192&amp;"-"&amp;$R192,Teams!$E$4:$E$67,0)),""))</f>
        <v>Team G3</v>
      </c>
      <c r="F192" s="88"/>
      <c r="G192" s="88"/>
      <c r="H192" s="88"/>
      <c r="I192" t="str">
        <f>IF($Q192&lt;&gt;"Complete","",IF(AND(ISNUMBER($G192),$G192&gt;=Setup!$B$31),Setup!$B$32,0)+IF(AND($F192&lt;$L192,$L192-$F192&lt;=Setup!$B$33),Setup!$B$34,0))</f>
        <v/>
      </c>
      <c r="J192" t="str">
        <f t="shared" si="12"/>
        <v/>
      </c>
      <c r="K192" t="str">
        <f>IF($S192="","",IFERROR(INDEX(Teams!$D$4:$D$67,MATCH($B192&amp;"-"&amp;$S192,Teams!$E$4:$E$67,0)),""))</f>
        <v>Team G1</v>
      </c>
      <c r="L192" s="88"/>
      <c r="M192" s="88"/>
      <c r="N192" s="88"/>
      <c r="O192" t="str">
        <f>IF($Q192&lt;&gt;"Complete","",IF(AND(ISNUMBER($M192),$M192&gt;=Setup!$B$31),Setup!$B$32,0)+IF(AND($L192&lt;$F192,$F192-$L192&lt;=Setup!$B$33),Setup!$B$34,0))</f>
        <v/>
      </c>
      <c r="P192" t="str">
        <f t="shared" si="13"/>
        <v/>
      </c>
      <c r="Q192" t="str">
        <f t="shared" si="14"/>
        <v>Waiting</v>
      </c>
      <c r="R192">
        <f>IF(OR($B192="",$C192&gt;Setup!$B$15),"",IFERROR(INDEX('Fixture Library'!$E$4:$E$200,MATCH(Setup!$B$6&amp;"-"&amp;$C192,'Fixture Library'!$A$4:$A$200,0)),""))</f>
        <v>3</v>
      </c>
      <c r="S192">
        <f>IF(OR($B192="",$C192&gt;Setup!$B$15),"",IFERROR(INDEX('Fixture Library'!$F$4:$F$200,MATCH(Setup!$B$6&amp;"-"&amp;$C192,'Fixture Library'!$A$4:$A$200,0)),""))</f>
        <v>1</v>
      </c>
      <c r="T192">
        <f t="shared" si="15"/>
        <v>0</v>
      </c>
      <c r="U192">
        <f t="shared" si="16"/>
        <v>0</v>
      </c>
      <c r="V192">
        <f t="shared" si="17"/>
        <v>0</v>
      </c>
    </row>
    <row r="193" spans="1:22">
      <c r="A193">
        <v>190</v>
      </c>
      <c r="B193" t="str">
        <f>IF(INT(($A193-1)/Setup!$B$15)+1&lt;=Setup!$B$5,INDEX(Setup!$B$21:$B$28,INT(($A193-1)/Setup!$B$15)+1),"")</f>
        <v>G</v>
      </c>
      <c r="C193">
        <f>IF($B193="","",MOD($A193-1,Setup!$B$15)+1)</f>
        <v>22</v>
      </c>
      <c r="D193">
        <f>IF(OR($B193="",$C193&gt;Setup!$B$15),"",IFERROR(INDEX('Fixture Library'!$D$4:$D$200,MATCH(Setup!$B$6&amp;"-"&amp;$C193,'Fixture Library'!$A$4:$A$200,0)),""))</f>
        <v>6</v>
      </c>
      <c r="E193" t="str">
        <f>IF($R193="","",IFERROR(INDEX(Teams!$D$4:$D$67,MATCH($B193&amp;"-"&amp;$R193,Teams!$E$4:$E$67,0)),""))</f>
        <v>Team G2</v>
      </c>
      <c r="F193" s="88"/>
      <c r="G193" s="88"/>
      <c r="H193" s="88"/>
      <c r="I193" t="str">
        <f>IF($Q193&lt;&gt;"Complete","",IF(AND(ISNUMBER($G193),$G193&gt;=Setup!$B$31),Setup!$B$32,0)+IF(AND($F193&lt;$L193,$L193-$F193&lt;=Setup!$B$33),Setup!$B$34,0))</f>
        <v/>
      </c>
      <c r="J193" t="str">
        <f t="shared" si="12"/>
        <v/>
      </c>
      <c r="K193" t="str">
        <f>IF($S193="","",IFERROR(INDEX(Teams!$D$4:$D$67,MATCH($B193&amp;"-"&amp;$S193,Teams!$E$4:$E$67,0)),""))</f>
        <v>Team G4</v>
      </c>
      <c r="L193" s="88"/>
      <c r="M193" s="88"/>
      <c r="N193" s="88"/>
      <c r="O193" t="str">
        <f>IF($Q193&lt;&gt;"Complete","",IF(AND(ISNUMBER($M193),$M193&gt;=Setup!$B$31),Setup!$B$32,0)+IF(AND($L193&lt;$F193,$F193-$L193&lt;=Setup!$B$33),Setup!$B$34,0))</f>
        <v/>
      </c>
      <c r="P193" t="str">
        <f t="shared" si="13"/>
        <v/>
      </c>
      <c r="Q193" t="str">
        <f t="shared" si="14"/>
        <v>Waiting</v>
      </c>
      <c r="R193">
        <f>IF(OR($B193="",$C193&gt;Setup!$B$15),"",IFERROR(INDEX('Fixture Library'!$E$4:$E$200,MATCH(Setup!$B$6&amp;"-"&amp;$C193,'Fixture Library'!$A$4:$A$200,0)),""))</f>
        <v>2</v>
      </c>
      <c r="S193">
        <f>IF(OR($B193="",$C193&gt;Setup!$B$15),"",IFERROR(INDEX('Fixture Library'!$F$4:$F$200,MATCH(Setup!$B$6&amp;"-"&amp;$C193,'Fixture Library'!$A$4:$A$200,0)),""))</f>
        <v>4</v>
      </c>
      <c r="T193">
        <f t="shared" si="15"/>
        <v>0</v>
      </c>
      <c r="U193">
        <f t="shared" si="16"/>
        <v>0</v>
      </c>
      <c r="V193">
        <f t="shared" si="17"/>
        <v>0</v>
      </c>
    </row>
    <row r="194" spans="1:22">
      <c r="A194">
        <v>191</v>
      </c>
      <c r="B194" t="str">
        <f>IF(INT(($A194-1)/Setup!$B$15)+1&lt;=Setup!$B$5,INDEX(Setup!$B$21:$B$28,INT(($A194-1)/Setup!$B$15)+1),"")</f>
        <v>G</v>
      </c>
      <c r="C194">
        <f>IF($B194="","",MOD($A194-1,Setup!$B$15)+1)</f>
        <v>23</v>
      </c>
      <c r="D194">
        <f>IF(OR($B194="",$C194&gt;Setup!$B$15),"",IFERROR(INDEX('Fixture Library'!$D$4:$D$200,MATCH(Setup!$B$6&amp;"-"&amp;$C194,'Fixture Library'!$A$4:$A$200,0)),""))</f>
        <v>6</v>
      </c>
      <c r="E194" t="str">
        <f>IF($R194="","",IFERROR(INDEX(Teams!$D$4:$D$67,MATCH($B194&amp;"-"&amp;$R194,Teams!$E$4:$E$67,0)),""))</f>
        <v>Team G8</v>
      </c>
      <c r="F194" s="88"/>
      <c r="G194" s="88"/>
      <c r="H194" s="88"/>
      <c r="I194" t="str">
        <f>IF($Q194&lt;&gt;"Complete","",IF(AND(ISNUMBER($G194),$G194&gt;=Setup!$B$31),Setup!$B$32,0)+IF(AND($F194&lt;$L194,$L194-$F194&lt;=Setup!$B$33),Setup!$B$34,0))</f>
        <v/>
      </c>
      <c r="J194" t="str">
        <f t="shared" si="12"/>
        <v/>
      </c>
      <c r="K194" t="str">
        <f>IF($S194="","",IFERROR(INDEX(Teams!$D$4:$D$67,MATCH($B194&amp;"-"&amp;$S194,Teams!$E$4:$E$67,0)),""))</f>
        <v>Team G5</v>
      </c>
      <c r="L194" s="88"/>
      <c r="M194" s="88"/>
      <c r="N194" s="88"/>
      <c r="O194" t="str">
        <f>IF($Q194&lt;&gt;"Complete","",IF(AND(ISNUMBER($M194),$M194&gt;=Setup!$B$31),Setup!$B$32,0)+IF(AND($L194&lt;$F194,$F194-$L194&lt;=Setup!$B$33),Setup!$B$34,0))</f>
        <v/>
      </c>
      <c r="P194" t="str">
        <f t="shared" si="13"/>
        <v/>
      </c>
      <c r="Q194" t="str">
        <f t="shared" si="14"/>
        <v>Waiting</v>
      </c>
      <c r="R194">
        <f>IF(OR($B194="",$C194&gt;Setup!$B$15),"",IFERROR(INDEX('Fixture Library'!$E$4:$E$200,MATCH(Setup!$B$6&amp;"-"&amp;$C194,'Fixture Library'!$A$4:$A$200,0)),""))</f>
        <v>8</v>
      </c>
      <c r="S194">
        <f>IF(OR($B194="",$C194&gt;Setup!$B$15),"",IFERROR(INDEX('Fixture Library'!$F$4:$F$200,MATCH(Setup!$B$6&amp;"-"&amp;$C194,'Fixture Library'!$A$4:$A$200,0)),""))</f>
        <v>5</v>
      </c>
      <c r="T194">
        <f t="shared" si="15"/>
        <v>0</v>
      </c>
      <c r="U194">
        <f t="shared" si="16"/>
        <v>0</v>
      </c>
      <c r="V194">
        <f t="shared" si="17"/>
        <v>0</v>
      </c>
    </row>
    <row r="195" spans="1:22">
      <c r="A195">
        <v>192</v>
      </c>
      <c r="B195" t="str">
        <f>IF(INT(($A195-1)/Setup!$B$15)+1&lt;=Setup!$B$5,INDEX(Setup!$B$21:$B$28,INT(($A195-1)/Setup!$B$15)+1),"")</f>
        <v>G</v>
      </c>
      <c r="C195">
        <f>IF($B195="","",MOD($A195-1,Setup!$B$15)+1)</f>
        <v>24</v>
      </c>
      <c r="D195">
        <f>IF(OR($B195="",$C195&gt;Setup!$B$15),"",IFERROR(INDEX('Fixture Library'!$D$4:$D$200,MATCH(Setup!$B$6&amp;"-"&amp;$C195,'Fixture Library'!$A$4:$A$200,0)),""))</f>
        <v>6</v>
      </c>
      <c r="E195" t="str">
        <f>IF($R195="","",IFERROR(INDEX(Teams!$D$4:$D$67,MATCH($B195&amp;"-"&amp;$R195,Teams!$E$4:$E$67,0)),""))</f>
        <v>Team G7</v>
      </c>
      <c r="F195" s="88"/>
      <c r="G195" s="88"/>
      <c r="H195" s="88"/>
      <c r="I195" t="str">
        <f>IF($Q195&lt;&gt;"Complete","",IF(AND(ISNUMBER($G195),$G195&gt;=Setup!$B$31),Setup!$B$32,0)+IF(AND($F195&lt;$L195,$L195-$F195&lt;=Setup!$B$33),Setup!$B$34,0))</f>
        <v/>
      </c>
      <c r="J195" t="str">
        <f t="shared" si="12"/>
        <v/>
      </c>
      <c r="K195" t="str">
        <f>IF($S195="","",IFERROR(INDEX(Teams!$D$4:$D$67,MATCH($B195&amp;"-"&amp;$S195,Teams!$E$4:$E$67,0)),""))</f>
        <v>Team G6</v>
      </c>
      <c r="L195" s="88"/>
      <c r="M195" s="88"/>
      <c r="N195" s="88"/>
      <c r="O195" t="str">
        <f>IF($Q195&lt;&gt;"Complete","",IF(AND(ISNUMBER($M195),$M195&gt;=Setup!$B$31),Setup!$B$32,0)+IF(AND($L195&lt;$F195,$F195-$L195&lt;=Setup!$B$33),Setup!$B$34,0))</f>
        <v/>
      </c>
      <c r="P195" t="str">
        <f t="shared" si="13"/>
        <v/>
      </c>
      <c r="Q195" t="str">
        <f t="shared" si="14"/>
        <v>Waiting</v>
      </c>
      <c r="R195">
        <f>IF(OR($B195="",$C195&gt;Setup!$B$15),"",IFERROR(INDEX('Fixture Library'!$E$4:$E$200,MATCH(Setup!$B$6&amp;"-"&amp;$C195,'Fixture Library'!$A$4:$A$200,0)),""))</f>
        <v>7</v>
      </c>
      <c r="S195">
        <f>IF(OR($B195="",$C195&gt;Setup!$B$15),"",IFERROR(INDEX('Fixture Library'!$F$4:$F$200,MATCH(Setup!$B$6&amp;"-"&amp;$C195,'Fixture Library'!$A$4:$A$200,0)),""))</f>
        <v>6</v>
      </c>
      <c r="T195">
        <f t="shared" si="15"/>
        <v>0</v>
      </c>
      <c r="U195">
        <f t="shared" si="16"/>
        <v>0</v>
      </c>
      <c r="V195">
        <f t="shared" si="17"/>
        <v>0</v>
      </c>
    </row>
    <row r="196" spans="1:22">
      <c r="A196">
        <v>193</v>
      </c>
      <c r="B196" t="str">
        <f>IF(INT(($A196-1)/Setup!$B$15)+1&lt;=Setup!$B$5,INDEX(Setup!$B$21:$B$28,INT(($A196-1)/Setup!$B$15)+1),"")</f>
        <v>G</v>
      </c>
      <c r="C196">
        <f>IF($B196="","",MOD($A196-1,Setup!$B$15)+1)</f>
        <v>25</v>
      </c>
      <c r="D196">
        <f>IF(OR($B196="",$C196&gt;Setup!$B$15),"",IFERROR(INDEX('Fixture Library'!$D$4:$D$200,MATCH(Setup!$B$6&amp;"-"&amp;$C196,'Fixture Library'!$A$4:$A$200,0)),""))</f>
        <v>7</v>
      </c>
      <c r="E196" t="str">
        <f>IF($R196="","",IFERROR(INDEX(Teams!$D$4:$D$67,MATCH($B196&amp;"-"&amp;$R196,Teams!$E$4:$E$67,0)),""))</f>
        <v>Team G1</v>
      </c>
      <c r="F196" s="88"/>
      <c r="G196" s="88"/>
      <c r="H196" s="88"/>
      <c r="I196" t="str">
        <f>IF($Q196&lt;&gt;"Complete","",IF(AND(ISNUMBER($G196),$G196&gt;=Setup!$B$31),Setup!$B$32,0)+IF(AND($F196&lt;$L196,$L196-$F196&lt;=Setup!$B$33),Setup!$B$34,0))</f>
        <v/>
      </c>
      <c r="J196" t="str">
        <f t="shared" ref="J196:J227" si="18">IF($Q196&lt;&gt;"Complete","",IF(ISNUMBER($H196),$H196,$I196))</f>
        <v/>
      </c>
      <c r="K196" t="str">
        <f>IF($S196="","",IFERROR(INDEX(Teams!$D$4:$D$67,MATCH($B196&amp;"-"&amp;$S196,Teams!$E$4:$E$67,0)),""))</f>
        <v>Team G2</v>
      </c>
      <c r="L196" s="88"/>
      <c r="M196" s="88"/>
      <c r="N196" s="88"/>
      <c r="O196" t="str">
        <f>IF($Q196&lt;&gt;"Complete","",IF(AND(ISNUMBER($M196),$M196&gt;=Setup!$B$31),Setup!$B$32,0)+IF(AND($L196&lt;$F196,$F196-$L196&lt;=Setup!$B$33),Setup!$B$34,0))</f>
        <v/>
      </c>
      <c r="P196" t="str">
        <f t="shared" ref="P196:P227" si="19">IF($Q196&lt;&gt;"Complete","",IF(ISNUMBER($N196),$N196,$O196))</f>
        <v/>
      </c>
      <c r="Q196" t="str">
        <f t="shared" ref="Q196:Q227" si="20">IF(OR($E196="",$K196=""),"",IF(AND(ISNUMBER($F196),ISNUMBER($L196)),"Complete","Waiting"))</f>
        <v>Waiting</v>
      </c>
      <c r="R196">
        <f>IF(OR($B196="",$C196&gt;Setup!$B$15),"",IFERROR(INDEX('Fixture Library'!$E$4:$E$200,MATCH(Setup!$B$6&amp;"-"&amp;$C196,'Fixture Library'!$A$4:$A$200,0)),""))</f>
        <v>1</v>
      </c>
      <c r="S196">
        <f>IF(OR($B196="",$C196&gt;Setup!$B$15),"",IFERROR(INDEX('Fixture Library'!$F$4:$F$200,MATCH(Setup!$B$6&amp;"-"&amp;$C196,'Fixture Library'!$A$4:$A$200,0)),""))</f>
        <v>2</v>
      </c>
      <c r="T196">
        <f t="shared" ref="T196:T227" si="21">IF($Q196&lt;&gt;"Complete",0,IF($F196&gt;$L196,1,0))</f>
        <v>0</v>
      </c>
      <c r="U196">
        <f t="shared" ref="U196:U227" si="22">IF($Q196&lt;&gt;"Complete",0,IF($L196&gt;$F196,1,0))</f>
        <v>0</v>
      </c>
      <c r="V196">
        <f t="shared" ref="V196:V227" si="23">IF($Q196&lt;&gt;"Complete",0,IF($F196=$L196,1,0))</f>
        <v>0</v>
      </c>
    </row>
    <row r="197" spans="1:22">
      <c r="A197">
        <v>194</v>
      </c>
      <c r="B197" t="str">
        <f>IF(INT(($A197-1)/Setup!$B$15)+1&lt;=Setup!$B$5,INDEX(Setup!$B$21:$B$28,INT(($A197-1)/Setup!$B$15)+1),"")</f>
        <v>G</v>
      </c>
      <c r="C197">
        <f>IF($B197="","",MOD($A197-1,Setup!$B$15)+1)</f>
        <v>26</v>
      </c>
      <c r="D197">
        <f>IF(OR($B197="",$C197&gt;Setup!$B$15),"",IFERROR(INDEX('Fixture Library'!$D$4:$D$200,MATCH(Setup!$B$6&amp;"-"&amp;$C197,'Fixture Library'!$A$4:$A$200,0)),""))</f>
        <v>7</v>
      </c>
      <c r="E197" t="str">
        <f>IF($R197="","",IFERROR(INDEX(Teams!$D$4:$D$67,MATCH($B197&amp;"-"&amp;$R197,Teams!$E$4:$E$67,0)),""))</f>
        <v>Team G3</v>
      </c>
      <c r="F197" s="88"/>
      <c r="G197" s="88"/>
      <c r="H197" s="88"/>
      <c r="I197" t="str">
        <f>IF($Q197&lt;&gt;"Complete","",IF(AND(ISNUMBER($G197),$G197&gt;=Setup!$B$31),Setup!$B$32,0)+IF(AND($F197&lt;$L197,$L197-$F197&lt;=Setup!$B$33),Setup!$B$34,0))</f>
        <v/>
      </c>
      <c r="J197" t="str">
        <f t="shared" si="18"/>
        <v/>
      </c>
      <c r="K197" t="str">
        <f>IF($S197="","",IFERROR(INDEX(Teams!$D$4:$D$67,MATCH($B197&amp;"-"&amp;$S197,Teams!$E$4:$E$67,0)),""))</f>
        <v>Team G8</v>
      </c>
      <c r="L197" s="88"/>
      <c r="M197" s="88"/>
      <c r="N197" s="88"/>
      <c r="O197" t="str">
        <f>IF($Q197&lt;&gt;"Complete","",IF(AND(ISNUMBER($M197),$M197&gt;=Setup!$B$31),Setup!$B$32,0)+IF(AND($L197&lt;$F197,$F197-$L197&lt;=Setup!$B$33),Setup!$B$34,0))</f>
        <v/>
      </c>
      <c r="P197" t="str">
        <f t="shared" si="19"/>
        <v/>
      </c>
      <c r="Q197" t="str">
        <f t="shared" si="20"/>
        <v>Waiting</v>
      </c>
      <c r="R197">
        <f>IF(OR($B197="",$C197&gt;Setup!$B$15),"",IFERROR(INDEX('Fixture Library'!$E$4:$E$200,MATCH(Setup!$B$6&amp;"-"&amp;$C197,'Fixture Library'!$A$4:$A$200,0)),""))</f>
        <v>3</v>
      </c>
      <c r="S197">
        <f>IF(OR($B197="",$C197&gt;Setup!$B$15),"",IFERROR(INDEX('Fixture Library'!$F$4:$F$200,MATCH(Setup!$B$6&amp;"-"&amp;$C197,'Fixture Library'!$A$4:$A$200,0)),""))</f>
        <v>8</v>
      </c>
      <c r="T197">
        <f t="shared" si="21"/>
        <v>0</v>
      </c>
      <c r="U197">
        <f t="shared" si="22"/>
        <v>0</v>
      </c>
      <c r="V197">
        <f t="shared" si="23"/>
        <v>0</v>
      </c>
    </row>
    <row r="198" spans="1:22">
      <c r="A198">
        <v>195</v>
      </c>
      <c r="B198" t="str">
        <f>IF(INT(($A198-1)/Setup!$B$15)+1&lt;=Setup!$B$5,INDEX(Setup!$B$21:$B$28,INT(($A198-1)/Setup!$B$15)+1),"")</f>
        <v>G</v>
      </c>
      <c r="C198">
        <f>IF($B198="","",MOD($A198-1,Setup!$B$15)+1)</f>
        <v>27</v>
      </c>
      <c r="D198">
        <f>IF(OR($B198="",$C198&gt;Setup!$B$15),"",IFERROR(INDEX('Fixture Library'!$D$4:$D$200,MATCH(Setup!$B$6&amp;"-"&amp;$C198,'Fixture Library'!$A$4:$A$200,0)),""))</f>
        <v>7</v>
      </c>
      <c r="E198" t="str">
        <f>IF($R198="","",IFERROR(INDEX(Teams!$D$4:$D$67,MATCH($B198&amp;"-"&amp;$R198,Teams!$E$4:$E$67,0)),""))</f>
        <v>Team G4</v>
      </c>
      <c r="F198" s="88"/>
      <c r="G198" s="88"/>
      <c r="H198" s="88"/>
      <c r="I198" t="str">
        <f>IF($Q198&lt;&gt;"Complete","",IF(AND(ISNUMBER($G198),$G198&gt;=Setup!$B$31),Setup!$B$32,0)+IF(AND($F198&lt;$L198,$L198-$F198&lt;=Setup!$B$33),Setup!$B$34,0))</f>
        <v/>
      </c>
      <c r="J198" t="str">
        <f t="shared" si="18"/>
        <v/>
      </c>
      <c r="K198" t="str">
        <f>IF($S198="","",IFERROR(INDEX(Teams!$D$4:$D$67,MATCH($B198&amp;"-"&amp;$S198,Teams!$E$4:$E$67,0)),""))</f>
        <v>Team G7</v>
      </c>
      <c r="L198" s="88"/>
      <c r="M198" s="88"/>
      <c r="N198" s="88"/>
      <c r="O198" t="str">
        <f>IF($Q198&lt;&gt;"Complete","",IF(AND(ISNUMBER($M198),$M198&gt;=Setup!$B$31),Setup!$B$32,0)+IF(AND($L198&lt;$F198,$F198-$L198&lt;=Setup!$B$33),Setup!$B$34,0))</f>
        <v/>
      </c>
      <c r="P198" t="str">
        <f t="shared" si="19"/>
        <v/>
      </c>
      <c r="Q198" t="str">
        <f t="shared" si="20"/>
        <v>Waiting</v>
      </c>
      <c r="R198">
        <f>IF(OR($B198="",$C198&gt;Setup!$B$15),"",IFERROR(INDEX('Fixture Library'!$E$4:$E$200,MATCH(Setup!$B$6&amp;"-"&amp;$C198,'Fixture Library'!$A$4:$A$200,0)),""))</f>
        <v>4</v>
      </c>
      <c r="S198">
        <f>IF(OR($B198="",$C198&gt;Setup!$B$15),"",IFERROR(INDEX('Fixture Library'!$F$4:$F$200,MATCH(Setup!$B$6&amp;"-"&amp;$C198,'Fixture Library'!$A$4:$A$200,0)),""))</f>
        <v>7</v>
      </c>
      <c r="T198">
        <f t="shared" si="21"/>
        <v>0</v>
      </c>
      <c r="U198">
        <f t="shared" si="22"/>
        <v>0</v>
      </c>
      <c r="V198">
        <f t="shared" si="23"/>
        <v>0</v>
      </c>
    </row>
    <row r="199" spans="1:22">
      <c r="A199">
        <v>196</v>
      </c>
      <c r="B199" t="str">
        <f>IF(INT(($A199-1)/Setup!$B$15)+1&lt;=Setup!$B$5,INDEX(Setup!$B$21:$B$28,INT(($A199-1)/Setup!$B$15)+1),"")</f>
        <v>G</v>
      </c>
      <c r="C199">
        <f>IF($B199="","",MOD($A199-1,Setup!$B$15)+1)</f>
        <v>28</v>
      </c>
      <c r="D199">
        <f>IF(OR($B199="",$C199&gt;Setup!$B$15),"",IFERROR(INDEX('Fixture Library'!$D$4:$D$200,MATCH(Setup!$B$6&amp;"-"&amp;$C199,'Fixture Library'!$A$4:$A$200,0)),""))</f>
        <v>7</v>
      </c>
      <c r="E199" t="str">
        <f>IF($R199="","",IFERROR(INDEX(Teams!$D$4:$D$67,MATCH($B199&amp;"-"&amp;$R199,Teams!$E$4:$E$67,0)),""))</f>
        <v>Team G5</v>
      </c>
      <c r="F199" s="88"/>
      <c r="G199" s="88"/>
      <c r="H199" s="88"/>
      <c r="I199" t="str">
        <f>IF($Q199&lt;&gt;"Complete","",IF(AND(ISNUMBER($G199),$G199&gt;=Setup!$B$31),Setup!$B$32,0)+IF(AND($F199&lt;$L199,$L199-$F199&lt;=Setup!$B$33),Setup!$B$34,0))</f>
        <v/>
      </c>
      <c r="J199" t="str">
        <f t="shared" si="18"/>
        <v/>
      </c>
      <c r="K199" t="str">
        <f>IF($S199="","",IFERROR(INDEX(Teams!$D$4:$D$67,MATCH($B199&amp;"-"&amp;$S199,Teams!$E$4:$E$67,0)),""))</f>
        <v>Team G6</v>
      </c>
      <c r="L199" s="88"/>
      <c r="M199" s="88"/>
      <c r="N199" s="88"/>
      <c r="O199" t="str">
        <f>IF($Q199&lt;&gt;"Complete","",IF(AND(ISNUMBER($M199),$M199&gt;=Setup!$B$31),Setup!$B$32,0)+IF(AND($L199&lt;$F199,$F199-$L199&lt;=Setup!$B$33),Setup!$B$34,0))</f>
        <v/>
      </c>
      <c r="P199" t="str">
        <f t="shared" si="19"/>
        <v/>
      </c>
      <c r="Q199" t="str">
        <f t="shared" si="20"/>
        <v>Waiting</v>
      </c>
      <c r="R199">
        <f>IF(OR($B199="",$C199&gt;Setup!$B$15),"",IFERROR(INDEX('Fixture Library'!$E$4:$E$200,MATCH(Setup!$B$6&amp;"-"&amp;$C199,'Fixture Library'!$A$4:$A$200,0)),""))</f>
        <v>5</v>
      </c>
      <c r="S199">
        <f>IF(OR($B199="",$C199&gt;Setup!$B$15),"",IFERROR(INDEX('Fixture Library'!$F$4:$F$200,MATCH(Setup!$B$6&amp;"-"&amp;$C199,'Fixture Library'!$A$4:$A$200,0)),""))</f>
        <v>6</v>
      </c>
      <c r="T199">
        <f t="shared" si="21"/>
        <v>0</v>
      </c>
      <c r="U199">
        <f t="shared" si="22"/>
        <v>0</v>
      </c>
      <c r="V199">
        <f t="shared" si="23"/>
        <v>0</v>
      </c>
    </row>
    <row r="200" spans="1:22">
      <c r="A200">
        <v>197</v>
      </c>
      <c r="B200" t="str">
        <f>IF(INT(($A200-1)/Setup!$B$15)+1&lt;=Setup!$B$5,INDEX(Setup!$B$21:$B$28,INT(($A200-1)/Setup!$B$15)+1),"")</f>
        <v>H</v>
      </c>
      <c r="C200">
        <f>IF($B200="","",MOD($A200-1,Setup!$B$15)+1)</f>
        <v>1</v>
      </c>
      <c r="D200">
        <f>IF(OR($B200="",$C200&gt;Setup!$B$15),"",IFERROR(INDEX('Fixture Library'!$D$4:$D$200,MATCH(Setup!$B$6&amp;"-"&amp;$C200,'Fixture Library'!$A$4:$A$200,0)),""))</f>
        <v>1</v>
      </c>
      <c r="E200" t="str">
        <f>IF($R200="","",IFERROR(INDEX(Teams!$D$4:$D$67,MATCH($B200&amp;"-"&amp;$R200,Teams!$E$4:$E$67,0)),""))</f>
        <v>Team H1</v>
      </c>
      <c r="F200" s="88"/>
      <c r="G200" s="88"/>
      <c r="H200" s="88"/>
      <c r="I200" t="str">
        <f>IF($Q200&lt;&gt;"Complete","",IF(AND(ISNUMBER($G200),$G200&gt;=Setup!$B$31),Setup!$B$32,0)+IF(AND($F200&lt;$L200,$L200-$F200&lt;=Setup!$B$33),Setup!$B$34,0))</f>
        <v/>
      </c>
      <c r="J200" t="str">
        <f t="shared" si="18"/>
        <v/>
      </c>
      <c r="K200" t="str">
        <f>IF($S200="","",IFERROR(INDEX(Teams!$D$4:$D$67,MATCH($B200&amp;"-"&amp;$S200,Teams!$E$4:$E$67,0)),""))</f>
        <v>Team H8</v>
      </c>
      <c r="L200" s="88"/>
      <c r="M200" s="88"/>
      <c r="N200" s="88"/>
      <c r="O200" t="str">
        <f>IF($Q200&lt;&gt;"Complete","",IF(AND(ISNUMBER($M200),$M200&gt;=Setup!$B$31),Setup!$B$32,0)+IF(AND($L200&lt;$F200,$F200-$L200&lt;=Setup!$B$33),Setup!$B$34,0))</f>
        <v/>
      </c>
      <c r="P200" t="str">
        <f t="shared" si="19"/>
        <v/>
      </c>
      <c r="Q200" t="str">
        <f t="shared" si="20"/>
        <v>Waiting</v>
      </c>
      <c r="R200">
        <f>IF(OR($B200="",$C200&gt;Setup!$B$15),"",IFERROR(INDEX('Fixture Library'!$E$4:$E$200,MATCH(Setup!$B$6&amp;"-"&amp;$C200,'Fixture Library'!$A$4:$A$200,0)),""))</f>
        <v>1</v>
      </c>
      <c r="S200">
        <f>IF(OR($B200="",$C200&gt;Setup!$B$15),"",IFERROR(INDEX('Fixture Library'!$F$4:$F$200,MATCH(Setup!$B$6&amp;"-"&amp;$C200,'Fixture Library'!$A$4:$A$200,0)),""))</f>
        <v>8</v>
      </c>
      <c r="T200">
        <f t="shared" si="21"/>
        <v>0</v>
      </c>
      <c r="U200">
        <f t="shared" si="22"/>
        <v>0</v>
      </c>
      <c r="V200">
        <f t="shared" si="23"/>
        <v>0</v>
      </c>
    </row>
    <row r="201" spans="1:22">
      <c r="A201">
        <v>198</v>
      </c>
      <c r="B201" t="str">
        <f>IF(INT(($A201-1)/Setup!$B$15)+1&lt;=Setup!$B$5,INDEX(Setup!$B$21:$B$28,INT(($A201-1)/Setup!$B$15)+1),"")</f>
        <v>H</v>
      </c>
      <c r="C201">
        <f>IF($B201="","",MOD($A201-1,Setup!$B$15)+1)</f>
        <v>2</v>
      </c>
      <c r="D201">
        <f>IF(OR($B201="",$C201&gt;Setup!$B$15),"",IFERROR(INDEX('Fixture Library'!$D$4:$D$200,MATCH(Setup!$B$6&amp;"-"&amp;$C201,'Fixture Library'!$A$4:$A$200,0)),""))</f>
        <v>1</v>
      </c>
      <c r="E201" t="str">
        <f>IF($R201="","",IFERROR(INDEX(Teams!$D$4:$D$67,MATCH($B201&amp;"-"&amp;$R201,Teams!$E$4:$E$67,0)),""))</f>
        <v>Team H2</v>
      </c>
      <c r="F201" s="88"/>
      <c r="G201" s="88"/>
      <c r="H201" s="88"/>
      <c r="I201" t="str">
        <f>IF($Q201&lt;&gt;"Complete","",IF(AND(ISNUMBER($G201),$G201&gt;=Setup!$B$31),Setup!$B$32,0)+IF(AND($F201&lt;$L201,$L201-$F201&lt;=Setup!$B$33),Setup!$B$34,0))</f>
        <v/>
      </c>
      <c r="J201" t="str">
        <f t="shared" si="18"/>
        <v/>
      </c>
      <c r="K201" t="str">
        <f>IF($S201="","",IFERROR(INDEX(Teams!$D$4:$D$67,MATCH($B201&amp;"-"&amp;$S201,Teams!$E$4:$E$67,0)),""))</f>
        <v>Team H7</v>
      </c>
      <c r="L201" s="88"/>
      <c r="M201" s="88"/>
      <c r="N201" s="88"/>
      <c r="O201" t="str">
        <f>IF($Q201&lt;&gt;"Complete","",IF(AND(ISNUMBER($M201),$M201&gt;=Setup!$B$31),Setup!$B$32,0)+IF(AND($L201&lt;$F201,$F201-$L201&lt;=Setup!$B$33),Setup!$B$34,0))</f>
        <v/>
      </c>
      <c r="P201" t="str">
        <f t="shared" si="19"/>
        <v/>
      </c>
      <c r="Q201" t="str">
        <f t="shared" si="20"/>
        <v>Waiting</v>
      </c>
      <c r="R201">
        <f>IF(OR($B201="",$C201&gt;Setup!$B$15),"",IFERROR(INDEX('Fixture Library'!$E$4:$E$200,MATCH(Setup!$B$6&amp;"-"&amp;$C201,'Fixture Library'!$A$4:$A$200,0)),""))</f>
        <v>2</v>
      </c>
      <c r="S201">
        <f>IF(OR($B201="",$C201&gt;Setup!$B$15),"",IFERROR(INDEX('Fixture Library'!$F$4:$F$200,MATCH(Setup!$B$6&amp;"-"&amp;$C201,'Fixture Library'!$A$4:$A$200,0)),""))</f>
        <v>7</v>
      </c>
      <c r="T201">
        <f t="shared" si="21"/>
        <v>0</v>
      </c>
      <c r="U201">
        <f t="shared" si="22"/>
        <v>0</v>
      </c>
      <c r="V201">
        <f t="shared" si="23"/>
        <v>0</v>
      </c>
    </row>
    <row r="202" spans="1:22">
      <c r="A202">
        <v>199</v>
      </c>
      <c r="B202" t="str">
        <f>IF(INT(($A202-1)/Setup!$B$15)+1&lt;=Setup!$B$5,INDEX(Setup!$B$21:$B$28,INT(($A202-1)/Setup!$B$15)+1),"")</f>
        <v>H</v>
      </c>
      <c r="C202">
        <f>IF($B202="","",MOD($A202-1,Setup!$B$15)+1)</f>
        <v>3</v>
      </c>
      <c r="D202">
        <f>IF(OR($B202="",$C202&gt;Setup!$B$15),"",IFERROR(INDEX('Fixture Library'!$D$4:$D$200,MATCH(Setup!$B$6&amp;"-"&amp;$C202,'Fixture Library'!$A$4:$A$200,0)),""))</f>
        <v>1</v>
      </c>
      <c r="E202" t="str">
        <f>IF($R202="","",IFERROR(INDEX(Teams!$D$4:$D$67,MATCH($B202&amp;"-"&amp;$R202,Teams!$E$4:$E$67,0)),""))</f>
        <v>Team H3</v>
      </c>
      <c r="F202" s="88"/>
      <c r="G202" s="88"/>
      <c r="H202" s="88"/>
      <c r="I202" t="str">
        <f>IF($Q202&lt;&gt;"Complete","",IF(AND(ISNUMBER($G202),$G202&gt;=Setup!$B$31),Setup!$B$32,0)+IF(AND($F202&lt;$L202,$L202-$F202&lt;=Setup!$B$33),Setup!$B$34,0))</f>
        <v/>
      </c>
      <c r="J202" t="str">
        <f t="shared" si="18"/>
        <v/>
      </c>
      <c r="K202" t="str">
        <f>IF($S202="","",IFERROR(INDEX(Teams!$D$4:$D$67,MATCH($B202&amp;"-"&amp;$S202,Teams!$E$4:$E$67,0)),""))</f>
        <v>Team H6</v>
      </c>
      <c r="L202" s="88"/>
      <c r="M202" s="88"/>
      <c r="N202" s="88"/>
      <c r="O202" t="str">
        <f>IF($Q202&lt;&gt;"Complete","",IF(AND(ISNUMBER($M202),$M202&gt;=Setup!$B$31),Setup!$B$32,0)+IF(AND($L202&lt;$F202,$F202-$L202&lt;=Setup!$B$33),Setup!$B$34,0))</f>
        <v/>
      </c>
      <c r="P202" t="str">
        <f t="shared" si="19"/>
        <v/>
      </c>
      <c r="Q202" t="str">
        <f t="shared" si="20"/>
        <v>Waiting</v>
      </c>
      <c r="R202">
        <f>IF(OR($B202="",$C202&gt;Setup!$B$15),"",IFERROR(INDEX('Fixture Library'!$E$4:$E$200,MATCH(Setup!$B$6&amp;"-"&amp;$C202,'Fixture Library'!$A$4:$A$200,0)),""))</f>
        <v>3</v>
      </c>
      <c r="S202">
        <f>IF(OR($B202="",$C202&gt;Setup!$B$15),"",IFERROR(INDEX('Fixture Library'!$F$4:$F$200,MATCH(Setup!$B$6&amp;"-"&amp;$C202,'Fixture Library'!$A$4:$A$200,0)),""))</f>
        <v>6</v>
      </c>
      <c r="T202">
        <f t="shared" si="21"/>
        <v>0</v>
      </c>
      <c r="U202">
        <f t="shared" si="22"/>
        <v>0</v>
      </c>
      <c r="V202">
        <f t="shared" si="23"/>
        <v>0</v>
      </c>
    </row>
    <row r="203" spans="1:22">
      <c r="A203">
        <v>200</v>
      </c>
      <c r="B203" t="str">
        <f>IF(INT(($A203-1)/Setup!$B$15)+1&lt;=Setup!$B$5,INDEX(Setup!$B$21:$B$28,INT(($A203-1)/Setup!$B$15)+1),"")</f>
        <v>H</v>
      </c>
      <c r="C203">
        <f>IF($B203="","",MOD($A203-1,Setup!$B$15)+1)</f>
        <v>4</v>
      </c>
      <c r="D203">
        <f>IF(OR($B203="",$C203&gt;Setup!$B$15),"",IFERROR(INDEX('Fixture Library'!$D$4:$D$200,MATCH(Setup!$B$6&amp;"-"&amp;$C203,'Fixture Library'!$A$4:$A$200,0)),""))</f>
        <v>1</v>
      </c>
      <c r="E203" t="str">
        <f>IF($R203="","",IFERROR(INDEX(Teams!$D$4:$D$67,MATCH($B203&amp;"-"&amp;$R203,Teams!$E$4:$E$67,0)),""))</f>
        <v>Team H4</v>
      </c>
      <c r="F203" s="88"/>
      <c r="G203" s="88"/>
      <c r="H203" s="88"/>
      <c r="I203" t="str">
        <f>IF($Q203&lt;&gt;"Complete","",IF(AND(ISNUMBER($G203),$G203&gt;=Setup!$B$31),Setup!$B$32,0)+IF(AND($F203&lt;$L203,$L203-$F203&lt;=Setup!$B$33),Setup!$B$34,0))</f>
        <v/>
      </c>
      <c r="J203" t="str">
        <f t="shared" si="18"/>
        <v/>
      </c>
      <c r="K203" t="str">
        <f>IF($S203="","",IFERROR(INDEX(Teams!$D$4:$D$67,MATCH($B203&amp;"-"&amp;$S203,Teams!$E$4:$E$67,0)),""))</f>
        <v>Team H5</v>
      </c>
      <c r="L203" s="88"/>
      <c r="M203" s="88"/>
      <c r="N203" s="88"/>
      <c r="O203" t="str">
        <f>IF($Q203&lt;&gt;"Complete","",IF(AND(ISNUMBER($M203),$M203&gt;=Setup!$B$31),Setup!$B$32,0)+IF(AND($L203&lt;$F203,$F203-$L203&lt;=Setup!$B$33),Setup!$B$34,0))</f>
        <v/>
      </c>
      <c r="P203" t="str">
        <f t="shared" si="19"/>
        <v/>
      </c>
      <c r="Q203" t="str">
        <f t="shared" si="20"/>
        <v>Waiting</v>
      </c>
      <c r="R203">
        <f>IF(OR($B203="",$C203&gt;Setup!$B$15),"",IFERROR(INDEX('Fixture Library'!$E$4:$E$200,MATCH(Setup!$B$6&amp;"-"&amp;$C203,'Fixture Library'!$A$4:$A$200,0)),""))</f>
        <v>4</v>
      </c>
      <c r="S203">
        <f>IF(OR($B203="",$C203&gt;Setup!$B$15),"",IFERROR(INDEX('Fixture Library'!$F$4:$F$200,MATCH(Setup!$B$6&amp;"-"&amp;$C203,'Fixture Library'!$A$4:$A$200,0)),""))</f>
        <v>5</v>
      </c>
      <c r="T203">
        <f t="shared" si="21"/>
        <v>0</v>
      </c>
      <c r="U203">
        <f t="shared" si="22"/>
        <v>0</v>
      </c>
      <c r="V203">
        <f t="shared" si="23"/>
        <v>0</v>
      </c>
    </row>
    <row r="204" spans="1:22">
      <c r="A204">
        <v>201</v>
      </c>
      <c r="B204" t="str">
        <f>IF(INT(($A204-1)/Setup!$B$15)+1&lt;=Setup!$B$5,INDEX(Setup!$B$21:$B$28,INT(($A204-1)/Setup!$B$15)+1),"")</f>
        <v>H</v>
      </c>
      <c r="C204">
        <f>IF($B204="","",MOD($A204-1,Setup!$B$15)+1)</f>
        <v>5</v>
      </c>
      <c r="D204">
        <f>IF(OR($B204="",$C204&gt;Setup!$B$15),"",IFERROR(INDEX('Fixture Library'!$D$4:$D$200,MATCH(Setup!$B$6&amp;"-"&amp;$C204,'Fixture Library'!$A$4:$A$200,0)),""))</f>
        <v>2</v>
      </c>
      <c r="E204" t="str">
        <f>IF($R204="","",IFERROR(INDEX(Teams!$D$4:$D$67,MATCH($B204&amp;"-"&amp;$R204,Teams!$E$4:$E$67,0)),""))</f>
        <v>Team H7</v>
      </c>
      <c r="F204" s="88"/>
      <c r="G204" s="88"/>
      <c r="H204" s="88"/>
      <c r="I204" t="str">
        <f>IF($Q204&lt;&gt;"Complete","",IF(AND(ISNUMBER($G204),$G204&gt;=Setup!$B$31),Setup!$B$32,0)+IF(AND($F204&lt;$L204,$L204-$F204&lt;=Setup!$B$33),Setup!$B$34,0))</f>
        <v/>
      </c>
      <c r="J204" t="str">
        <f t="shared" si="18"/>
        <v/>
      </c>
      <c r="K204" t="str">
        <f>IF($S204="","",IFERROR(INDEX(Teams!$D$4:$D$67,MATCH($B204&amp;"-"&amp;$S204,Teams!$E$4:$E$67,0)),""))</f>
        <v>Team H1</v>
      </c>
      <c r="L204" s="88"/>
      <c r="M204" s="88"/>
      <c r="N204" s="88"/>
      <c r="O204" t="str">
        <f>IF($Q204&lt;&gt;"Complete","",IF(AND(ISNUMBER($M204),$M204&gt;=Setup!$B$31),Setup!$B$32,0)+IF(AND($L204&lt;$F204,$F204-$L204&lt;=Setup!$B$33),Setup!$B$34,0))</f>
        <v/>
      </c>
      <c r="P204" t="str">
        <f t="shared" si="19"/>
        <v/>
      </c>
      <c r="Q204" t="str">
        <f t="shared" si="20"/>
        <v>Waiting</v>
      </c>
      <c r="R204">
        <f>IF(OR($B204="",$C204&gt;Setup!$B$15),"",IFERROR(INDEX('Fixture Library'!$E$4:$E$200,MATCH(Setup!$B$6&amp;"-"&amp;$C204,'Fixture Library'!$A$4:$A$200,0)),""))</f>
        <v>7</v>
      </c>
      <c r="S204">
        <f>IF(OR($B204="",$C204&gt;Setup!$B$15),"",IFERROR(INDEX('Fixture Library'!$F$4:$F$200,MATCH(Setup!$B$6&amp;"-"&amp;$C204,'Fixture Library'!$A$4:$A$200,0)),""))</f>
        <v>1</v>
      </c>
      <c r="T204">
        <f t="shared" si="21"/>
        <v>0</v>
      </c>
      <c r="U204">
        <f t="shared" si="22"/>
        <v>0</v>
      </c>
      <c r="V204">
        <f t="shared" si="23"/>
        <v>0</v>
      </c>
    </row>
    <row r="205" spans="1:22">
      <c r="A205">
        <v>202</v>
      </c>
      <c r="B205" t="str">
        <f>IF(INT(($A205-1)/Setup!$B$15)+1&lt;=Setup!$B$5,INDEX(Setup!$B$21:$B$28,INT(($A205-1)/Setup!$B$15)+1),"")</f>
        <v>H</v>
      </c>
      <c r="C205">
        <f>IF($B205="","",MOD($A205-1,Setup!$B$15)+1)</f>
        <v>6</v>
      </c>
      <c r="D205">
        <f>IF(OR($B205="",$C205&gt;Setup!$B$15),"",IFERROR(INDEX('Fixture Library'!$D$4:$D$200,MATCH(Setup!$B$6&amp;"-"&amp;$C205,'Fixture Library'!$A$4:$A$200,0)),""))</f>
        <v>2</v>
      </c>
      <c r="E205" t="str">
        <f>IF($R205="","",IFERROR(INDEX(Teams!$D$4:$D$67,MATCH($B205&amp;"-"&amp;$R205,Teams!$E$4:$E$67,0)),""))</f>
        <v>Team H6</v>
      </c>
      <c r="F205" s="88"/>
      <c r="G205" s="88"/>
      <c r="H205" s="88"/>
      <c r="I205" t="str">
        <f>IF($Q205&lt;&gt;"Complete","",IF(AND(ISNUMBER($G205),$G205&gt;=Setup!$B$31),Setup!$B$32,0)+IF(AND($F205&lt;$L205,$L205-$F205&lt;=Setup!$B$33),Setup!$B$34,0))</f>
        <v/>
      </c>
      <c r="J205" t="str">
        <f t="shared" si="18"/>
        <v/>
      </c>
      <c r="K205" t="str">
        <f>IF($S205="","",IFERROR(INDEX(Teams!$D$4:$D$67,MATCH($B205&amp;"-"&amp;$S205,Teams!$E$4:$E$67,0)),""))</f>
        <v>Team H8</v>
      </c>
      <c r="L205" s="88"/>
      <c r="M205" s="88"/>
      <c r="N205" s="88"/>
      <c r="O205" t="str">
        <f>IF($Q205&lt;&gt;"Complete","",IF(AND(ISNUMBER($M205),$M205&gt;=Setup!$B$31),Setup!$B$32,0)+IF(AND($L205&lt;$F205,$F205-$L205&lt;=Setup!$B$33),Setup!$B$34,0))</f>
        <v/>
      </c>
      <c r="P205" t="str">
        <f t="shared" si="19"/>
        <v/>
      </c>
      <c r="Q205" t="str">
        <f t="shared" si="20"/>
        <v>Waiting</v>
      </c>
      <c r="R205">
        <f>IF(OR($B205="",$C205&gt;Setup!$B$15),"",IFERROR(INDEX('Fixture Library'!$E$4:$E$200,MATCH(Setup!$B$6&amp;"-"&amp;$C205,'Fixture Library'!$A$4:$A$200,0)),""))</f>
        <v>6</v>
      </c>
      <c r="S205">
        <f>IF(OR($B205="",$C205&gt;Setup!$B$15),"",IFERROR(INDEX('Fixture Library'!$F$4:$F$200,MATCH(Setup!$B$6&amp;"-"&amp;$C205,'Fixture Library'!$A$4:$A$200,0)),""))</f>
        <v>8</v>
      </c>
      <c r="T205">
        <f t="shared" si="21"/>
        <v>0</v>
      </c>
      <c r="U205">
        <f t="shared" si="22"/>
        <v>0</v>
      </c>
      <c r="V205">
        <f t="shared" si="23"/>
        <v>0</v>
      </c>
    </row>
    <row r="206" spans="1:22">
      <c r="A206">
        <v>203</v>
      </c>
      <c r="B206" t="str">
        <f>IF(INT(($A206-1)/Setup!$B$15)+1&lt;=Setup!$B$5,INDEX(Setup!$B$21:$B$28,INT(($A206-1)/Setup!$B$15)+1),"")</f>
        <v>H</v>
      </c>
      <c r="C206">
        <f>IF($B206="","",MOD($A206-1,Setup!$B$15)+1)</f>
        <v>7</v>
      </c>
      <c r="D206">
        <f>IF(OR($B206="",$C206&gt;Setup!$B$15),"",IFERROR(INDEX('Fixture Library'!$D$4:$D$200,MATCH(Setup!$B$6&amp;"-"&amp;$C206,'Fixture Library'!$A$4:$A$200,0)),""))</f>
        <v>2</v>
      </c>
      <c r="E206" t="str">
        <f>IF($R206="","",IFERROR(INDEX(Teams!$D$4:$D$67,MATCH($B206&amp;"-"&amp;$R206,Teams!$E$4:$E$67,0)),""))</f>
        <v>Team H5</v>
      </c>
      <c r="F206" s="88"/>
      <c r="G206" s="88"/>
      <c r="H206" s="88"/>
      <c r="I206" t="str">
        <f>IF($Q206&lt;&gt;"Complete","",IF(AND(ISNUMBER($G206),$G206&gt;=Setup!$B$31),Setup!$B$32,0)+IF(AND($F206&lt;$L206,$L206-$F206&lt;=Setup!$B$33),Setup!$B$34,0))</f>
        <v/>
      </c>
      <c r="J206" t="str">
        <f t="shared" si="18"/>
        <v/>
      </c>
      <c r="K206" t="str">
        <f>IF($S206="","",IFERROR(INDEX(Teams!$D$4:$D$67,MATCH($B206&amp;"-"&amp;$S206,Teams!$E$4:$E$67,0)),""))</f>
        <v>Team H2</v>
      </c>
      <c r="L206" s="88"/>
      <c r="M206" s="88"/>
      <c r="N206" s="88"/>
      <c r="O206" t="str">
        <f>IF($Q206&lt;&gt;"Complete","",IF(AND(ISNUMBER($M206),$M206&gt;=Setup!$B$31),Setup!$B$32,0)+IF(AND($L206&lt;$F206,$F206-$L206&lt;=Setup!$B$33),Setup!$B$34,0))</f>
        <v/>
      </c>
      <c r="P206" t="str">
        <f t="shared" si="19"/>
        <v/>
      </c>
      <c r="Q206" t="str">
        <f t="shared" si="20"/>
        <v>Waiting</v>
      </c>
      <c r="R206">
        <f>IF(OR($B206="",$C206&gt;Setup!$B$15),"",IFERROR(INDEX('Fixture Library'!$E$4:$E$200,MATCH(Setup!$B$6&amp;"-"&amp;$C206,'Fixture Library'!$A$4:$A$200,0)),""))</f>
        <v>5</v>
      </c>
      <c r="S206">
        <f>IF(OR($B206="",$C206&gt;Setup!$B$15),"",IFERROR(INDEX('Fixture Library'!$F$4:$F$200,MATCH(Setup!$B$6&amp;"-"&amp;$C206,'Fixture Library'!$A$4:$A$200,0)),""))</f>
        <v>2</v>
      </c>
      <c r="T206">
        <f t="shared" si="21"/>
        <v>0</v>
      </c>
      <c r="U206">
        <f t="shared" si="22"/>
        <v>0</v>
      </c>
      <c r="V206">
        <f t="shared" si="23"/>
        <v>0</v>
      </c>
    </row>
    <row r="207" spans="1:22">
      <c r="A207">
        <v>204</v>
      </c>
      <c r="B207" t="str">
        <f>IF(INT(($A207-1)/Setup!$B$15)+1&lt;=Setup!$B$5,INDEX(Setup!$B$21:$B$28,INT(($A207-1)/Setup!$B$15)+1),"")</f>
        <v>H</v>
      </c>
      <c r="C207">
        <f>IF($B207="","",MOD($A207-1,Setup!$B$15)+1)</f>
        <v>8</v>
      </c>
      <c r="D207">
        <f>IF(OR($B207="",$C207&gt;Setup!$B$15),"",IFERROR(INDEX('Fixture Library'!$D$4:$D$200,MATCH(Setup!$B$6&amp;"-"&amp;$C207,'Fixture Library'!$A$4:$A$200,0)),""))</f>
        <v>2</v>
      </c>
      <c r="E207" t="str">
        <f>IF($R207="","",IFERROR(INDEX(Teams!$D$4:$D$67,MATCH($B207&amp;"-"&amp;$R207,Teams!$E$4:$E$67,0)),""))</f>
        <v>Team H4</v>
      </c>
      <c r="F207" s="88"/>
      <c r="G207" s="88"/>
      <c r="H207" s="88"/>
      <c r="I207" t="str">
        <f>IF($Q207&lt;&gt;"Complete","",IF(AND(ISNUMBER($G207),$G207&gt;=Setup!$B$31),Setup!$B$32,0)+IF(AND($F207&lt;$L207,$L207-$F207&lt;=Setup!$B$33),Setup!$B$34,0))</f>
        <v/>
      </c>
      <c r="J207" t="str">
        <f t="shared" si="18"/>
        <v/>
      </c>
      <c r="K207" t="str">
        <f>IF($S207="","",IFERROR(INDEX(Teams!$D$4:$D$67,MATCH($B207&amp;"-"&amp;$S207,Teams!$E$4:$E$67,0)),""))</f>
        <v>Team H3</v>
      </c>
      <c r="L207" s="88"/>
      <c r="M207" s="88"/>
      <c r="N207" s="88"/>
      <c r="O207" t="str">
        <f>IF($Q207&lt;&gt;"Complete","",IF(AND(ISNUMBER($M207),$M207&gt;=Setup!$B$31),Setup!$B$32,0)+IF(AND($L207&lt;$F207,$F207-$L207&lt;=Setup!$B$33),Setup!$B$34,0))</f>
        <v/>
      </c>
      <c r="P207" t="str">
        <f t="shared" si="19"/>
        <v/>
      </c>
      <c r="Q207" t="str">
        <f t="shared" si="20"/>
        <v>Waiting</v>
      </c>
      <c r="R207">
        <f>IF(OR($B207="",$C207&gt;Setup!$B$15),"",IFERROR(INDEX('Fixture Library'!$E$4:$E$200,MATCH(Setup!$B$6&amp;"-"&amp;$C207,'Fixture Library'!$A$4:$A$200,0)),""))</f>
        <v>4</v>
      </c>
      <c r="S207">
        <f>IF(OR($B207="",$C207&gt;Setup!$B$15),"",IFERROR(INDEX('Fixture Library'!$F$4:$F$200,MATCH(Setup!$B$6&amp;"-"&amp;$C207,'Fixture Library'!$A$4:$A$200,0)),""))</f>
        <v>3</v>
      </c>
      <c r="T207">
        <f t="shared" si="21"/>
        <v>0</v>
      </c>
      <c r="U207">
        <f t="shared" si="22"/>
        <v>0</v>
      </c>
      <c r="V207">
        <f t="shared" si="23"/>
        <v>0</v>
      </c>
    </row>
    <row r="208" spans="1:22">
      <c r="A208">
        <v>205</v>
      </c>
      <c r="B208" t="str">
        <f>IF(INT(($A208-1)/Setup!$B$15)+1&lt;=Setup!$B$5,INDEX(Setup!$B$21:$B$28,INT(($A208-1)/Setup!$B$15)+1),"")</f>
        <v>H</v>
      </c>
      <c r="C208">
        <f>IF($B208="","",MOD($A208-1,Setup!$B$15)+1)</f>
        <v>9</v>
      </c>
      <c r="D208">
        <f>IF(OR($B208="",$C208&gt;Setup!$B$15),"",IFERROR(INDEX('Fixture Library'!$D$4:$D$200,MATCH(Setup!$B$6&amp;"-"&amp;$C208,'Fixture Library'!$A$4:$A$200,0)),""))</f>
        <v>3</v>
      </c>
      <c r="E208" t="str">
        <f>IF($R208="","",IFERROR(INDEX(Teams!$D$4:$D$67,MATCH($B208&amp;"-"&amp;$R208,Teams!$E$4:$E$67,0)),""))</f>
        <v>Team H1</v>
      </c>
      <c r="F208" s="88"/>
      <c r="G208" s="88"/>
      <c r="H208" s="88"/>
      <c r="I208" t="str">
        <f>IF($Q208&lt;&gt;"Complete","",IF(AND(ISNUMBER($G208),$G208&gt;=Setup!$B$31),Setup!$B$32,0)+IF(AND($F208&lt;$L208,$L208-$F208&lt;=Setup!$B$33),Setup!$B$34,0))</f>
        <v/>
      </c>
      <c r="J208" t="str">
        <f t="shared" si="18"/>
        <v/>
      </c>
      <c r="K208" t="str">
        <f>IF($S208="","",IFERROR(INDEX(Teams!$D$4:$D$67,MATCH($B208&amp;"-"&amp;$S208,Teams!$E$4:$E$67,0)),""))</f>
        <v>Team H6</v>
      </c>
      <c r="L208" s="88"/>
      <c r="M208" s="88"/>
      <c r="N208" s="88"/>
      <c r="O208" t="str">
        <f>IF($Q208&lt;&gt;"Complete","",IF(AND(ISNUMBER($M208),$M208&gt;=Setup!$B$31),Setup!$B$32,0)+IF(AND($L208&lt;$F208,$F208-$L208&lt;=Setup!$B$33),Setup!$B$34,0))</f>
        <v/>
      </c>
      <c r="P208" t="str">
        <f t="shared" si="19"/>
        <v/>
      </c>
      <c r="Q208" t="str">
        <f t="shared" si="20"/>
        <v>Waiting</v>
      </c>
      <c r="R208">
        <f>IF(OR($B208="",$C208&gt;Setup!$B$15),"",IFERROR(INDEX('Fixture Library'!$E$4:$E$200,MATCH(Setup!$B$6&amp;"-"&amp;$C208,'Fixture Library'!$A$4:$A$200,0)),""))</f>
        <v>1</v>
      </c>
      <c r="S208">
        <f>IF(OR($B208="",$C208&gt;Setup!$B$15),"",IFERROR(INDEX('Fixture Library'!$F$4:$F$200,MATCH(Setup!$B$6&amp;"-"&amp;$C208,'Fixture Library'!$A$4:$A$200,0)),""))</f>
        <v>6</v>
      </c>
      <c r="T208">
        <f t="shared" si="21"/>
        <v>0</v>
      </c>
      <c r="U208">
        <f t="shared" si="22"/>
        <v>0</v>
      </c>
      <c r="V208">
        <f t="shared" si="23"/>
        <v>0</v>
      </c>
    </row>
    <row r="209" spans="1:22">
      <c r="A209">
        <v>206</v>
      </c>
      <c r="B209" t="str">
        <f>IF(INT(($A209-1)/Setup!$B$15)+1&lt;=Setup!$B$5,INDEX(Setup!$B$21:$B$28,INT(($A209-1)/Setup!$B$15)+1),"")</f>
        <v>H</v>
      </c>
      <c r="C209">
        <f>IF($B209="","",MOD($A209-1,Setup!$B$15)+1)</f>
        <v>10</v>
      </c>
      <c r="D209">
        <f>IF(OR($B209="",$C209&gt;Setup!$B$15),"",IFERROR(INDEX('Fixture Library'!$D$4:$D$200,MATCH(Setup!$B$6&amp;"-"&amp;$C209,'Fixture Library'!$A$4:$A$200,0)),""))</f>
        <v>3</v>
      </c>
      <c r="E209" t="str">
        <f>IF($R209="","",IFERROR(INDEX(Teams!$D$4:$D$67,MATCH($B209&amp;"-"&amp;$R209,Teams!$E$4:$E$67,0)),""))</f>
        <v>Team H7</v>
      </c>
      <c r="F209" s="88"/>
      <c r="G209" s="88"/>
      <c r="H209" s="88"/>
      <c r="I209" t="str">
        <f>IF($Q209&lt;&gt;"Complete","",IF(AND(ISNUMBER($G209),$G209&gt;=Setup!$B$31),Setup!$B$32,0)+IF(AND($F209&lt;$L209,$L209-$F209&lt;=Setup!$B$33),Setup!$B$34,0))</f>
        <v/>
      </c>
      <c r="J209" t="str">
        <f t="shared" si="18"/>
        <v/>
      </c>
      <c r="K209" t="str">
        <f>IF($S209="","",IFERROR(INDEX(Teams!$D$4:$D$67,MATCH($B209&amp;"-"&amp;$S209,Teams!$E$4:$E$67,0)),""))</f>
        <v>Team H5</v>
      </c>
      <c r="L209" s="88"/>
      <c r="M209" s="88"/>
      <c r="N209" s="88"/>
      <c r="O209" t="str">
        <f>IF($Q209&lt;&gt;"Complete","",IF(AND(ISNUMBER($M209),$M209&gt;=Setup!$B$31),Setup!$B$32,0)+IF(AND($L209&lt;$F209,$F209-$L209&lt;=Setup!$B$33),Setup!$B$34,0))</f>
        <v/>
      </c>
      <c r="P209" t="str">
        <f t="shared" si="19"/>
        <v/>
      </c>
      <c r="Q209" t="str">
        <f t="shared" si="20"/>
        <v>Waiting</v>
      </c>
      <c r="R209">
        <f>IF(OR($B209="",$C209&gt;Setup!$B$15),"",IFERROR(INDEX('Fixture Library'!$E$4:$E$200,MATCH(Setup!$B$6&amp;"-"&amp;$C209,'Fixture Library'!$A$4:$A$200,0)),""))</f>
        <v>7</v>
      </c>
      <c r="S209">
        <f>IF(OR($B209="",$C209&gt;Setup!$B$15),"",IFERROR(INDEX('Fixture Library'!$F$4:$F$200,MATCH(Setup!$B$6&amp;"-"&amp;$C209,'Fixture Library'!$A$4:$A$200,0)),""))</f>
        <v>5</v>
      </c>
      <c r="T209">
        <f t="shared" si="21"/>
        <v>0</v>
      </c>
      <c r="U209">
        <f t="shared" si="22"/>
        <v>0</v>
      </c>
      <c r="V209">
        <f t="shared" si="23"/>
        <v>0</v>
      </c>
    </row>
    <row r="210" spans="1:22">
      <c r="A210">
        <v>207</v>
      </c>
      <c r="B210" t="str">
        <f>IF(INT(($A210-1)/Setup!$B$15)+1&lt;=Setup!$B$5,INDEX(Setup!$B$21:$B$28,INT(($A210-1)/Setup!$B$15)+1),"")</f>
        <v>H</v>
      </c>
      <c r="C210">
        <f>IF($B210="","",MOD($A210-1,Setup!$B$15)+1)</f>
        <v>11</v>
      </c>
      <c r="D210">
        <f>IF(OR($B210="",$C210&gt;Setup!$B$15),"",IFERROR(INDEX('Fixture Library'!$D$4:$D$200,MATCH(Setup!$B$6&amp;"-"&amp;$C210,'Fixture Library'!$A$4:$A$200,0)),""))</f>
        <v>3</v>
      </c>
      <c r="E210" t="str">
        <f>IF($R210="","",IFERROR(INDEX(Teams!$D$4:$D$67,MATCH($B210&amp;"-"&amp;$R210,Teams!$E$4:$E$67,0)),""))</f>
        <v>Team H8</v>
      </c>
      <c r="F210" s="88"/>
      <c r="G210" s="88"/>
      <c r="H210" s="88"/>
      <c r="I210" t="str">
        <f>IF($Q210&lt;&gt;"Complete","",IF(AND(ISNUMBER($G210),$G210&gt;=Setup!$B$31),Setup!$B$32,0)+IF(AND($F210&lt;$L210,$L210-$F210&lt;=Setup!$B$33),Setup!$B$34,0))</f>
        <v/>
      </c>
      <c r="J210" t="str">
        <f t="shared" si="18"/>
        <v/>
      </c>
      <c r="K210" t="str">
        <f>IF($S210="","",IFERROR(INDEX(Teams!$D$4:$D$67,MATCH($B210&amp;"-"&amp;$S210,Teams!$E$4:$E$67,0)),""))</f>
        <v>Team H4</v>
      </c>
      <c r="L210" s="88"/>
      <c r="M210" s="88"/>
      <c r="N210" s="88"/>
      <c r="O210" t="str">
        <f>IF($Q210&lt;&gt;"Complete","",IF(AND(ISNUMBER($M210),$M210&gt;=Setup!$B$31),Setup!$B$32,0)+IF(AND($L210&lt;$F210,$F210-$L210&lt;=Setup!$B$33),Setup!$B$34,0))</f>
        <v/>
      </c>
      <c r="P210" t="str">
        <f t="shared" si="19"/>
        <v/>
      </c>
      <c r="Q210" t="str">
        <f t="shared" si="20"/>
        <v>Waiting</v>
      </c>
      <c r="R210">
        <f>IF(OR($B210="",$C210&gt;Setup!$B$15),"",IFERROR(INDEX('Fixture Library'!$E$4:$E$200,MATCH(Setup!$B$6&amp;"-"&amp;$C210,'Fixture Library'!$A$4:$A$200,0)),""))</f>
        <v>8</v>
      </c>
      <c r="S210">
        <f>IF(OR($B210="",$C210&gt;Setup!$B$15),"",IFERROR(INDEX('Fixture Library'!$F$4:$F$200,MATCH(Setup!$B$6&amp;"-"&amp;$C210,'Fixture Library'!$A$4:$A$200,0)),""))</f>
        <v>4</v>
      </c>
      <c r="T210">
        <f t="shared" si="21"/>
        <v>0</v>
      </c>
      <c r="U210">
        <f t="shared" si="22"/>
        <v>0</v>
      </c>
      <c r="V210">
        <f t="shared" si="23"/>
        <v>0</v>
      </c>
    </row>
    <row r="211" spans="1:22">
      <c r="A211">
        <v>208</v>
      </c>
      <c r="B211" t="str">
        <f>IF(INT(($A211-1)/Setup!$B$15)+1&lt;=Setup!$B$5,INDEX(Setup!$B$21:$B$28,INT(($A211-1)/Setup!$B$15)+1),"")</f>
        <v>H</v>
      </c>
      <c r="C211">
        <f>IF($B211="","",MOD($A211-1,Setup!$B$15)+1)</f>
        <v>12</v>
      </c>
      <c r="D211">
        <f>IF(OR($B211="",$C211&gt;Setup!$B$15),"",IFERROR(INDEX('Fixture Library'!$D$4:$D$200,MATCH(Setup!$B$6&amp;"-"&amp;$C211,'Fixture Library'!$A$4:$A$200,0)),""))</f>
        <v>3</v>
      </c>
      <c r="E211" t="str">
        <f>IF($R211="","",IFERROR(INDEX(Teams!$D$4:$D$67,MATCH($B211&amp;"-"&amp;$R211,Teams!$E$4:$E$67,0)),""))</f>
        <v>Team H2</v>
      </c>
      <c r="F211" s="88"/>
      <c r="G211" s="88"/>
      <c r="H211" s="88"/>
      <c r="I211" t="str">
        <f>IF($Q211&lt;&gt;"Complete","",IF(AND(ISNUMBER($G211),$G211&gt;=Setup!$B$31),Setup!$B$32,0)+IF(AND($F211&lt;$L211,$L211-$F211&lt;=Setup!$B$33),Setup!$B$34,0))</f>
        <v/>
      </c>
      <c r="J211" t="str">
        <f t="shared" si="18"/>
        <v/>
      </c>
      <c r="K211" t="str">
        <f>IF($S211="","",IFERROR(INDEX(Teams!$D$4:$D$67,MATCH($B211&amp;"-"&amp;$S211,Teams!$E$4:$E$67,0)),""))</f>
        <v>Team H3</v>
      </c>
      <c r="L211" s="88"/>
      <c r="M211" s="88"/>
      <c r="N211" s="88"/>
      <c r="O211" t="str">
        <f>IF($Q211&lt;&gt;"Complete","",IF(AND(ISNUMBER($M211),$M211&gt;=Setup!$B$31),Setup!$B$32,0)+IF(AND($L211&lt;$F211,$F211-$L211&lt;=Setup!$B$33),Setup!$B$34,0))</f>
        <v/>
      </c>
      <c r="P211" t="str">
        <f t="shared" si="19"/>
        <v/>
      </c>
      <c r="Q211" t="str">
        <f t="shared" si="20"/>
        <v>Waiting</v>
      </c>
      <c r="R211">
        <f>IF(OR($B211="",$C211&gt;Setup!$B$15),"",IFERROR(INDEX('Fixture Library'!$E$4:$E$200,MATCH(Setup!$B$6&amp;"-"&amp;$C211,'Fixture Library'!$A$4:$A$200,0)),""))</f>
        <v>2</v>
      </c>
      <c r="S211">
        <f>IF(OR($B211="",$C211&gt;Setup!$B$15),"",IFERROR(INDEX('Fixture Library'!$F$4:$F$200,MATCH(Setup!$B$6&amp;"-"&amp;$C211,'Fixture Library'!$A$4:$A$200,0)),""))</f>
        <v>3</v>
      </c>
      <c r="T211">
        <f t="shared" si="21"/>
        <v>0</v>
      </c>
      <c r="U211">
        <f t="shared" si="22"/>
        <v>0</v>
      </c>
      <c r="V211">
        <f t="shared" si="23"/>
        <v>0</v>
      </c>
    </row>
    <row r="212" spans="1:22">
      <c r="A212">
        <v>209</v>
      </c>
      <c r="B212" t="str">
        <f>IF(INT(($A212-1)/Setup!$B$15)+1&lt;=Setup!$B$5,INDEX(Setup!$B$21:$B$28,INT(($A212-1)/Setup!$B$15)+1),"")</f>
        <v>H</v>
      </c>
      <c r="C212">
        <f>IF($B212="","",MOD($A212-1,Setup!$B$15)+1)</f>
        <v>13</v>
      </c>
      <c r="D212">
        <f>IF(OR($B212="",$C212&gt;Setup!$B$15),"",IFERROR(INDEX('Fixture Library'!$D$4:$D$200,MATCH(Setup!$B$6&amp;"-"&amp;$C212,'Fixture Library'!$A$4:$A$200,0)),""))</f>
        <v>4</v>
      </c>
      <c r="E212" t="str">
        <f>IF($R212="","",IFERROR(INDEX(Teams!$D$4:$D$67,MATCH($B212&amp;"-"&amp;$R212,Teams!$E$4:$E$67,0)),""))</f>
        <v>Team H5</v>
      </c>
      <c r="F212" s="88"/>
      <c r="G212" s="88"/>
      <c r="H212" s="88"/>
      <c r="I212" t="str">
        <f>IF($Q212&lt;&gt;"Complete","",IF(AND(ISNUMBER($G212),$G212&gt;=Setup!$B$31),Setup!$B$32,0)+IF(AND($F212&lt;$L212,$L212-$F212&lt;=Setup!$B$33),Setup!$B$34,0))</f>
        <v/>
      </c>
      <c r="J212" t="str">
        <f t="shared" si="18"/>
        <v/>
      </c>
      <c r="K212" t="str">
        <f>IF($S212="","",IFERROR(INDEX(Teams!$D$4:$D$67,MATCH($B212&amp;"-"&amp;$S212,Teams!$E$4:$E$67,0)),""))</f>
        <v>Team H1</v>
      </c>
      <c r="L212" s="88"/>
      <c r="M212" s="88"/>
      <c r="N212" s="88"/>
      <c r="O212" t="str">
        <f>IF($Q212&lt;&gt;"Complete","",IF(AND(ISNUMBER($M212),$M212&gt;=Setup!$B$31),Setup!$B$32,0)+IF(AND($L212&lt;$F212,$F212-$L212&lt;=Setup!$B$33),Setup!$B$34,0))</f>
        <v/>
      </c>
      <c r="P212" t="str">
        <f t="shared" si="19"/>
        <v/>
      </c>
      <c r="Q212" t="str">
        <f t="shared" si="20"/>
        <v>Waiting</v>
      </c>
      <c r="R212">
        <f>IF(OR($B212="",$C212&gt;Setup!$B$15),"",IFERROR(INDEX('Fixture Library'!$E$4:$E$200,MATCH(Setup!$B$6&amp;"-"&amp;$C212,'Fixture Library'!$A$4:$A$200,0)),""))</f>
        <v>5</v>
      </c>
      <c r="S212">
        <f>IF(OR($B212="",$C212&gt;Setup!$B$15),"",IFERROR(INDEX('Fixture Library'!$F$4:$F$200,MATCH(Setup!$B$6&amp;"-"&amp;$C212,'Fixture Library'!$A$4:$A$200,0)),""))</f>
        <v>1</v>
      </c>
      <c r="T212">
        <f t="shared" si="21"/>
        <v>0</v>
      </c>
      <c r="U212">
        <f t="shared" si="22"/>
        <v>0</v>
      </c>
      <c r="V212">
        <f t="shared" si="23"/>
        <v>0</v>
      </c>
    </row>
    <row r="213" spans="1:22">
      <c r="A213">
        <v>210</v>
      </c>
      <c r="B213" t="str">
        <f>IF(INT(($A213-1)/Setup!$B$15)+1&lt;=Setup!$B$5,INDEX(Setup!$B$21:$B$28,INT(($A213-1)/Setup!$B$15)+1),"")</f>
        <v>H</v>
      </c>
      <c r="C213">
        <f>IF($B213="","",MOD($A213-1,Setup!$B$15)+1)</f>
        <v>14</v>
      </c>
      <c r="D213">
        <f>IF(OR($B213="",$C213&gt;Setup!$B$15),"",IFERROR(INDEX('Fixture Library'!$D$4:$D$200,MATCH(Setup!$B$6&amp;"-"&amp;$C213,'Fixture Library'!$A$4:$A$200,0)),""))</f>
        <v>4</v>
      </c>
      <c r="E213" t="str">
        <f>IF($R213="","",IFERROR(INDEX(Teams!$D$4:$D$67,MATCH($B213&amp;"-"&amp;$R213,Teams!$E$4:$E$67,0)),""))</f>
        <v>Team H4</v>
      </c>
      <c r="F213" s="88"/>
      <c r="G213" s="88"/>
      <c r="H213" s="88"/>
      <c r="I213" t="str">
        <f>IF($Q213&lt;&gt;"Complete","",IF(AND(ISNUMBER($G213),$G213&gt;=Setup!$B$31),Setup!$B$32,0)+IF(AND($F213&lt;$L213,$L213-$F213&lt;=Setup!$B$33),Setup!$B$34,0))</f>
        <v/>
      </c>
      <c r="J213" t="str">
        <f t="shared" si="18"/>
        <v/>
      </c>
      <c r="K213" t="str">
        <f>IF($S213="","",IFERROR(INDEX(Teams!$D$4:$D$67,MATCH($B213&amp;"-"&amp;$S213,Teams!$E$4:$E$67,0)),""))</f>
        <v>Team H6</v>
      </c>
      <c r="L213" s="88"/>
      <c r="M213" s="88"/>
      <c r="N213" s="88"/>
      <c r="O213" t="str">
        <f>IF($Q213&lt;&gt;"Complete","",IF(AND(ISNUMBER($M213),$M213&gt;=Setup!$B$31),Setup!$B$32,0)+IF(AND($L213&lt;$F213,$F213-$L213&lt;=Setup!$B$33),Setup!$B$34,0))</f>
        <v/>
      </c>
      <c r="P213" t="str">
        <f t="shared" si="19"/>
        <v/>
      </c>
      <c r="Q213" t="str">
        <f t="shared" si="20"/>
        <v>Waiting</v>
      </c>
      <c r="R213">
        <f>IF(OR($B213="",$C213&gt;Setup!$B$15),"",IFERROR(INDEX('Fixture Library'!$E$4:$E$200,MATCH(Setup!$B$6&amp;"-"&amp;$C213,'Fixture Library'!$A$4:$A$200,0)),""))</f>
        <v>4</v>
      </c>
      <c r="S213">
        <f>IF(OR($B213="",$C213&gt;Setup!$B$15),"",IFERROR(INDEX('Fixture Library'!$F$4:$F$200,MATCH(Setup!$B$6&amp;"-"&amp;$C213,'Fixture Library'!$A$4:$A$200,0)),""))</f>
        <v>6</v>
      </c>
      <c r="T213">
        <f t="shared" si="21"/>
        <v>0</v>
      </c>
      <c r="U213">
        <f t="shared" si="22"/>
        <v>0</v>
      </c>
      <c r="V213">
        <f t="shared" si="23"/>
        <v>0</v>
      </c>
    </row>
    <row r="214" spans="1:22">
      <c r="A214">
        <v>211</v>
      </c>
      <c r="B214" t="str">
        <f>IF(INT(($A214-1)/Setup!$B$15)+1&lt;=Setup!$B$5,INDEX(Setup!$B$21:$B$28,INT(($A214-1)/Setup!$B$15)+1),"")</f>
        <v>H</v>
      </c>
      <c r="C214">
        <f>IF($B214="","",MOD($A214-1,Setup!$B$15)+1)</f>
        <v>15</v>
      </c>
      <c r="D214">
        <f>IF(OR($B214="",$C214&gt;Setup!$B$15),"",IFERROR(INDEX('Fixture Library'!$D$4:$D$200,MATCH(Setup!$B$6&amp;"-"&amp;$C214,'Fixture Library'!$A$4:$A$200,0)),""))</f>
        <v>4</v>
      </c>
      <c r="E214" t="str">
        <f>IF($R214="","",IFERROR(INDEX(Teams!$D$4:$D$67,MATCH($B214&amp;"-"&amp;$R214,Teams!$E$4:$E$67,0)),""))</f>
        <v>Team H3</v>
      </c>
      <c r="F214" s="88"/>
      <c r="G214" s="88"/>
      <c r="H214" s="88"/>
      <c r="I214" t="str">
        <f>IF($Q214&lt;&gt;"Complete","",IF(AND(ISNUMBER($G214),$G214&gt;=Setup!$B$31),Setup!$B$32,0)+IF(AND($F214&lt;$L214,$L214-$F214&lt;=Setup!$B$33),Setup!$B$34,0))</f>
        <v/>
      </c>
      <c r="J214" t="str">
        <f t="shared" si="18"/>
        <v/>
      </c>
      <c r="K214" t="str">
        <f>IF($S214="","",IFERROR(INDEX(Teams!$D$4:$D$67,MATCH($B214&amp;"-"&amp;$S214,Teams!$E$4:$E$67,0)),""))</f>
        <v>Team H7</v>
      </c>
      <c r="L214" s="88"/>
      <c r="M214" s="88"/>
      <c r="N214" s="88"/>
      <c r="O214" t="str">
        <f>IF($Q214&lt;&gt;"Complete","",IF(AND(ISNUMBER($M214),$M214&gt;=Setup!$B$31),Setup!$B$32,0)+IF(AND($L214&lt;$F214,$F214-$L214&lt;=Setup!$B$33),Setup!$B$34,0))</f>
        <v/>
      </c>
      <c r="P214" t="str">
        <f t="shared" si="19"/>
        <v/>
      </c>
      <c r="Q214" t="str">
        <f t="shared" si="20"/>
        <v>Waiting</v>
      </c>
      <c r="R214">
        <f>IF(OR($B214="",$C214&gt;Setup!$B$15),"",IFERROR(INDEX('Fixture Library'!$E$4:$E$200,MATCH(Setup!$B$6&amp;"-"&amp;$C214,'Fixture Library'!$A$4:$A$200,0)),""))</f>
        <v>3</v>
      </c>
      <c r="S214">
        <f>IF(OR($B214="",$C214&gt;Setup!$B$15),"",IFERROR(INDEX('Fixture Library'!$F$4:$F$200,MATCH(Setup!$B$6&amp;"-"&amp;$C214,'Fixture Library'!$A$4:$A$200,0)),""))</f>
        <v>7</v>
      </c>
      <c r="T214">
        <f t="shared" si="21"/>
        <v>0</v>
      </c>
      <c r="U214">
        <f t="shared" si="22"/>
        <v>0</v>
      </c>
      <c r="V214">
        <f t="shared" si="23"/>
        <v>0</v>
      </c>
    </row>
    <row r="215" spans="1:22">
      <c r="A215">
        <v>212</v>
      </c>
      <c r="B215" t="str">
        <f>IF(INT(($A215-1)/Setup!$B$15)+1&lt;=Setup!$B$5,INDEX(Setup!$B$21:$B$28,INT(($A215-1)/Setup!$B$15)+1),"")</f>
        <v>H</v>
      </c>
      <c r="C215">
        <f>IF($B215="","",MOD($A215-1,Setup!$B$15)+1)</f>
        <v>16</v>
      </c>
      <c r="D215">
        <f>IF(OR($B215="",$C215&gt;Setup!$B$15),"",IFERROR(INDEX('Fixture Library'!$D$4:$D$200,MATCH(Setup!$B$6&amp;"-"&amp;$C215,'Fixture Library'!$A$4:$A$200,0)),""))</f>
        <v>4</v>
      </c>
      <c r="E215" t="str">
        <f>IF($R215="","",IFERROR(INDEX(Teams!$D$4:$D$67,MATCH($B215&amp;"-"&amp;$R215,Teams!$E$4:$E$67,0)),""))</f>
        <v>Team H2</v>
      </c>
      <c r="F215" s="88"/>
      <c r="G215" s="88"/>
      <c r="H215" s="88"/>
      <c r="I215" t="str">
        <f>IF($Q215&lt;&gt;"Complete","",IF(AND(ISNUMBER($G215),$G215&gt;=Setup!$B$31),Setup!$B$32,0)+IF(AND($F215&lt;$L215,$L215-$F215&lt;=Setup!$B$33),Setup!$B$34,0))</f>
        <v/>
      </c>
      <c r="J215" t="str">
        <f t="shared" si="18"/>
        <v/>
      </c>
      <c r="K215" t="str">
        <f>IF($S215="","",IFERROR(INDEX(Teams!$D$4:$D$67,MATCH($B215&amp;"-"&amp;$S215,Teams!$E$4:$E$67,0)),""))</f>
        <v>Team H8</v>
      </c>
      <c r="L215" s="88"/>
      <c r="M215" s="88"/>
      <c r="N215" s="88"/>
      <c r="O215" t="str">
        <f>IF($Q215&lt;&gt;"Complete","",IF(AND(ISNUMBER($M215),$M215&gt;=Setup!$B$31),Setup!$B$32,0)+IF(AND($L215&lt;$F215,$F215-$L215&lt;=Setup!$B$33),Setup!$B$34,0))</f>
        <v/>
      </c>
      <c r="P215" t="str">
        <f t="shared" si="19"/>
        <v/>
      </c>
      <c r="Q215" t="str">
        <f t="shared" si="20"/>
        <v>Waiting</v>
      </c>
      <c r="R215">
        <f>IF(OR($B215="",$C215&gt;Setup!$B$15),"",IFERROR(INDEX('Fixture Library'!$E$4:$E$200,MATCH(Setup!$B$6&amp;"-"&amp;$C215,'Fixture Library'!$A$4:$A$200,0)),""))</f>
        <v>2</v>
      </c>
      <c r="S215">
        <f>IF(OR($B215="",$C215&gt;Setup!$B$15),"",IFERROR(INDEX('Fixture Library'!$F$4:$F$200,MATCH(Setup!$B$6&amp;"-"&amp;$C215,'Fixture Library'!$A$4:$A$200,0)),""))</f>
        <v>8</v>
      </c>
      <c r="T215">
        <f t="shared" si="21"/>
        <v>0</v>
      </c>
      <c r="U215">
        <f t="shared" si="22"/>
        <v>0</v>
      </c>
      <c r="V215">
        <f t="shared" si="23"/>
        <v>0</v>
      </c>
    </row>
    <row r="216" spans="1:22">
      <c r="A216">
        <v>213</v>
      </c>
      <c r="B216" t="str">
        <f>IF(INT(($A216-1)/Setup!$B$15)+1&lt;=Setup!$B$5,INDEX(Setup!$B$21:$B$28,INT(($A216-1)/Setup!$B$15)+1),"")</f>
        <v>H</v>
      </c>
      <c r="C216">
        <f>IF($B216="","",MOD($A216-1,Setup!$B$15)+1)</f>
        <v>17</v>
      </c>
      <c r="D216">
        <f>IF(OR($B216="",$C216&gt;Setup!$B$15),"",IFERROR(INDEX('Fixture Library'!$D$4:$D$200,MATCH(Setup!$B$6&amp;"-"&amp;$C216,'Fixture Library'!$A$4:$A$200,0)),""))</f>
        <v>5</v>
      </c>
      <c r="E216" t="str">
        <f>IF($R216="","",IFERROR(INDEX(Teams!$D$4:$D$67,MATCH($B216&amp;"-"&amp;$R216,Teams!$E$4:$E$67,0)),""))</f>
        <v>Team H1</v>
      </c>
      <c r="F216" s="88"/>
      <c r="G216" s="88"/>
      <c r="H216" s="88"/>
      <c r="I216" t="str">
        <f>IF($Q216&lt;&gt;"Complete","",IF(AND(ISNUMBER($G216),$G216&gt;=Setup!$B$31),Setup!$B$32,0)+IF(AND($F216&lt;$L216,$L216-$F216&lt;=Setup!$B$33),Setup!$B$34,0))</f>
        <v/>
      </c>
      <c r="J216" t="str">
        <f t="shared" si="18"/>
        <v/>
      </c>
      <c r="K216" t="str">
        <f>IF($S216="","",IFERROR(INDEX(Teams!$D$4:$D$67,MATCH($B216&amp;"-"&amp;$S216,Teams!$E$4:$E$67,0)),""))</f>
        <v>Team H4</v>
      </c>
      <c r="L216" s="88"/>
      <c r="M216" s="88"/>
      <c r="N216" s="88"/>
      <c r="O216" t="str">
        <f>IF($Q216&lt;&gt;"Complete","",IF(AND(ISNUMBER($M216),$M216&gt;=Setup!$B$31),Setup!$B$32,0)+IF(AND($L216&lt;$F216,$F216-$L216&lt;=Setup!$B$33),Setup!$B$34,0))</f>
        <v/>
      </c>
      <c r="P216" t="str">
        <f t="shared" si="19"/>
        <v/>
      </c>
      <c r="Q216" t="str">
        <f t="shared" si="20"/>
        <v>Waiting</v>
      </c>
      <c r="R216">
        <f>IF(OR($B216="",$C216&gt;Setup!$B$15),"",IFERROR(INDEX('Fixture Library'!$E$4:$E$200,MATCH(Setup!$B$6&amp;"-"&amp;$C216,'Fixture Library'!$A$4:$A$200,0)),""))</f>
        <v>1</v>
      </c>
      <c r="S216">
        <f>IF(OR($B216="",$C216&gt;Setup!$B$15),"",IFERROR(INDEX('Fixture Library'!$F$4:$F$200,MATCH(Setup!$B$6&amp;"-"&amp;$C216,'Fixture Library'!$A$4:$A$200,0)),""))</f>
        <v>4</v>
      </c>
      <c r="T216">
        <f t="shared" si="21"/>
        <v>0</v>
      </c>
      <c r="U216">
        <f t="shared" si="22"/>
        <v>0</v>
      </c>
      <c r="V216">
        <f t="shared" si="23"/>
        <v>0</v>
      </c>
    </row>
    <row r="217" spans="1:22">
      <c r="A217">
        <v>214</v>
      </c>
      <c r="B217" t="str">
        <f>IF(INT(($A217-1)/Setup!$B$15)+1&lt;=Setup!$B$5,INDEX(Setup!$B$21:$B$28,INT(($A217-1)/Setup!$B$15)+1),"")</f>
        <v>H</v>
      </c>
      <c r="C217">
        <f>IF($B217="","",MOD($A217-1,Setup!$B$15)+1)</f>
        <v>18</v>
      </c>
      <c r="D217">
        <f>IF(OR($B217="",$C217&gt;Setup!$B$15),"",IFERROR(INDEX('Fixture Library'!$D$4:$D$200,MATCH(Setup!$B$6&amp;"-"&amp;$C217,'Fixture Library'!$A$4:$A$200,0)),""))</f>
        <v>5</v>
      </c>
      <c r="E217" t="str">
        <f>IF($R217="","",IFERROR(INDEX(Teams!$D$4:$D$67,MATCH($B217&amp;"-"&amp;$R217,Teams!$E$4:$E$67,0)),""))</f>
        <v>Team H5</v>
      </c>
      <c r="F217" s="88"/>
      <c r="G217" s="88"/>
      <c r="H217" s="88"/>
      <c r="I217" t="str">
        <f>IF($Q217&lt;&gt;"Complete","",IF(AND(ISNUMBER($G217),$G217&gt;=Setup!$B$31),Setup!$B$32,0)+IF(AND($F217&lt;$L217,$L217-$F217&lt;=Setup!$B$33),Setup!$B$34,0))</f>
        <v/>
      </c>
      <c r="J217" t="str">
        <f t="shared" si="18"/>
        <v/>
      </c>
      <c r="K217" t="str">
        <f>IF($S217="","",IFERROR(INDEX(Teams!$D$4:$D$67,MATCH($B217&amp;"-"&amp;$S217,Teams!$E$4:$E$67,0)),""))</f>
        <v>Team H3</v>
      </c>
      <c r="L217" s="88"/>
      <c r="M217" s="88"/>
      <c r="N217" s="88"/>
      <c r="O217" t="str">
        <f>IF($Q217&lt;&gt;"Complete","",IF(AND(ISNUMBER($M217),$M217&gt;=Setup!$B$31),Setup!$B$32,0)+IF(AND($L217&lt;$F217,$F217-$L217&lt;=Setup!$B$33),Setup!$B$34,0))</f>
        <v/>
      </c>
      <c r="P217" t="str">
        <f t="shared" si="19"/>
        <v/>
      </c>
      <c r="Q217" t="str">
        <f t="shared" si="20"/>
        <v>Waiting</v>
      </c>
      <c r="R217">
        <f>IF(OR($B217="",$C217&gt;Setup!$B$15),"",IFERROR(INDEX('Fixture Library'!$E$4:$E$200,MATCH(Setup!$B$6&amp;"-"&amp;$C217,'Fixture Library'!$A$4:$A$200,0)),""))</f>
        <v>5</v>
      </c>
      <c r="S217">
        <f>IF(OR($B217="",$C217&gt;Setup!$B$15),"",IFERROR(INDEX('Fixture Library'!$F$4:$F$200,MATCH(Setup!$B$6&amp;"-"&amp;$C217,'Fixture Library'!$A$4:$A$200,0)),""))</f>
        <v>3</v>
      </c>
      <c r="T217">
        <f t="shared" si="21"/>
        <v>0</v>
      </c>
      <c r="U217">
        <f t="shared" si="22"/>
        <v>0</v>
      </c>
      <c r="V217">
        <f t="shared" si="23"/>
        <v>0</v>
      </c>
    </row>
    <row r="218" spans="1:22">
      <c r="A218">
        <v>215</v>
      </c>
      <c r="B218" t="str">
        <f>IF(INT(($A218-1)/Setup!$B$15)+1&lt;=Setup!$B$5,INDEX(Setup!$B$21:$B$28,INT(($A218-1)/Setup!$B$15)+1),"")</f>
        <v>H</v>
      </c>
      <c r="C218">
        <f>IF($B218="","",MOD($A218-1,Setup!$B$15)+1)</f>
        <v>19</v>
      </c>
      <c r="D218">
        <f>IF(OR($B218="",$C218&gt;Setup!$B$15),"",IFERROR(INDEX('Fixture Library'!$D$4:$D$200,MATCH(Setup!$B$6&amp;"-"&amp;$C218,'Fixture Library'!$A$4:$A$200,0)),""))</f>
        <v>5</v>
      </c>
      <c r="E218" t="str">
        <f>IF($R218="","",IFERROR(INDEX(Teams!$D$4:$D$67,MATCH($B218&amp;"-"&amp;$R218,Teams!$E$4:$E$67,0)),""))</f>
        <v>Team H6</v>
      </c>
      <c r="F218" s="88"/>
      <c r="G218" s="88"/>
      <c r="H218" s="88"/>
      <c r="I218" t="str">
        <f>IF($Q218&lt;&gt;"Complete","",IF(AND(ISNUMBER($G218),$G218&gt;=Setup!$B$31),Setup!$B$32,0)+IF(AND($F218&lt;$L218,$L218-$F218&lt;=Setup!$B$33),Setup!$B$34,0))</f>
        <v/>
      </c>
      <c r="J218" t="str">
        <f t="shared" si="18"/>
        <v/>
      </c>
      <c r="K218" t="str">
        <f>IF($S218="","",IFERROR(INDEX(Teams!$D$4:$D$67,MATCH($B218&amp;"-"&amp;$S218,Teams!$E$4:$E$67,0)),""))</f>
        <v>Team H2</v>
      </c>
      <c r="L218" s="88"/>
      <c r="M218" s="88"/>
      <c r="N218" s="88"/>
      <c r="O218" t="str">
        <f>IF($Q218&lt;&gt;"Complete","",IF(AND(ISNUMBER($M218),$M218&gt;=Setup!$B$31),Setup!$B$32,0)+IF(AND($L218&lt;$F218,$F218-$L218&lt;=Setup!$B$33),Setup!$B$34,0))</f>
        <v/>
      </c>
      <c r="P218" t="str">
        <f t="shared" si="19"/>
        <v/>
      </c>
      <c r="Q218" t="str">
        <f t="shared" si="20"/>
        <v>Waiting</v>
      </c>
      <c r="R218">
        <f>IF(OR($B218="",$C218&gt;Setup!$B$15),"",IFERROR(INDEX('Fixture Library'!$E$4:$E$200,MATCH(Setup!$B$6&amp;"-"&amp;$C218,'Fixture Library'!$A$4:$A$200,0)),""))</f>
        <v>6</v>
      </c>
      <c r="S218">
        <f>IF(OR($B218="",$C218&gt;Setup!$B$15),"",IFERROR(INDEX('Fixture Library'!$F$4:$F$200,MATCH(Setup!$B$6&amp;"-"&amp;$C218,'Fixture Library'!$A$4:$A$200,0)),""))</f>
        <v>2</v>
      </c>
      <c r="T218">
        <f t="shared" si="21"/>
        <v>0</v>
      </c>
      <c r="U218">
        <f t="shared" si="22"/>
        <v>0</v>
      </c>
      <c r="V218">
        <f t="shared" si="23"/>
        <v>0</v>
      </c>
    </row>
    <row r="219" spans="1:22">
      <c r="A219">
        <v>216</v>
      </c>
      <c r="B219" t="str">
        <f>IF(INT(($A219-1)/Setup!$B$15)+1&lt;=Setup!$B$5,INDEX(Setup!$B$21:$B$28,INT(($A219-1)/Setup!$B$15)+1),"")</f>
        <v>H</v>
      </c>
      <c r="C219">
        <f>IF($B219="","",MOD($A219-1,Setup!$B$15)+1)</f>
        <v>20</v>
      </c>
      <c r="D219">
        <f>IF(OR($B219="",$C219&gt;Setup!$B$15),"",IFERROR(INDEX('Fixture Library'!$D$4:$D$200,MATCH(Setup!$B$6&amp;"-"&amp;$C219,'Fixture Library'!$A$4:$A$200,0)),""))</f>
        <v>5</v>
      </c>
      <c r="E219" t="str">
        <f>IF($R219="","",IFERROR(INDEX(Teams!$D$4:$D$67,MATCH($B219&amp;"-"&amp;$R219,Teams!$E$4:$E$67,0)),""))</f>
        <v>Team H7</v>
      </c>
      <c r="F219" s="88"/>
      <c r="G219" s="88"/>
      <c r="H219" s="88"/>
      <c r="I219" t="str">
        <f>IF($Q219&lt;&gt;"Complete","",IF(AND(ISNUMBER($G219),$G219&gt;=Setup!$B$31),Setup!$B$32,0)+IF(AND($F219&lt;$L219,$L219-$F219&lt;=Setup!$B$33),Setup!$B$34,0))</f>
        <v/>
      </c>
      <c r="J219" t="str">
        <f t="shared" si="18"/>
        <v/>
      </c>
      <c r="K219" t="str">
        <f>IF($S219="","",IFERROR(INDEX(Teams!$D$4:$D$67,MATCH($B219&amp;"-"&amp;$S219,Teams!$E$4:$E$67,0)),""))</f>
        <v>Team H8</v>
      </c>
      <c r="L219" s="88"/>
      <c r="M219" s="88"/>
      <c r="N219" s="88"/>
      <c r="O219" t="str">
        <f>IF($Q219&lt;&gt;"Complete","",IF(AND(ISNUMBER($M219),$M219&gt;=Setup!$B$31),Setup!$B$32,0)+IF(AND($L219&lt;$F219,$F219-$L219&lt;=Setup!$B$33),Setup!$B$34,0))</f>
        <v/>
      </c>
      <c r="P219" t="str">
        <f t="shared" si="19"/>
        <v/>
      </c>
      <c r="Q219" t="str">
        <f t="shared" si="20"/>
        <v>Waiting</v>
      </c>
      <c r="R219">
        <f>IF(OR($B219="",$C219&gt;Setup!$B$15),"",IFERROR(INDEX('Fixture Library'!$E$4:$E$200,MATCH(Setup!$B$6&amp;"-"&amp;$C219,'Fixture Library'!$A$4:$A$200,0)),""))</f>
        <v>7</v>
      </c>
      <c r="S219">
        <f>IF(OR($B219="",$C219&gt;Setup!$B$15),"",IFERROR(INDEX('Fixture Library'!$F$4:$F$200,MATCH(Setup!$B$6&amp;"-"&amp;$C219,'Fixture Library'!$A$4:$A$200,0)),""))</f>
        <v>8</v>
      </c>
      <c r="T219">
        <f t="shared" si="21"/>
        <v>0</v>
      </c>
      <c r="U219">
        <f t="shared" si="22"/>
        <v>0</v>
      </c>
      <c r="V219">
        <f t="shared" si="23"/>
        <v>0</v>
      </c>
    </row>
    <row r="220" spans="1:22">
      <c r="A220">
        <v>217</v>
      </c>
      <c r="B220" t="str">
        <f>IF(INT(($A220-1)/Setup!$B$15)+1&lt;=Setup!$B$5,INDEX(Setup!$B$21:$B$28,INT(($A220-1)/Setup!$B$15)+1),"")</f>
        <v>H</v>
      </c>
      <c r="C220">
        <f>IF($B220="","",MOD($A220-1,Setup!$B$15)+1)</f>
        <v>21</v>
      </c>
      <c r="D220">
        <f>IF(OR($B220="",$C220&gt;Setup!$B$15),"",IFERROR(INDEX('Fixture Library'!$D$4:$D$200,MATCH(Setup!$B$6&amp;"-"&amp;$C220,'Fixture Library'!$A$4:$A$200,0)),""))</f>
        <v>6</v>
      </c>
      <c r="E220" t="str">
        <f>IF($R220="","",IFERROR(INDEX(Teams!$D$4:$D$67,MATCH($B220&amp;"-"&amp;$R220,Teams!$E$4:$E$67,0)),""))</f>
        <v>Team H3</v>
      </c>
      <c r="F220" s="88"/>
      <c r="G220" s="88"/>
      <c r="H220" s="88"/>
      <c r="I220" t="str">
        <f>IF($Q220&lt;&gt;"Complete","",IF(AND(ISNUMBER($G220),$G220&gt;=Setup!$B$31),Setup!$B$32,0)+IF(AND($F220&lt;$L220,$L220-$F220&lt;=Setup!$B$33),Setup!$B$34,0))</f>
        <v/>
      </c>
      <c r="J220" t="str">
        <f t="shared" si="18"/>
        <v/>
      </c>
      <c r="K220" t="str">
        <f>IF($S220="","",IFERROR(INDEX(Teams!$D$4:$D$67,MATCH($B220&amp;"-"&amp;$S220,Teams!$E$4:$E$67,0)),""))</f>
        <v>Team H1</v>
      </c>
      <c r="L220" s="88"/>
      <c r="M220" s="88"/>
      <c r="N220" s="88"/>
      <c r="O220" t="str">
        <f>IF($Q220&lt;&gt;"Complete","",IF(AND(ISNUMBER($M220),$M220&gt;=Setup!$B$31),Setup!$B$32,0)+IF(AND($L220&lt;$F220,$F220-$L220&lt;=Setup!$B$33),Setup!$B$34,0))</f>
        <v/>
      </c>
      <c r="P220" t="str">
        <f t="shared" si="19"/>
        <v/>
      </c>
      <c r="Q220" t="str">
        <f t="shared" si="20"/>
        <v>Waiting</v>
      </c>
      <c r="R220">
        <f>IF(OR($B220="",$C220&gt;Setup!$B$15),"",IFERROR(INDEX('Fixture Library'!$E$4:$E$200,MATCH(Setup!$B$6&amp;"-"&amp;$C220,'Fixture Library'!$A$4:$A$200,0)),""))</f>
        <v>3</v>
      </c>
      <c r="S220">
        <f>IF(OR($B220="",$C220&gt;Setup!$B$15),"",IFERROR(INDEX('Fixture Library'!$F$4:$F$200,MATCH(Setup!$B$6&amp;"-"&amp;$C220,'Fixture Library'!$A$4:$A$200,0)),""))</f>
        <v>1</v>
      </c>
      <c r="T220">
        <f t="shared" si="21"/>
        <v>0</v>
      </c>
      <c r="U220">
        <f t="shared" si="22"/>
        <v>0</v>
      </c>
      <c r="V220">
        <f t="shared" si="23"/>
        <v>0</v>
      </c>
    </row>
    <row r="221" spans="1:22">
      <c r="A221">
        <v>218</v>
      </c>
      <c r="B221" t="str">
        <f>IF(INT(($A221-1)/Setup!$B$15)+1&lt;=Setup!$B$5,INDEX(Setup!$B$21:$B$28,INT(($A221-1)/Setup!$B$15)+1),"")</f>
        <v>H</v>
      </c>
      <c r="C221">
        <f>IF($B221="","",MOD($A221-1,Setup!$B$15)+1)</f>
        <v>22</v>
      </c>
      <c r="D221">
        <f>IF(OR($B221="",$C221&gt;Setup!$B$15),"",IFERROR(INDEX('Fixture Library'!$D$4:$D$200,MATCH(Setup!$B$6&amp;"-"&amp;$C221,'Fixture Library'!$A$4:$A$200,0)),""))</f>
        <v>6</v>
      </c>
      <c r="E221" t="str">
        <f>IF($R221="","",IFERROR(INDEX(Teams!$D$4:$D$67,MATCH($B221&amp;"-"&amp;$R221,Teams!$E$4:$E$67,0)),""))</f>
        <v>Team H2</v>
      </c>
      <c r="F221" s="88"/>
      <c r="G221" s="88"/>
      <c r="H221" s="88"/>
      <c r="I221" t="str">
        <f>IF($Q221&lt;&gt;"Complete","",IF(AND(ISNUMBER($G221),$G221&gt;=Setup!$B$31),Setup!$B$32,0)+IF(AND($F221&lt;$L221,$L221-$F221&lt;=Setup!$B$33),Setup!$B$34,0))</f>
        <v/>
      </c>
      <c r="J221" t="str">
        <f t="shared" si="18"/>
        <v/>
      </c>
      <c r="K221" t="str">
        <f>IF($S221="","",IFERROR(INDEX(Teams!$D$4:$D$67,MATCH($B221&amp;"-"&amp;$S221,Teams!$E$4:$E$67,0)),""))</f>
        <v>Team H4</v>
      </c>
      <c r="L221" s="88"/>
      <c r="M221" s="88"/>
      <c r="N221" s="88"/>
      <c r="O221" t="str">
        <f>IF($Q221&lt;&gt;"Complete","",IF(AND(ISNUMBER($M221),$M221&gt;=Setup!$B$31),Setup!$B$32,0)+IF(AND($L221&lt;$F221,$F221-$L221&lt;=Setup!$B$33),Setup!$B$34,0))</f>
        <v/>
      </c>
      <c r="P221" t="str">
        <f t="shared" si="19"/>
        <v/>
      </c>
      <c r="Q221" t="str">
        <f t="shared" si="20"/>
        <v>Waiting</v>
      </c>
      <c r="R221">
        <f>IF(OR($B221="",$C221&gt;Setup!$B$15),"",IFERROR(INDEX('Fixture Library'!$E$4:$E$200,MATCH(Setup!$B$6&amp;"-"&amp;$C221,'Fixture Library'!$A$4:$A$200,0)),""))</f>
        <v>2</v>
      </c>
      <c r="S221">
        <f>IF(OR($B221="",$C221&gt;Setup!$B$15),"",IFERROR(INDEX('Fixture Library'!$F$4:$F$200,MATCH(Setup!$B$6&amp;"-"&amp;$C221,'Fixture Library'!$A$4:$A$200,0)),""))</f>
        <v>4</v>
      </c>
      <c r="T221">
        <f t="shared" si="21"/>
        <v>0</v>
      </c>
      <c r="U221">
        <f t="shared" si="22"/>
        <v>0</v>
      </c>
      <c r="V221">
        <f t="shared" si="23"/>
        <v>0</v>
      </c>
    </row>
    <row r="222" spans="1:22">
      <c r="A222">
        <v>219</v>
      </c>
      <c r="B222" t="str">
        <f>IF(INT(($A222-1)/Setup!$B$15)+1&lt;=Setup!$B$5,INDEX(Setup!$B$21:$B$28,INT(($A222-1)/Setup!$B$15)+1),"")</f>
        <v>H</v>
      </c>
      <c r="C222">
        <f>IF($B222="","",MOD($A222-1,Setup!$B$15)+1)</f>
        <v>23</v>
      </c>
      <c r="D222">
        <f>IF(OR($B222="",$C222&gt;Setup!$B$15),"",IFERROR(INDEX('Fixture Library'!$D$4:$D$200,MATCH(Setup!$B$6&amp;"-"&amp;$C222,'Fixture Library'!$A$4:$A$200,0)),""))</f>
        <v>6</v>
      </c>
      <c r="E222" t="str">
        <f>IF($R222="","",IFERROR(INDEX(Teams!$D$4:$D$67,MATCH($B222&amp;"-"&amp;$R222,Teams!$E$4:$E$67,0)),""))</f>
        <v>Team H8</v>
      </c>
      <c r="F222" s="88"/>
      <c r="G222" s="88"/>
      <c r="H222" s="88"/>
      <c r="I222" t="str">
        <f>IF($Q222&lt;&gt;"Complete","",IF(AND(ISNUMBER($G222),$G222&gt;=Setup!$B$31),Setup!$B$32,0)+IF(AND($F222&lt;$L222,$L222-$F222&lt;=Setup!$B$33),Setup!$B$34,0))</f>
        <v/>
      </c>
      <c r="J222" t="str">
        <f t="shared" si="18"/>
        <v/>
      </c>
      <c r="K222" t="str">
        <f>IF($S222="","",IFERROR(INDEX(Teams!$D$4:$D$67,MATCH($B222&amp;"-"&amp;$S222,Teams!$E$4:$E$67,0)),""))</f>
        <v>Team H5</v>
      </c>
      <c r="L222" s="88"/>
      <c r="M222" s="88"/>
      <c r="N222" s="88"/>
      <c r="O222" t="str">
        <f>IF($Q222&lt;&gt;"Complete","",IF(AND(ISNUMBER($M222),$M222&gt;=Setup!$B$31),Setup!$B$32,0)+IF(AND($L222&lt;$F222,$F222-$L222&lt;=Setup!$B$33),Setup!$B$34,0))</f>
        <v/>
      </c>
      <c r="P222" t="str">
        <f t="shared" si="19"/>
        <v/>
      </c>
      <c r="Q222" t="str">
        <f t="shared" si="20"/>
        <v>Waiting</v>
      </c>
      <c r="R222">
        <f>IF(OR($B222="",$C222&gt;Setup!$B$15),"",IFERROR(INDEX('Fixture Library'!$E$4:$E$200,MATCH(Setup!$B$6&amp;"-"&amp;$C222,'Fixture Library'!$A$4:$A$200,0)),""))</f>
        <v>8</v>
      </c>
      <c r="S222">
        <f>IF(OR($B222="",$C222&gt;Setup!$B$15),"",IFERROR(INDEX('Fixture Library'!$F$4:$F$200,MATCH(Setup!$B$6&amp;"-"&amp;$C222,'Fixture Library'!$A$4:$A$200,0)),""))</f>
        <v>5</v>
      </c>
      <c r="T222">
        <f t="shared" si="21"/>
        <v>0</v>
      </c>
      <c r="U222">
        <f t="shared" si="22"/>
        <v>0</v>
      </c>
      <c r="V222">
        <f t="shared" si="23"/>
        <v>0</v>
      </c>
    </row>
    <row r="223" spans="1:22">
      <c r="A223">
        <v>220</v>
      </c>
      <c r="B223" t="str">
        <f>IF(INT(($A223-1)/Setup!$B$15)+1&lt;=Setup!$B$5,INDEX(Setup!$B$21:$B$28,INT(($A223-1)/Setup!$B$15)+1),"")</f>
        <v>H</v>
      </c>
      <c r="C223">
        <f>IF($B223="","",MOD($A223-1,Setup!$B$15)+1)</f>
        <v>24</v>
      </c>
      <c r="D223">
        <f>IF(OR($B223="",$C223&gt;Setup!$B$15),"",IFERROR(INDEX('Fixture Library'!$D$4:$D$200,MATCH(Setup!$B$6&amp;"-"&amp;$C223,'Fixture Library'!$A$4:$A$200,0)),""))</f>
        <v>6</v>
      </c>
      <c r="E223" t="str">
        <f>IF($R223="","",IFERROR(INDEX(Teams!$D$4:$D$67,MATCH($B223&amp;"-"&amp;$R223,Teams!$E$4:$E$67,0)),""))</f>
        <v>Team H7</v>
      </c>
      <c r="F223" s="88"/>
      <c r="G223" s="88"/>
      <c r="H223" s="88"/>
      <c r="I223" t="str">
        <f>IF($Q223&lt;&gt;"Complete","",IF(AND(ISNUMBER($G223),$G223&gt;=Setup!$B$31),Setup!$B$32,0)+IF(AND($F223&lt;$L223,$L223-$F223&lt;=Setup!$B$33),Setup!$B$34,0))</f>
        <v/>
      </c>
      <c r="J223" t="str">
        <f t="shared" si="18"/>
        <v/>
      </c>
      <c r="K223" t="str">
        <f>IF($S223="","",IFERROR(INDEX(Teams!$D$4:$D$67,MATCH($B223&amp;"-"&amp;$S223,Teams!$E$4:$E$67,0)),""))</f>
        <v>Team H6</v>
      </c>
      <c r="L223" s="88"/>
      <c r="M223" s="88"/>
      <c r="N223" s="88"/>
      <c r="O223" t="str">
        <f>IF($Q223&lt;&gt;"Complete","",IF(AND(ISNUMBER($M223),$M223&gt;=Setup!$B$31),Setup!$B$32,0)+IF(AND($L223&lt;$F223,$F223-$L223&lt;=Setup!$B$33),Setup!$B$34,0))</f>
        <v/>
      </c>
      <c r="P223" t="str">
        <f t="shared" si="19"/>
        <v/>
      </c>
      <c r="Q223" t="str">
        <f t="shared" si="20"/>
        <v>Waiting</v>
      </c>
      <c r="R223">
        <f>IF(OR($B223="",$C223&gt;Setup!$B$15),"",IFERROR(INDEX('Fixture Library'!$E$4:$E$200,MATCH(Setup!$B$6&amp;"-"&amp;$C223,'Fixture Library'!$A$4:$A$200,0)),""))</f>
        <v>7</v>
      </c>
      <c r="S223">
        <f>IF(OR($B223="",$C223&gt;Setup!$B$15),"",IFERROR(INDEX('Fixture Library'!$F$4:$F$200,MATCH(Setup!$B$6&amp;"-"&amp;$C223,'Fixture Library'!$A$4:$A$200,0)),""))</f>
        <v>6</v>
      </c>
      <c r="T223">
        <f t="shared" si="21"/>
        <v>0</v>
      </c>
      <c r="U223">
        <f t="shared" si="22"/>
        <v>0</v>
      </c>
      <c r="V223">
        <f t="shared" si="23"/>
        <v>0</v>
      </c>
    </row>
    <row r="224" spans="1:22">
      <c r="A224">
        <v>221</v>
      </c>
      <c r="B224" t="str">
        <f>IF(INT(($A224-1)/Setup!$B$15)+1&lt;=Setup!$B$5,INDEX(Setup!$B$21:$B$28,INT(($A224-1)/Setup!$B$15)+1),"")</f>
        <v>H</v>
      </c>
      <c r="C224">
        <f>IF($B224="","",MOD($A224-1,Setup!$B$15)+1)</f>
        <v>25</v>
      </c>
      <c r="D224">
        <f>IF(OR($B224="",$C224&gt;Setup!$B$15),"",IFERROR(INDEX('Fixture Library'!$D$4:$D$200,MATCH(Setup!$B$6&amp;"-"&amp;$C224,'Fixture Library'!$A$4:$A$200,0)),""))</f>
        <v>7</v>
      </c>
      <c r="E224" t="str">
        <f>IF($R224="","",IFERROR(INDEX(Teams!$D$4:$D$67,MATCH($B224&amp;"-"&amp;$R224,Teams!$E$4:$E$67,0)),""))</f>
        <v>Team H1</v>
      </c>
      <c r="F224" s="88"/>
      <c r="G224" s="88"/>
      <c r="H224" s="88"/>
      <c r="I224" t="str">
        <f>IF($Q224&lt;&gt;"Complete","",IF(AND(ISNUMBER($G224),$G224&gt;=Setup!$B$31),Setup!$B$32,0)+IF(AND($F224&lt;$L224,$L224-$F224&lt;=Setup!$B$33),Setup!$B$34,0))</f>
        <v/>
      </c>
      <c r="J224" t="str">
        <f t="shared" si="18"/>
        <v/>
      </c>
      <c r="K224" t="str">
        <f>IF($S224="","",IFERROR(INDEX(Teams!$D$4:$D$67,MATCH($B224&amp;"-"&amp;$S224,Teams!$E$4:$E$67,0)),""))</f>
        <v>Team H2</v>
      </c>
      <c r="L224" s="88"/>
      <c r="M224" s="88"/>
      <c r="N224" s="88"/>
      <c r="O224" t="str">
        <f>IF($Q224&lt;&gt;"Complete","",IF(AND(ISNUMBER($M224),$M224&gt;=Setup!$B$31),Setup!$B$32,0)+IF(AND($L224&lt;$F224,$F224-$L224&lt;=Setup!$B$33),Setup!$B$34,0))</f>
        <v/>
      </c>
      <c r="P224" t="str">
        <f t="shared" si="19"/>
        <v/>
      </c>
      <c r="Q224" t="str">
        <f t="shared" si="20"/>
        <v>Waiting</v>
      </c>
      <c r="R224">
        <f>IF(OR($B224="",$C224&gt;Setup!$B$15),"",IFERROR(INDEX('Fixture Library'!$E$4:$E$200,MATCH(Setup!$B$6&amp;"-"&amp;$C224,'Fixture Library'!$A$4:$A$200,0)),""))</f>
        <v>1</v>
      </c>
      <c r="S224">
        <f>IF(OR($B224="",$C224&gt;Setup!$B$15),"",IFERROR(INDEX('Fixture Library'!$F$4:$F$200,MATCH(Setup!$B$6&amp;"-"&amp;$C224,'Fixture Library'!$A$4:$A$200,0)),""))</f>
        <v>2</v>
      </c>
      <c r="T224">
        <f t="shared" si="21"/>
        <v>0</v>
      </c>
      <c r="U224">
        <f t="shared" si="22"/>
        <v>0</v>
      </c>
      <c r="V224">
        <f t="shared" si="23"/>
        <v>0</v>
      </c>
    </row>
    <row r="225" spans="1:22">
      <c r="A225">
        <v>222</v>
      </c>
      <c r="B225" t="str">
        <f>IF(INT(($A225-1)/Setup!$B$15)+1&lt;=Setup!$B$5,INDEX(Setup!$B$21:$B$28,INT(($A225-1)/Setup!$B$15)+1),"")</f>
        <v>H</v>
      </c>
      <c r="C225">
        <f>IF($B225="","",MOD($A225-1,Setup!$B$15)+1)</f>
        <v>26</v>
      </c>
      <c r="D225">
        <f>IF(OR($B225="",$C225&gt;Setup!$B$15),"",IFERROR(INDEX('Fixture Library'!$D$4:$D$200,MATCH(Setup!$B$6&amp;"-"&amp;$C225,'Fixture Library'!$A$4:$A$200,0)),""))</f>
        <v>7</v>
      </c>
      <c r="E225" t="str">
        <f>IF($R225="","",IFERROR(INDEX(Teams!$D$4:$D$67,MATCH($B225&amp;"-"&amp;$R225,Teams!$E$4:$E$67,0)),""))</f>
        <v>Team H3</v>
      </c>
      <c r="F225" s="88"/>
      <c r="G225" s="88"/>
      <c r="H225" s="88"/>
      <c r="I225" t="str">
        <f>IF($Q225&lt;&gt;"Complete","",IF(AND(ISNUMBER($G225),$G225&gt;=Setup!$B$31),Setup!$B$32,0)+IF(AND($F225&lt;$L225,$L225-$F225&lt;=Setup!$B$33),Setup!$B$34,0))</f>
        <v/>
      </c>
      <c r="J225" t="str">
        <f t="shared" si="18"/>
        <v/>
      </c>
      <c r="K225" t="str">
        <f>IF($S225="","",IFERROR(INDEX(Teams!$D$4:$D$67,MATCH($B225&amp;"-"&amp;$S225,Teams!$E$4:$E$67,0)),""))</f>
        <v>Team H8</v>
      </c>
      <c r="L225" s="88"/>
      <c r="M225" s="88"/>
      <c r="N225" s="88"/>
      <c r="O225" t="str">
        <f>IF($Q225&lt;&gt;"Complete","",IF(AND(ISNUMBER($M225),$M225&gt;=Setup!$B$31),Setup!$B$32,0)+IF(AND($L225&lt;$F225,$F225-$L225&lt;=Setup!$B$33),Setup!$B$34,0))</f>
        <v/>
      </c>
      <c r="P225" t="str">
        <f t="shared" si="19"/>
        <v/>
      </c>
      <c r="Q225" t="str">
        <f t="shared" si="20"/>
        <v>Waiting</v>
      </c>
      <c r="R225">
        <f>IF(OR($B225="",$C225&gt;Setup!$B$15),"",IFERROR(INDEX('Fixture Library'!$E$4:$E$200,MATCH(Setup!$B$6&amp;"-"&amp;$C225,'Fixture Library'!$A$4:$A$200,0)),""))</f>
        <v>3</v>
      </c>
      <c r="S225">
        <f>IF(OR($B225="",$C225&gt;Setup!$B$15),"",IFERROR(INDEX('Fixture Library'!$F$4:$F$200,MATCH(Setup!$B$6&amp;"-"&amp;$C225,'Fixture Library'!$A$4:$A$200,0)),""))</f>
        <v>8</v>
      </c>
      <c r="T225">
        <f t="shared" si="21"/>
        <v>0</v>
      </c>
      <c r="U225">
        <f t="shared" si="22"/>
        <v>0</v>
      </c>
      <c r="V225">
        <f t="shared" si="23"/>
        <v>0</v>
      </c>
    </row>
    <row r="226" spans="1:22">
      <c r="A226">
        <v>223</v>
      </c>
      <c r="B226" t="str">
        <f>IF(INT(($A226-1)/Setup!$B$15)+1&lt;=Setup!$B$5,INDEX(Setup!$B$21:$B$28,INT(($A226-1)/Setup!$B$15)+1),"")</f>
        <v>H</v>
      </c>
      <c r="C226">
        <f>IF($B226="","",MOD($A226-1,Setup!$B$15)+1)</f>
        <v>27</v>
      </c>
      <c r="D226">
        <f>IF(OR($B226="",$C226&gt;Setup!$B$15),"",IFERROR(INDEX('Fixture Library'!$D$4:$D$200,MATCH(Setup!$B$6&amp;"-"&amp;$C226,'Fixture Library'!$A$4:$A$200,0)),""))</f>
        <v>7</v>
      </c>
      <c r="E226" t="str">
        <f>IF($R226="","",IFERROR(INDEX(Teams!$D$4:$D$67,MATCH($B226&amp;"-"&amp;$R226,Teams!$E$4:$E$67,0)),""))</f>
        <v>Team H4</v>
      </c>
      <c r="F226" s="88"/>
      <c r="G226" s="88"/>
      <c r="H226" s="88"/>
      <c r="I226" t="str">
        <f>IF($Q226&lt;&gt;"Complete","",IF(AND(ISNUMBER($G226),$G226&gt;=Setup!$B$31),Setup!$B$32,0)+IF(AND($F226&lt;$L226,$L226-$F226&lt;=Setup!$B$33),Setup!$B$34,0))</f>
        <v/>
      </c>
      <c r="J226" t="str">
        <f t="shared" si="18"/>
        <v/>
      </c>
      <c r="K226" t="str">
        <f>IF($S226="","",IFERROR(INDEX(Teams!$D$4:$D$67,MATCH($B226&amp;"-"&amp;$S226,Teams!$E$4:$E$67,0)),""))</f>
        <v>Team H7</v>
      </c>
      <c r="L226" s="88"/>
      <c r="M226" s="88"/>
      <c r="N226" s="88"/>
      <c r="O226" t="str">
        <f>IF($Q226&lt;&gt;"Complete","",IF(AND(ISNUMBER($M226),$M226&gt;=Setup!$B$31),Setup!$B$32,0)+IF(AND($L226&lt;$F226,$F226-$L226&lt;=Setup!$B$33),Setup!$B$34,0))</f>
        <v/>
      </c>
      <c r="P226" t="str">
        <f t="shared" si="19"/>
        <v/>
      </c>
      <c r="Q226" t="str">
        <f t="shared" si="20"/>
        <v>Waiting</v>
      </c>
      <c r="R226">
        <f>IF(OR($B226="",$C226&gt;Setup!$B$15),"",IFERROR(INDEX('Fixture Library'!$E$4:$E$200,MATCH(Setup!$B$6&amp;"-"&amp;$C226,'Fixture Library'!$A$4:$A$200,0)),""))</f>
        <v>4</v>
      </c>
      <c r="S226">
        <f>IF(OR($B226="",$C226&gt;Setup!$B$15),"",IFERROR(INDEX('Fixture Library'!$F$4:$F$200,MATCH(Setup!$B$6&amp;"-"&amp;$C226,'Fixture Library'!$A$4:$A$200,0)),""))</f>
        <v>7</v>
      </c>
      <c r="T226">
        <f t="shared" si="21"/>
        <v>0</v>
      </c>
      <c r="U226">
        <f t="shared" si="22"/>
        <v>0</v>
      </c>
      <c r="V226">
        <f t="shared" si="23"/>
        <v>0</v>
      </c>
    </row>
    <row r="227" spans="1:22">
      <c r="A227">
        <v>224</v>
      </c>
      <c r="B227" t="str">
        <f>IF(INT(($A227-1)/Setup!$B$15)+1&lt;=Setup!$B$5,INDEX(Setup!$B$21:$B$28,INT(($A227-1)/Setup!$B$15)+1),"")</f>
        <v>H</v>
      </c>
      <c r="C227">
        <f>IF($B227="","",MOD($A227-1,Setup!$B$15)+1)</f>
        <v>28</v>
      </c>
      <c r="D227">
        <f>IF(OR($B227="",$C227&gt;Setup!$B$15),"",IFERROR(INDEX('Fixture Library'!$D$4:$D$200,MATCH(Setup!$B$6&amp;"-"&amp;$C227,'Fixture Library'!$A$4:$A$200,0)),""))</f>
        <v>7</v>
      </c>
      <c r="E227" t="str">
        <f>IF($R227="","",IFERROR(INDEX(Teams!$D$4:$D$67,MATCH($B227&amp;"-"&amp;$R227,Teams!$E$4:$E$67,0)),""))</f>
        <v>Team H5</v>
      </c>
      <c r="F227" s="88"/>
      <c r="G227" s="88"/>
      <c r="H227" s="88"/>
      <c r="I227" t="str">
        <f>IF($Q227&lt;&gt;"Complete","",IF(AND(ISNUMBER($G227),$G227&gt;=Setup!$B$31),Setup!$B$32,0)+IF(AND($F227&lt;$L227,$L227-$F227&lt;=Setup!$B$33),Setup!$B$34,0))</f>
        <v/>
      </c>
      <c r="J227" t="str">
        <f t="shared" si="18"/>
        <v/>
      </c>
      <c r="K227" t="str">
        <f>IF($S227="","",IFERROR(INDEX(Teams!$D$4:$D$67,MATCH($B227&amp;"-"&amp;$S227,Teams!$E$4:$E$67,0)),""))</f>
        <v>Team H6</v>
      </c>
      <c r="L227" s="88"/>
      <c r="M227" s="88"/>
      <c r="N227" s="88"/>
      <c r="O227" t="str">
        <f>IF($Q227&lt;&gt;"Complete","",IF(AND(ISNUMBER($M227),$M227&gt;=Setup!$B$31),Setup!$B$32,0)+IF(AND($L227&lt;$F227,$F227-$L227&lt;=Setup!$B$33),Setup!$B$34,0))</f>
        <v/>
      </c>
      <c r="P227" t="str">
        <f t="shared" si="19"/>
        <v/>
      </c>
      <c r="Q227" t="str">
        <f t="shared" si="20"/>
        <v>Waiting</v>
      </c>
      <c r="R227">
        <f>IF(OR($B227="",$C227&gt;Setup!$B$15),"",IFERROR(INDEX('Fixture Library'!$E$4:$E$200,MATCH(Setup!$B$6&amp;"-"&amp;$C227,'Fixture Library'!$A$4:$A$200,0)),""))</f>
        <v>5</v>
      </c>
      <c r="S227">
        <f>IF(OR($B227="",$C227&gt;Setup!$B$15),"",IFERROR(INDEX('Fixture Library'!$F$4:$F$200,MATCH(Setup!$B$6&amp;"-"&amp;$C227,'Fixture Library'!$A$4:$A$200,0)),""))</f>
        <v>6</v>
      </c>
      <c r="T227">
        <f t="shared" si="21"/>
        <v>0</v>
      </c>
      <c r="U227">
        <f t="shared" si="22"/>
        <v>0</v>
      </c>
      <c r="V227">
        <f t="shared" si="23"/>
        <v>0</v>
      </c>
    </row>
  </sheetData>
  <mergeCells count="2">
    <mergeCell ref="B1:Q1"/>
    <mergeCell ref="B2:Q2"/>
  </mergeCells>
  <conditionalFormatting sqref="A4:V227">
    <cfRule type="expression" dxfId="23" priority="1">
      <formula>$B4=""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67"/>
  <sheetViews>
    <sheetView workbookViewId="0">
      <selection sqref="A1:Q1"/>
    </sheetView>
  </sheetViews>
  <sheetFormatPr defaultRowHeight="14.25"/>
  <cols>
    <col min="1" max="2" width="7" customWidth="1"/>
    <col min="3" max="3" width="18" customWidth="1"/>
    <col min="4" max="4" width="9" customWidth="1"/>
    <col min="5" max="8" width="6" customWidth="1"/>
    <col min="9" max="11" width="9" customWidth="1"/>
    <col min="12" max="12" width="7" customWidth="1"/>
    <col min="13" max="13" width="10" customWidth="1"/>
    <col min="14" max="14" width="8" customWidth="1"/>
    <col min="15" max="15" width="15" customWidth="1"/>
    <col min="16" max="16" width="7" customWidth="1"/>
    <col min="17" max="17" width="10" customWidth="1"/>
  </cols>
  <sheetData>
    <row r="1" spans="1:17" ht="20.25">
      <c r="A1" s="76" t="s">
        <v>285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3" spans="1:17" ht="15">
      <c r="A3" s="3" t="s">
        <v>71</v>
      </c>
      <c r="B3" s="3" t="s">
        <v>72</v>
      </c>
      <c r="C3" s="3" t="s">
        <v>286</v>
      </c>
      <c r="D3" s="3" t="s">
        <v>287</v>
      </c>
      <c r="E3" s="3" t="s">
        <v>288</v>
      </c>
      <c r="F3" s="3" t="s">
        <v>289</v>
      </c>
      <c r="G3" s="3" t="s">
        <v>56</v>
      </c>
      <c r="H3" s="3" t="s">
        <v>290</v>
      </c>
      <c r="I3" s="3" t="s">
        <v>291</v>
      </c>
      <c r="J3" s="3" t="s">
        <v>292</v>
      </c>
      <c r="K3" s="3" t="s">
        <v>293</v>
      </c>
      <c r="L3" s="3" t="s">
        <v>294</v>
      </c>
      <c r="M3" s="3" t="s">
        <v>295</v>
      </c>
      <c r="N3" s="3" t="s">
        <v>296</v>
      </c>
      <c r="O3" s="3" t="s">
        <v>297</v>
      </c>
      <c r="P3" s="3" t="s">
        <v>298</v>
      </c>
      <c r="Q3" s="3" t="s">
        <v>299</v>
      </c>
    </row>
    <row r="4" spans="1:17">
      <c r="A4" s="4" t="s">
        <v>53</v>
      </c>
      <c r="B4" s="4">
        <v>1</v>
      </c>
      <c r="C4" s="4" t="str">
        <f>IF($D4="Active",IFERROR(INDEX(Teams!$D$4:$D$67,MATCH($A4&amp;"-"&amp;$B4,Teams!$E$4:$E$67,0)),""),"")</f>
        <v>Team A1</v>
      </c>
      <c r="D4" s="4" t="str">
        <f>IFERROR(INDEX(Teams!$F$4:$F$67,MATCH($A4&amp;"-"&amp;$B4,Teams!$E$4:$E$67,0)),0)</f>
        <v>Active</v>
      </c>
      <c r="E4" s="4">
        <f>IF($D4&lt;&gt;"Active","",COUNTIFS(Scores!$B$4:$B$227,$A4,Scores!$R$4:$R$227,$B4,Scores!$Q$4:$Q$227,"Complete")+COUNTIFS(Scores!$B$4:$B$227,$A4,Scores!$S$4:$S$227,$B4,Scores!$Q$4:$Q$227,"Complete"))</f>
        <v>0</v>
      </c>
      <c r="F4" s="4">
        <f>IF($D4&lt;&gt;"Active","",SUMIFS(Scores!$T$4:$T$227,Scores!$B$4:$B$227,$A4,Scores!$R$4:$R$227,$B4)+SUMIFS(Scores!$U$4:$U$227,Scores!$B$4:$B$227,$A4,Scores!$S$4:$S$227,$B4))</f>
        <v>0</v>
      </c>
      <c r="G4" s="4">
        <f>IF($D4&lt;&gt;"Active","",SUMIFS(Scores!$V$4:$V$227,Scores!$B$4:$B$227,$A4,Scores!$R$4:$R$227,$B4)+SUMIFS(Scores!$V$4:$V$227,Scores!$B$4:$B$227,$A4,Scores!$S$4:$S$227,$B4))</f>
        <v>0</v>
      </c>
      <c r="H4" s="4">
        <f t="shared" ref="H4:H35" si="0">IF($D4&lt;&gt;"Active","",$E4-$F4-$G4)</f>
        <v>0</v>
      </c>
      <c r="I4" s="4">
        <f>IF($D4&lt;&gt;"Active","",SUMIFS(Scores!$F$4:$F$227,Scores!$B$4:$B$227,$A4,Scores!$R$4:$R$227,$B4,Scores!$Q$4:$Q$227,"Complete")+SUMIFS(Scores!$L$4:$L$227,Scores!$B$4:$B$227,$A4,Scores!$S$4:$S$227,$B4,Scores!$Q$4:$Q$227,"Complete"))</f>
        <v>0</v>
      </c>
      <c r="J4" s="4">
        <f>IF($D4&lt;&gt;"Active","",SUMIFS(Scores!$L$4:$L$227,Scores!$B$4:$B$227,$A4,Scores!$R$4:$R$227,$B4,Scores!$Q$4:$Q$227,"Complete")+SUMIFS(Scores!$F$4:$F$227,Scores!$B$4:$B$227,$A4,Scores!$S$4:$S$227,$B4,Scores!$Q$4:$Q$227,"Complete"))</f>
        <v>0</v>
      </c>
      <c r="K4" s="4">
        <f t="shared" ref="K4:K35" si="1">IF($D4&lt;&gt;"Active","",$I4-$J4)</f>
        <v>0</v>
      </c>
      <c r="L4" s="4">
        <f>IF($D4&lt;&gt;"Active","",SUMIFS(Scores!$J$4:$J$227,Scores!$B$4:$B$227,$A4,Scores!$R$4:$R$227,$B4)+SUMIFS(Scores!$P$4:$P$227,Scores!$B$4:$B$227,$A4,Scores!$S$4:$S$227,$B4))</f>
        <v>0</v>
      </c>
      <c r="M4" s="4">
        <f>IF($D4&lt;&gt;"Active","",$F4*Setup!$B$10+$G4*Setup!$B$11+$H4*Setup!$B$12)</f>
        <v>0</v>
      </c>
      <c r="N4" s="4">
        <f t="shared" ref="N4:N35" si="2">IF($D4&lt;&gt;"Active","",$M4+$L4)</f>
        <v>0</v>
      </c>
      <c r="O4" s="4">
        <f t="shared" ref="O4:O35" si="3">IF($D4&lt;&gt;"Active","",$N4*1000000000+$F4*10000000+($K4+10000)*1000+$I4*10+$L4+(9-$B4)/100)</f>
        <v>10000000.08</v>
      </c>
      <c r="P4" s="4">
        <f t="shared" ref="P4:P35" si="4">IF($D4&lt;&gt;"Active","",COUNTIFS($A$4:$A$67,$A4,$D$4:$D$67,"Active",$O$4:$O$67,"&gt;"&amp;$O4)+1)</f>
        <v>1</v>
      </c>
      <c r="Q4" s="4" t="str">
        <f t="shared" ref="Q4:Q35" si="5">IF($D4="Active",$A4&amp;"-"&amp;$P4,"")</f>
        <v>A-1</v>
      </c>
    </row>
    <row r="5" spans="1:17">
      <c r="A5" s="4" t="s">
        <v>53</v>
      </c>
      <c r="B5" s="4">
        <v>2</v>
      </c>
      <c r="C5" s="4" t="str">
        <f>IF($D5="Active",IFERROR(INDEX(Teams!$D$4:$D$67,MATCH($A5&amp;"-"&amp;$B5,Teams!$E$4:$E$67,0)),""),"")</f>
        <v>Team A2</v>
      </c>
      <c r="D5" s="4" t="str">
        <f>IFERROR(INDEX(Teams!$F$4:$F$67,MATCH($A5&amp;"-"&amp;$B5,Teams!$E$4:$E$67,0)),0)</f>
        <v>Active</v>
      </c>
      <c r="E5" s="4">
        <f>IF($D5&lt;&gt;"Active","",COUNTIFS(Scores!$B$4:$B$227,$A5,Scores!$R$4:$R$227,$B5,Scores!$Q$4:$Q$227,"Complete")+COUNTIFS(Scores!$B$4:$B$227,$A5,Scores!$S$4:$S$227,$B5,Scores!$Q$4:$Q$227,"Complete"))</f>
        <v>0</v>
      </c>
      <c r="F5" s="4">
        <f>IF($D5&lt;&gt;"Active","",SUMIFS(Scores!$T$4:$T$227,Scores!$B$4:$B$227,$A5,Scores!$R$4:$R$227,$B5)+SUMIFS(Scores!$U$4:$U$227,Scores!$B$4:$B$227,$A5,Scores!$S$4:$S$227,$B5))</f>
        <v>0</v>
      </c>
      <c r="G5" s="4">
        <f>IF($D5&lt;&gt;"Active","",SUMIFS(Scores!$V$4:$V$227,Scores!$B$4:$B$227,$A5,Scores!$R$4:$R$227,$B5)+SUMIFS(Scores!$V$4:$V$227,Scores!$B$4:$B$227,$A5,Scores!$S$4:$S$227,$B5))</f>
        <v>0</v>
      </c>
      <c r="H5" s="4">
        <f t="shared" si="0"/>
        <v>0</v>
      </c>
      <c r="I5" s="4">
        <f>IF($D5&lt;&gt;"Active","",SUMIFS(Scores!$F$4:$F$227,Scores!$B$4:$B$227,$A5,Scores!$R$4:$R$227,$B5,Scores!$Q$4:$Q$227,"Complete")+SUMIFS(Scores!$L$4:$L$227,Scores!$B$4:$B$227,$A5,Scores!$S$4:$S$227,$B5,Scores!$Q$4:$Q$227,"Complete"))</f>
        <v>0</v>
      </c>
      <c r="J5" s="4">
        <f>IF($D5&lt;&gt;"Active","",SUMIFS(Scores!$L$4:$L$227,Scores!$B$4:$B$227,$A5,Scores!$R$4:$R$227,$B5,Scores!$Q$4:$Q$227,"Complete")+SUMIFS(Scores!$F$4:$F$227,Scores!$B$4:$B$227,$A5,Scores!$S$4:$S$227,$B5,Scores!$Q$4:$Q$227,"Complete"))</f>
        <v>0</v>
      </c>
      <c r="K5" s="4">
        <f t="shared" si="1"/>
        <v>0</v>
      </c>
      <c r="L5" s="4">
        <f>IF($D5&lt;&gt;"Active","",SUMIFS(Scores!$J$4:$J$227,Scores!$B$4:$B$227,$A5,Scores!$R$4:$R$227,$B5)+SUMIFS(Scores!$P$4:$P$227,Scores!$B$4:$B$227,$A5,Scores!$S$4:$S$227,$B5))</f>
        <v>0</v>
      </c>
      <c r="M5" s="4">
        <f>IF($D5&lt;&gt;"Active","",$F5*Setup!$B$10+$G5*Setup!$B$11+$H5*Setup!$B$12)</f>
        <v>0</v>
      </c>
      <c r="N5" s="4">
        <f t="shared" si="2"/>
        <v>0</v>
      </c>
      <c r="O5" s="4">
        <f t="shared" si="3"/>
        <v>10000000.07</v>
      </c>
      <c r="P5" s="4">
        <f t="shared" si="4"/>
        <v>2</v>
      </c>
      <c r="Q5" s="4" t="str">
        <f t="shared" si="5"/>
        <v>A-2</v>
      </c>
    </row>
    <row r="6" spans="1:17">
      <c r="A6" s="4" t="s">
        <v>53</v>
      </c>
      <c r="B6" s="4">
        <v>3</v>
      </c>
      <c r="C6" s="4" t="str">
        <f>IF($D6="Active",IFERROR(INDEX(Teams!$D$4:$D$67,MATCH($A6&amp;"-"&amp;$B6,Teams!$E$4:$E$67,0)),""),"")</f>
        <v>Team A3</v>
      </c>
      <c r="D6" s="4" t="str">
        <f>IFERROR(INDEX(Teams!$F$4:$F$67,MATCH($A6&amp;"-"&amp;$B6,Teams!$E$4:$E$67,0)),0)</f>
        <v>Active</v>
      </c>
      <c r="E6" s="4">
        <f>IF($D6&lt;&gt;"Active","",COUNTIFS(Scores!$B$4:$B$227,$A6,Scores!$R$4:$R$227,$B6,Scores!$Q$4:$Q$227,"Complete")+COUNTIFS(Scores!$B$4:$B$227,$A6,Scores!$S$4:$S$227,$B6,Scores!$Q$4:$Q$227,"Complete"))</f>
        <v>0</v>
      </c>
      <c r="F6" s="4">
        <f>IF($D6&lt;&gt;"Active","",SUMIFS(Scores!$T$4:$T$227,Scores!$B$4:$B$227,$A6,Scores!$R$4:$R$227,$B6)+SUMIFS(Scores!$U$4:$U$227,Scores!$B$4:$B$227,$A6,Scores!$S$4:$S$227,$B6))</f>
        <v>0</v>
      </c>
      <c r="G6" s="4">
        <f>IF($D6&lt;&gt;"Active","",SUMIFS(Scores!$V$4:$V$227,Scores!$B$4:$B$227,$A6,Scores!$R$4:$R$227,$B6)+SUMIFS(Scores!$V$4:$V$227,Scores!$B$4:$B$227,$A6,Scores!$S$4:$S$227,$B6))</f>
        <v>0</v>
      </c>
      <c r="H6" s="4">
        <f t="shared" si="0"/>
        <v>0</v>
      </c>
      <c r="I6" s="4">
        <f>IF($D6&lt;&gt;"Active","",SUMIFS(Scores!$F$4:$F$227,Scores!$B$4:$B$227,$A6,Scores!$R$4:$R$227,$B6,Scores!$Q$4:$Q$227,"Complete")+SUMIFS(Scores!$L$4:$L$227,Scores!$B$4:$B$227,$A6,Scores!$S$4:$S$227,$B6,Scores!$Q$4:$Q$227,"Complete"))</f>
        <v>0</v>
      </c>
      <c r="J6" s="4">
        <f>IF($D6&lt;&gt;"Active","",SUMIFS(Scores!$L$4:$L$227,Scores!$B$4:$B$227,$A6,Scores!$R$4:$R$227,$B6,Scores!$Q$4:$Q$227,"Complete")+SUMIFS(Scores!$F$4:$F$227,Scores!$B$4:$B$227,$A6,Scores!$S$4:$S$227,$B6,Scores!$Q$4:$Q$227,"Complete"))</f>
        <v>0</v>
      </c>
      <c r="K6" s="4">
        <f t="shared" si="1"/>
        <v>0</v>
      </c>
      <c r="L6" s="4">
        <f>IF($D6&lt;&gt;"Active","",SUMIFS(Scores!$J$4:$J$227,Scores!$B$4:$B$227,$A6,Scores!$R$4:$R$227,$B6)+SUMIFS(Scores!$P$4:$P$227,Scores!$B$4:$B$227,$A6,Scores!$S$4:$S$227,$B6))</f>
        <v>0</v>
      </c>
      <c r="M6" s="4">
        <f>IF($D6&lt;&gt;"Active","",$F6*Setup!$B$10+$G6*Setup!$B$11+$H6*Setup!$B$12)</f>
        <v>0</v>
      </c>
      <c r="N6" s="4">
        <f t="shared" si="2"/>
        <v>0</v>
      </c>
      <c r="O6" s="4">
        <f t="shared" si="3"/>
        <v>10000000.060000001</v>
      </c>
      <c r="P6" s="4">
        <f t="shared" si="4"/>
        <v>3</v>
      </c>
      <c r="Q6" s="4" t="str">
        <f t="shared" si="5"/>
        <v>A-3</v>
      </c>
    </row>
    <row r="7" spans="1:17">
      <c r="A7" s="4" t="s">
        <v>53</v>
      </c>
      <c r="B7" s="4">
        <v>4</v>
      </c>
      <c r="C7" s="4" t="str">
        <f>IF($D7="Active",IFERROR(INDEX(Teams!$D$4:$D$67,MATCH($A7&amp;"-"&amp;$B7,Teams!$E$4:$E$67,0)),""),"")</f>
        <v>Team A4</v>
      </c>
      <c r="D7" s="4" t="str">
        <f>IFERROR(INDEX(Teams!$F$4:$F$67,MATCH($A7&amp;"-"&amp;$B7,Teams!$E$4:$E$67,0)),0)</f>
        <v>Active</v>
      </c>
      <c r="E7" s="4">
        <f>IF($D7&lt;&gt;"Active","",COUNTIFS(Scores!$B$4:$B$227,$A7,Scores!$R$4:$R$227,$B7,Scores!$Q$4:$Q$227,"Complete")+COUNTIFS(Scores!$B$4:$B$227,$A7,Scores!$S$4:$S$227,$B7,Scores!$Q$4:$Q$227,"Complete"))</f>
        <v>0</v>
      </c>
      <c r="F7" s="4">
        <f>IF($D7&lt;&gt;"Active","",SUMIFS(Scores!$T$4:$T$227,Scores!$B$4:$B$227,$A7,Scores!$R$4:$R$227,$B7)+SUMIFS(Scores!$U$4:$U$227,Scores!$B$4:$B$227,$A7,Scores!$S$4:$S$227,$B7))</f>
        <v>0</v>
      </c>
      <c r="G7" s="4">
        <f>IF($D7&lt;&gt;"Active","",SUMIFS(Scores!$V$4:$V$227,Scores!$B$4:$B$227,$A7,Scores!$R$4:$R$227,$B7)+SUMIFS(Scores!$V$4:$V$227,Scores!$B$4:$B$227,$A7,Scores!$S$4:$S$227,$B7))</f>
        <v>0</v>
      </c>
      <c r="H7" s="4">
        <f t="shared" si="0"/>
        <v>0</v>
      </c>
      <c r="I7" s="4">
        <f>IF($D7&lt;&gt;"Active","",SUMIFS(Scores!$F$4:$F$227,Scores!$B$4:$B$227,$A7,Scores!$R$4:$R$227,$B7,Scores!$Q$4:$Q$227,"Complete")+SUMIFS(Scores!$L$4:$L$227,Scores!$B$4:$B$227,$A7,Scores!$S$4:$S$227,$B7,Scores!$Q$4:$Q$227,"Complete"))</f>
        <v>0</v>
      </c>
      <c r="J7" s="4">
        <f>IF($D7&lt;&gt;"Active","",SUMIFS(Scores!$L$4:$L$227,Scores!$B$4:$B$227,$A7,Scores!$R$4:$R$227,$B7,Scores!$Q$4:$Q$227,"Complete")+SUMIFS(Scores!$F$4:$F$227,Scores!$B$4:$B$227,$A7,Scores!$S$4:$S$227,$B7,Scores!$Q$4:$Q$227,"Complete"))</f>
        <v>0</v>
      </c>
      <c r="K7" s="4">
        <f t="shared" si="1"/>
        <v>0</v>
      </c>
      <c r="L7" s="4">
        <f>IF($D7&lt;&gt;"Active","",SUMIFS(Scores!$J$4:$J$227,Scores!$B$4:$B$227,$A7,Scores!$R$4:$R$227,$B7)+SUMIFS(Scores!$P$4:$P$227,Scores!$B$4:$B$227,$A7,Scores!$S$4:$S$227,$B7))</f>
        <v>0</v>
      </c>
      <c r="M7" s="4">
        <f>IF($D7&lt;&gt;"Active","",$F7*Setup!$B$10+$G7*Setup!$B$11+$H7*Setup!$B$12)</f>
        <v>0</v>
      </c>
      <c r="N7" s="4">
        <f t="shared" si="2"/>
        <v>0</v>
      </c>
      <c r="O7" s="4">
        <f t="shared" si="3"/>
        <v>10000000.050000001</v>
      </c>
      <c r="P7" s="4">
        <f t="shared" si="4"/>
        <v>4</v>
      </c>
      <c r="Q7" s="4" t="str">
        <f t="shared" si="5"/>
        <v>A-4</v>
      </c>
    </row>
    <row r="8" spans="1:17">
      <c r="A8" s="4" t="s">
        <v>53</v>
      </c>
      <c r="B8" s="4">
        <v>5</v>
      </c>
      <c r="C8" s="4" t="str">
        <f>IF($D8="Active",IFERROR(INDEX(Teams!$D$4:$D$67,MATCH($A8&amp;"-"&amp;$B8,Teams!$E$4:$E$67,0)),""),"")</f>
        <v>Team A5</v>
      </c>
      <c r="D8" s="4" t="str">
        <f>IFERROR(INDEX(Teams!$F$4:$F$67,MATCH($A8&amp;"-"&amp;$B8,Teams!$E$4:$E$67,0)),0)</f>
        <v>Active</v>
      </c>
      <c r="E8" s="4">
        <f>IF($D8&lt;&gt;"Active","",COUNTIFS(Scores!$B$4:$B$227,$A8,Scores!$R$4:$R$227,$B8,Scores!$Q$4:$Q$227,"Complete")+COUNTIFS(Scores!$B$4:$B$227,$A8,Scores!$S$4:$S$227,$B8,Scores!$Q$4:$Q$227,"Complete"))</f>
        <v>0</v>
      </c>
      <c r="F8" s="4">
        <f>IF($D8&lt;&gt;"Active","",SUMIFS(Scores!$T$4:$T$227,Scores!$B$4:$B$227,$A8,Scores!$R$4:$R$227,$B8)+SUMIFS(Scores!$U$4:$U$227,Scores!$B$4:$B$227,$A8,Scores!$S$4:$S$227,$B8))</f>
        <v>0</v>
      </c>
      <c r="G8" s="4">
        <f>IF($D8&lt;&gt;"Active","",SUMIFS(Scores!$V$4:$V$227,Scores!$B$4:$B$227,$A8,Scores!$R$4:$R$227,$B8)+SUMIFS(Scores!$V$4:$V$227,Scores!$B$4:$B$227,$A8,Scores!$S$4:$S$227,$B8))</f>
        <v>0</v>
      </c>
      <c r="H8" s="4">
        <f t="shared" si="0"/>
        <v>0</v>
      </c>
      <c r="I8" s="4">
        <f>IF($D8&lt;&gt;"Active","",SUMIFS(Scores!$F$4:$F$227,Scores!$B$4:$B$227,$A8,Scores!$R$4:$R$227,$B8,Scores!$Q$4:$Q$227,"Complete")+SUMIFS(Scores!$L$4:$L$227,Scores!$B$4:$B$227,$A8,Scores!$S$4:$S$227,$B8,Scores!$Q$4:$Q$227,"Complete"))</f>
        <v>0</v>
      </c>
      <c r="J8" s="4">
        <f>IF($D8&lt;&gt;"Active","",SUMIFS(Scores!$L$4:$L$227,Scores!$B$4:$B$227,$A8,Scores!$R$4:$R$227,$B8,Scores!$Q$4:$Q$227,"Complete")+SUMIFS(Scores!$F$4:$F$227,Scores!$B$4:$B$227,$A8,Scores!$S$4:$S$227,$B8,Scores!$Q$4:$Q$227,"Complete"))</f>
        <v>0</v>
      </c>
      <c r="K8" s="4">
        <f t="shared" si="1"/>
        <v>0</v>
      </c>
      <c r="L8" s="4">
        <f>IF($D8&lt;&gt;"Active","",SUMIFS(Scores!$J$4:$J$227,Scores!$B$4:$B$227,$A8,Scores!$R$4:$R$227,$B8)+SUMIFS(Scores!$P$4:$P$227,Scores!$B$4:$B$227,$A8,Scores!$S$4:$S$227,$B8))</f>
        <v>0</v>
      </c>
      <c r="M8" s="4">
        <f>IF($D8&lt;&gt;"Active","",$F8*Setup!$B$10+$G8*Setup!$B$11+$H8*Setup!$B$12)</f>
        <v>0</v>
      </c>
      <c r="N8" s="4">
        <f t="shared" si="2"/>
        <v>0</v>
      </c>
      <c r="O8" s="4">
        <f t="shared" si="3"/>
        <v>10000000.039999999</v>
      </c>
      <c r="P8" s="4">
        <f t="shared" si="4"/>
        <v>5</v>
      </c>
      <c r="Q8" s="4" t="str">
        <f t="shared" si="5"/>
        <v>A-5</v>
      </c>
    </row>
    <row r="9" spans="1:17">
      <c r="A9" s="4" t="s">
        <v>53</v>
      </c>
      <c r="B9" s="4">
        <v>6</v>
      </c>
      <c r="C9" s="4" t="str">
        <f>IF($D9="Active",IFERROR(INDEX(Teams!$D$4:$D$67,MATCH($A9&amp;"-"&amp;$B9,Teams!$E$4:$E$67,0)),""),"")</f>
        <v>Team A6</v>
      </c>
      <c r="D9" s="4" t="str">
        <f>IFERROR(INDEX(Teams!$F$4:$F$67,MATCH($A9&amp;"-"&amp;$B9,Teams!$E$4:$E$67,0)),0)</f>
        <v>Active</v>
      </c>
      <c r="E9" s="4">
        <f>IF($D9&lt;&gt;"Active","",COUNTIFS(Scores!$B$4:$B$227,$A9,Scores!$R$4:$R$227,$B9,Scores!$Q$4:$Q$227,"Complete")+COUNTIFS(Scores!$B$4:$B$227,$A9,Scores!$S$4:$S$227,$B9,Scores!$Q$4:$Q$227,"Complete"))</f>
        <v>0</v>
      </c>
      <c r="F9" s="4">
        <f>IF($D9&lt;&gt;"Active","",SUMIFS(Scores!$T$4:$T$227,Scores!$B$4:$B$227,$A9,Scores!$R$4:$R$227,$B9)+SUMIFS(Scores!$U$4:$U$227,Scores!$B$4:$B$227,$A9,Scores!$S$4:$S$227,$B9))</f>
        <v>0</v>
      </c>
      <c r="G9" s="4">
        <f>IF($D9&lt;&gt;"Active","",SUMIFS(Scores!$V$4:$V$227,Scores!$B$4:$B$227,$A9,Scores!$R$4:$R$227,$B9)+SUMIFS(Scores!$V$4:$V$227,Scores!$B$4:$B$227,$A9,Scores!$S$4:$S$227,$B9))</f>
        <v>0</v>
      </c>
      <c r="H9" s="4">
        <f t="shared" si="0"/>
        <v>0</v>
      </c>
      <c r="I9" s="4">
        <f>IF($D9&lt;&gt;"Active","",SUMIFS(Scores!$F$4:$F$227,Scores!$B$4:$B$227,$A9,Scores!$R$4:$R$227,$B9,Scores!$Q$4:$Q$227,"Complete")+SUMIFS(Scores!$L$4:$L$227,Scores!$B$4:$B$227,$A9,Scores!$S$4:$S$227,$B9,Scores!$Q$4:$Q$227,"Complete"))</f>
        <v>0</v>
      </c>
      <c r="J9" s="4">
        <f>IF($D9&lt;&gt;"Active","",SUMIFS(Scores!$L$4:$L$227,Scores!$B$4:$B$227,$A9,Scores!$R$4:$R$227,$B9,Scores!$Q$4:$Q$227,"Complete")+SUMIFS(Scores!$F$4:$F$227,Scores!$B$4:$B$227,$A9,Scores!$S$4:$S$227,$B9,Scores!$Q$4:$Q$227,"Complete"))</f>
        <v>0</v>
      </c>
      <c r="K9" s="4">
        <f t="shared" si="1"/>
        <v>0</v>
      </c>
      <c r="L9" s="4">
        <f>IF($D9&lt;&gt;"Active","",SUMIFS(Scores!$J$4:$J$227,Scores!$B$4:$B$227,$A9,Scores!$R$4:$R$227,$B9)+SUMIFS(Scores!$P$4:$P$227,Scores!$B$4:$B$227,$A9,Scores!$S$4:$S$227,$B9))</f>
        <v>0</v>
      </c>
      <c r="M9" s="4">
        <f>IF($D9&lt;&gt;"Active","",$F9*Setup!$B$10+$G9*Setup!$B$11+$H9*Setup!$B$12)</f>
        <v>0</v>
      </c>
      <c r="N9" s="4">
        <f t="shared" si="2"/>
        <v>0</v>
      </c>
      <c r="O9" s="4">
        <f t="shared" si="3"/>
        <v>10000000.029999999</v>
      </c>
      <c r="P9" s="4">
        <f t="shared" si="4"/>
        <v>6</v>
      </c>
      <c r="Q9" s="4" t="str">
        <f t="shared" si="5"/>
        <v>A-6</v>
      </c>
    </row>
    <row r="10" spans="1:17">
      <c r="A10" s="4" t="s">
        <v>53</v>
      </c>
      <c r="B10" s="4">
        <v>7</v>
      </c>
      <c r="C10" s="4" t="str">
        <f>IF($D10="Active",IFERROR(INDEX(Teams!$D$4:$D$67,MATCH($A10&amp;"-"&amp;$B10,Teams!$E$4:$E$67,0)),""),"")</f>
        <v>Team A7</v>
      </c>
      <c r="D10" s="4" t="str">
        <f>IFERROR(INDEX(Teams!$F$4:$F$67,MATCH($A10&amp;"-"&amp;$B10,Teams!$E$4:$E$67,0)),0)</f>
        <v>Active</v>
      </c>
      <c r="E10" s="4">
        <f>IF($D10&lt;&gt;"Active","",COUNTIFS(Scores!$B$4:$B$227,$A10,Scores!$R$4:$R$227,$B10,Scores!$Q$4:$Q$227,"Complete")+COUNTIFS(Scores!$B$4:$B$227,$A10,Scores!$S$4:$S$227,$B10,Scores!$Q$4:$Q$227,"Complete"))</f>
        <v>0</v>
      </c>
      <c r="F10" s="4">
        <f>IF($D10&lt;&gt;"Active","",SUMIFS(Scores!$T$4:$T$227,Scores!$B$4:$B$227,$A10,Scores!$R$4:$R$227,$B10)+SUMIFS(Scores!$U$4:$U$227,Scores!$B$4:$B$227,$A10,Scores!$S$4:$S$227,$B10))</f>
        <v>0</v>
      </c>
      <c r="G10" s="4">
        <f>IF($D10&lt;&gt;"Active","",SUMIFS(Scores!$V$4:$V$227,Scores!$B$4:$B$227,$A10,Scores!$R$4:$R$227,$B10)+SUMIFS(Scores!$V$4:$V$227,Scores!$B$4:$B$227,$A10,Scores!$S$4:$S$227,$B10))</f>
        <v>0</v>
      </c>
      <c r="H10" s="4">
        <f t="shared" si="0"/>
        <v>0</v>
      </c>
      <c r="I10" s="4">
        <f>IF($D10&lt;&gt;"Active","",SUMIFS(Scores!$F$4:$F$227,Scores!$B$4:$B$227,$A10,Scores!$R$4:$R$227,$B10,Scores!$Q$4:$Q$227,"Complete")+SUMIFS(Scores!$L$4:$L$227,Scores!$B$4:$B$227,$A10,Scores!$S$4:$S$227,$B10,Scores!$Q$4:$Q$227,"Complete"))</f>
        <v>0</v>
      </c>
      <c r="J10" s="4">
        <f>IF($D10&lt;&gt;"Active","",SUMIFS(Scores!$L$4:$L$227,Scores!$B$4:$B$227,$A10,Scores!$R$4:$R$227,$B10,Scores!$Q$4:$Q$227,"Complete")+SUMIFS(Scores!$F$4:$F$227,Scores!$B$4:$B$227,$A10,Scores!$S$4:$S$227,$B10,Scores!$Q$4:$Q$227,"Complete"))</f>
        <v>0</v>
      </c>
      <c r="K10" s="4">
        <f t="shared" si="1"/>
        <v>0</v>
      </c>
      <c r="L10" s="4">
        <f>IF($D10&lt;&gt;"Active","",SUMIFS(Scores!$J$4:$J$227,Scores!$B$4:$B$227,$A10,Scores!$R$4:$R$227,$B10)+SUMIFS(Scores!$P$4:$P$227,Scores!$B$4:$B$227,$A10,Scores!$S$4:$S$227,$B10))</f>
        <v>0</v>
      </c>
      <c r="M10" s="4">
        <f>IF($D10&lt;&gt;"Active","",$F10*Setup!$B$10+$G10*Setup!$B$11+$H10*Setup!$B$12)</f>
        <v>0</v>
      </c>
      <c r="N10" s="4">
        <f t="shared" si="2"/>
        <v>0</v>
      </c>
      <c r="O10" s="4">
        <f t="shared" si="3"/>
        <v>10000000.02</v>
      </c>
      <c r="P10" s="4">
        <f t="shared" si="4"/>
        <v>7</v>
      </c>
      <c r="Q10" s="4" t="str">
        <f t="shared" si="5"/>
        <v>A-7</v>
      </c>
    </row>
    <row r="11" spans="1:17">
      <c r="A11" s="4" t="s">
        <v>53</v>
      </c>
      <c r="B11" s="4">
        <v>8</v>
      </c>
      <c r="C11" s="4" t="str">
        <f>IF($D11="Active",IFERROR(INDEX(Teams!$D$4:$D$67,MATCH($A11&amp;"-"&amp;$B11,Teams!$E$4:$E$67,0)),""),"")</f>
        <v>Team A8</v>
      </c>
      <c r="D11" s="4" t="str">
        <f>IFERROR(INDEX(Teams!$F$4:$F$67,MATCH($A11&amp;"-"&amp;$B11,Teams!$E$4:$E$67,0)),0)</f>
        <v>Active</v>
      </c>
      <c r="E11" s="4">
        <f>IF($D11&lt;&gt;"Active","",COUNTIFS(Scores!$B$4:$B$227,$A11,Scores!$R$4:$R$227,$B11,Scores!$Q$4:$Q$227,"Complete")+COUNTIFS(Scores!$B$4:$B$227,$A11,Scores!$S$4:$S$227,$B11,Scores!$Q$4:$Q$227,"Complete"))</f>
        <v>0</v>
      </c>
      <c r="F11" s="4">
        <f>IF($D11&lt;&gt;"Active","",SUMIFS(Scores!$T$4:$T$227,Scores!$B$4:$B$227,$A11,Scores!$R$4:$R$227,$B11)+SUMIFS(Scores!$U$4:$U$227,Scores!$B$4:$B$227,$A11,Scores!$S$4:$S$227,$B11))</f>
        <v>0</v>
      </c>
      <c r="G11" s="4">
        <f>IF($D11&lt;&gt;"Active","",SUMIFS(Scores!$V$4:$V$227,Scores!$B$4:$B$227,$A11,Scores!$R$4:$R$227,$B11)+SUMIFS(Scores!$V$4:$V$227,Scores!$B$4:$B$227,$A11,Scores!$S$4:$S$227,$B11))</f>
        <v>0</v>
      </c>
      <c r="H11" s="4">
        <f t="shared" si="0"/>
        <v>0</v>
      </c>
      <c r="I11" s="4">
        <f>IF($D11&lt;&gt;"Active","",SUMIFS(Scores!$F$4:$F$227,Scores!$B$4:$B$227,$A11,Scores!$R$4:$R$227,$B11,Scores!$Q$4:$Q$227,"Complete")+SUMIFS(Scores!$L$4:$L$227,Scores!$B$4:$B$227,$A11,Scores!$S$4:$S$227,$B11,Scores!$Q$4:$Q$227,"Complete"))</f>
        <v>0</v>
      </c>
      <c r="J11" s="4">
        <f>IF($D11&lt;&gt;"Active","",SUMIFS(Scores!$L$4:$L$227,Scores!$B$4:$B$227,$A11,Scores!$R$4:$R$227,$B11,Scores!$Q$4:$Q$227,"Complete")+SUMIFS(Scores!$F$4:$F$227,Scores!$B$4:$B$227,$A11,Scores!$S$4:$S$227,$B11,Scores!$Q$4:$Q$227,"Complete"))</f>
        <v>0</v>
      </c>
      <c r="K11" s="4">
        <f t="shared" si="1"/>
        <v>0</v>
      </c>
      <c r="L11" s="4">
        <f>IF($D11&lt;&gt;"Active","",SUMIFS(Scores!$J$4:$J$227,Scores!$B$4:$B$227,$A11,Scores!$R$4:$R$227,$B11)+SUMIFS(Scores!$P$4:$P$227,Scores!$B$4:$B$227,$A11,Scores!$S$4:$S$227,$B11))</f>
        <v>0</v>
      </c>
      <c r="M11" s="4">
        <f>IF($D11&lt;&gt;"Active","",$F11*Setup!$B$10+$G11*Setup!$B$11+$H11*Setup!$B$12)</f>
        <v>0</v>
      </c>
      <c r="N11" s="4">
        <f t="shared" si="2"/>
        <v>0</v>
      </c>
      <c r="O11" s="4">
        <f t="shared" si="3"/>
        <v>10000000.01</v>
      </c>
      <c r="P11" s="4">
        <f t="shared" si="4"/>
        <v>8</v>
      </c>
      <c r="Q11" s="4" t="str">
        <f t="shared" si="5"/>
        <v>A-8</v>
      </c>
    </row>
    <row r="12" spans="1:17">
      <c r="A12" s="4" t="s">
        <v>54</v>
      </c>
      <c r="B12" s="4">
        <v>1</v>
      </c>
      <c r="C12" s="4" t="str">
        <f>IF($D12="Active",IFERROR(INDEX(Teams!$D$4:$D$67,MATCH($A12&amp;"-"&amp;$B12,Teams!$E$4:$E$67,0)),""),"")</f>
        <v>Team B1</v>
      </c>
      <c r="D12" s="4" t="str">
        <f>IFERROR(INDEX(Teams!$F$4:$F$67,MATCH($A12&amp;"-"&amp;$B12,Teams!$E$4:$E$67,0)),0)</f>
        <v>Active</v>
      </c>
      <c r="E12" s="4">
        <f>IF($D12&lt;&gt;"Active","",COUNTIFS(Scores!$B$4:$B$227,$A12,Scores!$R$4:$R$227,$B12,Scores!$Q$4:$Q$227,"Complete")+COUNTIFS(Scores!$B$4:$B$227,$A12,Scores!$S$4:$S$227,$B12,Scores!$Q$4:$Q$227,"Complete"))</f>
        <v>0</v>
      </c>
      <c r="F12" s="4">
        <f>IF($D12&lt;&gt;"Active","",SUMIFS(Scores!$T$4:$T$227,Scores!$B$4:$B$227,$A12,Scores!$R$4:$R$227,$B12)+SUMIFS(Scores!$U$4:$U$227,Scores!$B$4:$B$227,$A12,Scores!$S$4:$S$227,$B12))</f>
        <v>0</v>
      </c>
      <c r="G12" s="4">
        <f>IF($D12&lt;&gt;"Active","",SUMIFS(Scores!$V$4:$V$227,Scores!$B$4:$B$227,$A12,Scores!$R$4:$R$227,$B12)+SUMIFS(Scores!$V$4:$V$227,Scores!$B$4:$B$227,$A12,Scores!$S$4:$S$227,$B12))</f>
        <v>0</v>
      </c>
      <c r="H12" s="4">
        <f t="shared" si="0"/>
        <v>0</v>
      </c>
      <c r="I12" s="4">
        <f>IF($D12&lt;&gt;"Active","",SUMIFS(Scores!$F$4:$F$227,Scores!$B$4:$B$227,$A12,Scores!$R$4:$R$227,$B12,Scores!$Q$4:$Q$227,"Complete")+SUMIFS(Scores!$L$4:$L$227,Scores!$B$4:$B$227,$A12,Scores!$S$4:$S$227,$B12,Scores!$Q$4:$Q$227,"Complete"))</f>
        <v>0</v>
      </c>
      <c r="J12" s="4">
        <f>IF($D12&lt;&gt;"Active","",SUMIFS(Scores!$L$4:$L$227,Scores!$B$4:$B$227,$A12,Scores!$R$4:$R$227,$B12,Scores!$Q$4:$Q$227,"Complete")+SUMIFS(Scores!$F$4:$F$227,Scores!$B$4:$B$227,$A12,Scores!$S$4:$S$227,$B12,Scores!$Q$4:$Q$227,"Complete"))</f>
        <v>0</v>
      </c>
      <c r="K12" s="4">
        <f t="shared" si="1"/>
        <v>0</v>
      </c>
      <c r="L12" s="4">
        <f>IF($D12&lt;&gt;"Active","",SUMIFS(Scores!$J$4:$J$227,Scores!$B$4:$B$227,$A12,Scores!$R$4:$R$227,$B12)+SUMIFS(Scores!$P$4:$P$227,Scores!$B$4:$B$227,$A12,Scores!$S$4:$S$227,$B12))</f>
        <v>0</v>
      </c>
      <c r="M12" s="4">
        <f>IF($D12&lt;&gt;"Active","",$F12*Setup!$B$10+$G12*Setup!$B$11+$H12*Setup!$B$12)</f>
        <v>0</v>
      </c>
      <c r="N12" s="4">
        <f t="shared" si="2"/>
        <v>0</v>
      </c>
      <c r="O12" s="4">
        <f t="shared" si="3"/>
        <v>10000000.08</v>
      </c>
      <c r="P12" s="4">
        <f t="shared" si="4"/>
        <v>1</v>
      </c>
      <c r="Q12" s="4" t="str">
        <f t="shared" si="5"/>
        <v>B-1</v>
      </c>
    </row>
    <row r="13" spans="1:17">
      <c r="A13" s="4" t="s">
        <v>54</v>
      </c>
      <c r="B13" s="4">
        <v>2</v>
      </c>
      <c r="C13" s="4" t="str">
        <f>IF($D13="Active",IFERROR(INDEX(Teams!$D$4:$D$67,MATCH($A13&amp;"-"&amp;$B13,Teams!$E$4:$E$67,0)),""),"")</f>
        <v>Team B2</v>
      </c>
      <c r="D13" s="4" t="str">
        <f>IFERROR(INDEX(Teams!$F$4:$F$67,MATCH($A13&amp;"-"&amp;$B13,Teams!$E$4:$E$67,0)),0)</f>
        <v>Active</v>
      </c>
      <c r="E13" s="4">
        <f>IF($D13&lt;&gt;"Active","",COUNTIFS(Scores!$B$4:$B$227,$A13,Scores!$R$4:$R$227,$B13,Scores!$Q$4:$Q$227,"Complete")+COUNTIFS(Scores!$B$4:$B$227,$A13,Scores!$S$4:$S$227,$B13,Scores!$Q$4:$Q$227,"Complete"))</f>
        <v>0</v>
      </c>
      <c r="F13" s="4">
        <f>IF($D13&lt;&gt;"Active","",SUMIFS(Scores!$T$4:$T$227,Scores!$B$4:$B$227,$A13,Scores!$R$4:$R$227,$B13)+SUMIFS(Scores!$U$4:$U$227,Scores!$B$4:$B$227,$A13,Scores!$S$4:$S$227,$B13))</f>
        <v>0</v>
      </c>
      <c r="G13" s="4">
        <f>IF($D13&lt;&gt;"Active","",SUMIFS(Scores!$V$4:$V$227,Scores!$B$4:$B$227,$A13,Scores!$R$4:$R$227,$B13)+SUMIFS(Scores!$V$4:$V$227,Scores!$B$4:$B$227,$A13,Scores!$S$4:$S$227,$B13))</f>
        <v>0</v>
      </c>
      <c r="H13" s="4">
        <f t="shared" si="0"/>
        <v>0</v>
      </c>
      <c r="I13" s="4">
        <f>IF($D13&lt;&gt;"Active","",SUMIFS(Scores!$F$4:$F$227,Scores!$B$4:$B$227,$A13,Scores!$R$4:$R$227,$B13,Scores!$Q$4:$Q$227,"Complete")+SUMIFS(Scores!$L$4:$L$227,Scores!$B$4:$B$227,$A13,Scores!$S$4:$S$227,$B13,Scores!$Q$4:$Q$227,"Complete"))</f>
        <v>0</v>
      </c>
      <c r="J13" s="4">
        <f>IF($D13&lt;&gt;"Active","",SUMIFS(Scores!$L$4:$L$227,Scores!$B$4:$B$227,$A13,Scores!$R$4:$R$227,$B13,Scores!$Q$4:$Q$227,"Complete")+SUMIFS(Scores!$F$4:$F$227,Scores!$B$4:$B$227,$A13,Scores!$S$4:$S$227,$B13,Scores!$Q$4:$Q$227,"Complete"))</f>
        <v>0</v>
      </c>
      <c r="K13" s="4">
        <f t="shared" si="1"/>
        <v>0</v>
      </c>
      <c r="L13" s="4">
        <f>IF($D13&lt;&gt;"Active","",SUMIFS(Scores!$J$4:$J$227,Scores!$B$4:$B$227,$A13,Scores!$R$4:$R$227,$B13)+SUMIFS(Scores!$P$4:$P$227,Scores!$B$4:$B$227,$A13,Scores!$S$4:$S$227,$B13))</f>
        <v>0</v>
      </c>
      <c r="M13" s="4">
        <f>IF($D13&lt;&gt;"Active","",$F13*Setup!$B$10+$G13*Setup!$B$11+$H13*Setup!$B$12)</f>
        <v>0</v>
      </c>
      <c r="N13" s="4">
        <f t="shared" si="2"/>
        <v>0</v>
      </c>
      <c r="O13" s="4">
        <f t="shared" si="3"/>
        <v>10000000.07</v>
      </c>
      <c r="P13" s="4">
        <f t="shared" si="4"/>
        <v>2</v>
      </c>
      <c r="Q13" s="4" t="str">
        <f t="shared" si="5"/>
        <v>B-2</v>
      </c>
    </row>
    <row r="14" spans="1:17">
      <c r="A14" s="4" t="s">
        <v>54</v>
      </c>
      <c r="B14" s="4">
        <v>3</v>
      </c>
      <c r="C14" s="4" t="str">
        <f>IF($D14="Active",IFERROR(INDEX(Teams!$D$4:$D$67,MATCH($A14&amp;"-"&amp;$B14,Teams!$E$4:$E$67,0)),""),"")</f>
        <v>Team B3</v>
      </c>
      <c r="D14" s="4" t="str">
        <f>IFERROR(INDEX(Teams!$F$4:$F$67,MATCH($A14&amp;"-"&amp;$B14,Teams!$E$4:$E$67,0)),0)</f>
        <v>Active</v>
      </c>
      <c r="E14" s="4">
        <f>IF($D14&lt;&gt;"Active","",COUNTIFS(Scores!$B$4:$B$227,$A14,Scores!$R$4:$R$227,$B14,Scores!$Q$4:$Q$227,"Complete")+COUNTIFS(Scores!$B$4:$B$227,$A14,Scores!$S$4:$S$227,$B14,Scores!$Q$4:$Q$227,"Complete"))</f>
        <v>0</v>
      </c>
      <c r="F14" s="4">
        <f>IF($D14&lt;&gt;"Active","",SUMIFS(Scores!$T$4:$T$227,Scores!$B$4:$B$227,$A14,Scores!$R$4:$R$227,$B14)+SUMIFS(Scores!$U$4:$U$227,Scores!$B$4:$B$227,$A14,Scores!$S$4:$S$227,$B14))</f>
        <v>0</v>
      </c>
      <c r="G14" s="4">
        <f>IF($D14&lt;&gt;"Active","",SUMIFS(Scores!$V$4:$V$227,Scores!$B$4:$B$227,$A14,Scores!$R$4:$R$227,$B14)+SUMIFS(Scores!$V$4:$V$227,Scores!$B$4:$B$227,$A14,Scores!$S$4:$S$227,$B14))</f>
        <v>0</v>
      </c>
      <c r="H14" s="4">
        <f t="shared" si="0"/>
        <v>0</v>
      </c>
      <c r="I14" s="4">
        <f>IF($D14&lt;&gt;"Active","",SUMIFS(Scores!$F$4:$F$227,Scores!$B$4:$B$227,$A14,Scores!$R$4:$R$227,$B14,Scores!$Q$4:$Q$227,"Complete")+SUMIFS(Scores!$L$4:$L$227,Scores!$B$4:$B$227,$A14,Scores!$S$4:$S$227,$B14,Scores!$Q$4:$Q$227,"Complete"))</f>
        <v>0</v>
      </c>
      <c r="J14" s="4">
        <f>IF($D14&lt;&gt;"Active","",SUMIFS(Scores!$L$4:$L$227,Scores!$B$4:$B$227,$A14,Scores!$R$4:$R$227,$B14,Scores!$Q$4:$Q$227,"Complete")+SUMIFS(Scores!$F$4:$F$227,Scores!$B$4:$B$227,$A14,Scores!$S$4:$S$227,$B14,Scores!$Q$4:$Q$227,"Complete"))</f>
        <v>0</v>
      </c>
      <c r="K14" s="4">
        <f t="shared" si="1"/>
        <v>0</v>
      </c>
      <c r="L14" s="4">
        <f>IF($D14&lt;&gt;"Active","",SUMIFS(Scores!$J$4:$J$227,Scores!$B$4:$B$227,$A14,Scores!$R$4:$R$227,$B14)+SUMIFS(Scores!$P$4:$P$227,Scores!$B$4:$B$227,$A14,Scores!$S$4:$S$227,$B14))</f>
        <v>0</v>
      </c>
      <c r="M14" s="4">
        <f>IF($D14&lt;&gt;"Active","",$F14*Setup!$B$10+$G14*Setup!$B$11+$H14*Setup!$B$12)</f>
        <v>0</v>
      </c>
      <c r="N14" s="4">
        <f t="shared" si="2"/>
        <v>0</v>
      </c>
      <c r="O14" s="4">
        <f t="shared" si="3"/>
        <v>10000000.060000001</v>
      </c>
      <c r="P14" s="4">
        <f t="shared" si="4"/>
        <v>3</v>
      </c>
      <c r="Q14" s="4" t="str">
        <f t="shared" si="5"/>
        <v>B-3</v>
      </c>
    </row>
    <row r="15" spans="1:17">
      <c r="A15" s="4" t="s">
        <v>54</v>
      </c>
      <c r="B15" s="4">
        <v>4</v>
      </c>
      <c r="C15" s="4" t="str">
        <f>IF($D15="Active",IFERROR(INDEX(Teams!$D$4:$D$67,MATCH($A15&amp;"-"&amp;$B15,Teams!$E$4:$E$67,0)),""),"")</f>
        <v>Team B4</v>
      </c>
      <c r="D15" s="4" t="str">
        <f>IFERROR(INDEX(Teams!$F$4:$F$67,MATCH($A15&amp;"-"&amp;$B15,Teams!$E$4:$E$67,0)),0)</f>
        <v>Active</v>
      </c>
      <c r="E15" s="4">
        <f>IF($D15&lt;&gt;"Active","",COUNTIFS(Scores!$B$4:$B$227,$A15,Scores!$R$4:$R$227,$B15,Scores!$Q$4:$Q$227,"Complete")+COUNTIFS(Scores!$B$4:$B$227,$A15,Scores!$S$4:$S$227,$B15,Scores!$Q$4:$Q$227,"Complete"))</f>
        <v>0</v>
      </c>
      <c r="F15" s="4">
        <f>IF($D15&lt;&gt;"Active","",SUMIFS(Scores!$T$4:$T$227,Scores!$B$4:$B$227,$A15,Scores!$R$4:$R$227,$B15)+SUMIFS(Scores!$U$4:$U$227,Scores!$B$4:$B$227,$A15,Scores!$S$4:$S$227,$B15))</f>
        <v>0</v>
      </c>
      <c r="G15" s="4">
        <f>IF($D15&lt;&gt;"Active","",SUMIFS(Scores!$V$4:$V$227,Scores!$B$4:$B$227,$A15,Scores!$R$4:$R$227,$B15)+SUMIFS(Scores!$V$4:$V$227,Scores!$B$4:$B$227,$A15,Scores!$S$4:$S$227,$B15))</f>
        <v>0</v>
      </c>
      <c r="H15" s="4">
        <f t="shared" si="0"/>
        <v>0</v>
      </c>
      <c r="I15" s="4">
        <f>IF($D15&lt;&gt;"Active","",SUMIFS(Scores!$F$4:$F$227,Scores!$B$4:$B$227,$A15,Scores!$R$4:$R$227,$B15,Scores!$Q$4:$Q$227,"Complete")+SUMIFS(Scores!$L$4:$L$227,Scores!$B$4:$B$227,$A15,Scores!$S$4:$S$227,$B15,Scores!$Q$4:$Q$227,"Complete"))</f>
        <v>0</v>
      </c>
      <c r="J15" s="4">
        <f>IF($D15&lt;&gt;"Active","",SUMIFS(Scores!$L$4:$L$227,Scores!$B$4:$B$227,$A15,Scores!$R$4:$R$227,$B15,Scores!$Q$4:$Q$227,"Complete")+SUMIFS(Scores!$F$4:$F$227,Scores!$B$4:$B$227,$A15,Scores!$S$4:$S$227,$B15,Scores!$Q$4:$Q$227,"Complete"))</f>
        <v>0</v>
      </c>
      <c r="K15" s="4">
        <f t="shared" si="1"/>
        <v>0</v>
      </c>
      <c r="L15" s="4">
        <f>IF($D15&lt;&gt;"Active","",SUMIFS(Scores!$J$4:$J$227,Scores!$B$4:$B$227,$A15,Scores!$R$4:$R$227,$B15)+SUMIFS(Scores!$P$4:$P$227,Scores!$B$4:$B$227,$A15,Scores!$S$4:$S$227,$B15))</f>
        <v>0</v>
      </c>
      <c r="M15" s="4">
        <f>IF($D15&lt;&gt;"Active","",$F15*Setup!$B$10+$G15*Setup!$B$11+$H15*Setup!$B$12)</f>
        <v>0</v>
      </c>
      <c r="N15" s="4">
        <f t="shared" si="2"/>
        <v>0</v>
      </c>
      <c r="O15" s="4">
        <f t="shared" si="3"/>
        <v>10000000.050000001</v>
      </c>
      <c r="P15" s="4">
        <f t="shared" si="4"/>
        <v>4</v>
      </c>
      <c r="Q15" s="4" t="str">
        <f t="shared" si="5"/>
        <v>B-4</v>
      </c>
    </row>
    <row r="16" spans="1:17">
      <c r="A16" s="4" t="s">
        <v>54</v>
      </c>
      <c r="B16" s="4">
        <v>5</v>
      </c>
      <c r="C16" s="4" t="str">
        <f>IF($D16="Active",IFERROR(INDEX(Teams!$D$4:$D$67,MATCH($A16&amp;"-"&amp;$B16,Teams!$E$4:$E$67,0)),""),"")</f>
        <v>Team B5</v>
      </c>
      <c r="D16" s="4" t="str">
        <f>IFERROR(INDEX(Teams!$F$4:$F$67,MATCH($A16&amp;"-"&amp;$B16,Teams!$E$4:$E$67,0)),0)</f>
        <v>Active</v>
      </c>
      <c r="E16" s="4">
        <f>IF($D16&lt;&gt;"Active","",COUNTIFS(Scores!$B$4:$B$227,$A16,Scores!$R$4:$R$227,$B16,Scores!$Q$4:$Q$227,"Complete")+COUNTIFS(Scores!$B$4:$B$227,$A16,Scores!$S$4:$S$227,$B16,Scores!$Q$4:$Q$227,"Complete"))</f>
        <v>0</v>
      </c>
      <c r="F16" s="4">
        <f>IF($D16&lt;&gt;"Active","",SUMIFS(Scores!$T$4:$T$227,Scores!$B$4:$B$227,$A16,Scores!$R$4:$R$227,$B16)+SUMIFS(Scores!$U$4:$U$227,Scores!$B$4:$B$227,$A16,Scores!$S$4:$S$227,$B16))</f>
        <v>0</v>
      </c>
      <c r="G16" s="4">
        <f>IF($D16&lt;&gt;"Active","",SUMIFS(Scores!$V$4:$V$227,Scores!$B$4:$B$227,$A16,Scores!$R$4:$R$227,$B16)+SUMIFS(Scores!$V$4:$V$227,Scores!$B$4:$B$227,$A16,Scores!$S$4:$S$227,$B16))</f>
        <v>0</v>
      </c>
      <c r="H16" s="4">
        <f t="shared" si="0"/>
        <v>0</v>
      </c>
      <c r="I16" s="4">
        <f>IF($D16&lt;&gt;"Active","",SUMIFS(Scores!$F$4:$F$227,Scores!$B$4:$B$227,$A16,Scores!$R$4:$R$227,$B16,Scores!$Q$4:$Q$227,"Complete")+SUMIFS(Scores!$L$4:$L$227,Scores!$B$4:$B$227,$A16,Scores!$S$4:$S$227,$B16,Scores!$Q$4:$Q$227,"Complete"))</f>
        <v>0</v>
      </c>
      <c r="J16" s="4">
        <f>IF($D16&lt;&gt;"Active","",SUMIFS(Scores!$L$4:$L$227,Scores!$B$4:$B$227,$A16,Scores!$R$4:$R$227,$B16,Scores!$Q$4:$Q$227,"Complete")+SUMIFS(Scores!$F$4:$F$227,Scores!$B$4:$B$227,$A16,Scores!$S$4:$S$227,$B16,Scores!$Q$4:$Q$227,"Complete"))</f>
        <v>0</v>
      </c>
      <c r="K16" s="4">
        <f t="shared" si="1"/>
        <v>0</v>
      </c>
      <c r="L16" s="4">
        <f>IF($D16&lt;&gt;"Active","",SUMIFS(Scores!$J$4:$J$227,Scores!$B$4:$B$227,$A16,Scores!$R$4:$R$227,$B16)+SUMIFS(Scores!$P$4:$P$227,Scores!$B$4:$B$227,$A16,Scores!$S$4:$S$227,$B16))</f>
        <v>0</v>
      </c>
      <c r="M16" s="4">
        <f>IF($D16&lt;&gt;"Active","",$F16*Setup!$B$10+$G16*Setup!$B$11+$H16*Setup!$B$12)</f>
        <v>0</v>
      </c>
      <c r="N16" s="4">
        <f t="shared" si="2"/>
        <v>0</v>
      </c>
      <c r="O16" s="4">
        <f t="shared" si="3"/>
        <v>10000000.039999999</v>
      </c>
      <c r="P16" s="4">
        <f t="shared" si="4"/>
        <v>5</v>
      </c>
      <c r="Q16" s="4" t="str">
        <f t="shared" si="5"/>
        <v>B-5</v>
      </c>
    </row>
    <row r="17" spans="1:17">
      <c r="A17" s="4" t="s">
        <v>54</v>
      </c>
      <c r="B17" s="4">
        <v>6</v>
      </c>
      <c r="C17" s="4" t="str">
        <f>IF($D17="Active",IFERROR(INDEX(Teams!$D$4:$D$67,MATCH($A17&amp;"-"&amp;$B17,Teams!$E$4:$E$67,0)),""),"")</f>
        <v>Team B6</v>
      </c>
      <c r="D17" s="4" t="str">
        <f>IFERROR(INDEX(Teams!$F$4:$F$67,MATCH($A17&amp;"-"&amp;$B17,Teams!$E$4:$E$67,0)),0)</f>
        <v>Active</v>
      </c>
      <c r="E17" s="4">
        <f>IF($D17&lt;&gt;"Active","",COUNTIFS(Scores!$B$4:$B$227,$A17,Scores!$R$4:$R$227,$B17,Scores!$Q$4:$Q$227,"Complete")+COUNTIFS(Scores!$B$4:$B$227,$A17,Scores!$S$4:$S$227,$B17,Scores!$Q$4:$Q$227,"Complete"))</f>
        <v>0</v>
      </c>
      <c r="F17" s="4">
        <f>IF($D17&lt;&gt;"Active","",SUMIFS(Scores!$T$4:$T$227,Scores!$B$4:$B$227,$A17,Scores!$R$4:$R$227,$B17)+SUMIFS(Scores!$U$4:$U$227,Scores!$B$4:$B$227,$A17,Scores!$S$4:$S$227,$B17))</f>
        <v>0</v>
      </c>
      <c r="G17" s="4">
        <f>IF($D17&lt;&gt;"Active","",SUMIFS(Scores!$V$4:$V$227,Scores!$B$4:$B$227,$A17,Scores!$R$4:$R$227,$B17)+SUMIFS(Scores!$V$4:$V$227,Scores!$B$4:$B$227,$A17,Scores!$S$4:$S$227,$B17))</f>
        <v>0</v>
      </c>
      <c r="H17" s="4">
        <f t="shared" si="0"/>
        <v>0</v>
      </c>
      <c r="I17" s="4">
        <f>IF($D17&lt;&gt;"Active","",SUMIFS(Scores!$F$4:$F$227,Scores!$B$4:$B$227,$A17,Scores!$R$4:$R$227,$B17,Scores!$Q$4:$Q$227,"Complete")+SUMIFS(Scores!$L$4:$L$227,Scores!$B$4:$B$227,$A17,Scores!$S$4:$S$227,$B17,Scores!$Q$4:$Q$227,"Complete"))</f>
        <v>0</v>
      </c>
      <c r="J17" s="4">
        <f>IF($D17&lt;&gt;"Active","",SUMIFS(Scores!$L$4:$L$227,Scores!$B$4:$B$227,$A17,Scores!$R$4:$R$227,$B17,Scores!$Q$4:$Q$227,"Complete")+SUMIFS(Scores!$F$4:$F$227,Scores!$B$4:$B$227,$A17,Scores!$S$4:$S$227,$B17,Scores!$Q$4:$Q$227,"Complete"))</f>
        <v>0</v>
      </c>
      <c r="K17" s="4">
        <f t="shared" si="1"/>
        <v>0</v>
      </c>
      <c r="L17" s="4">
        <f>IF($D17&lt;&gt;"Active","",SUMIFS(Scores!$J$4:$J$227,Scores!$B$4:$B$227,$A17,Scores!$R$4:$R$227,$B17)+SUMIFS(Scores!$P$4:$P$227,Scores!$B$4:$B$227,$A17,Scores!$S$4:$S$227,$B17))</f>
        <v>0</v>
      </c>
      <c r="M17" s="4">
        <f>IF($D17&lt;&gt;"Active","",$F17*Setup!$B$10+$G17*Setup!$B$11+$H17*Setup!$B$12)</f>
        <v>0</v>
      </c>
      <c r="N17" s="4">
        <f t="shared" si="2"/>
        <v>0</v>
      </c>
      <c r="O17" s="4">
        <f t="shared" si="3"/>
        <v>10000000.029999999</v>
      </c>
      <c r="P17" s="4">
        <f t="shared" si="4"/>
        <v>6</v>
      </c>
      <c r="Q17" s="4" t="str">
        <f t="shared" si="5"/>
        <v>B-6</v>
      </c>
    </row>
    <row r="18" spans="1:17">
      <c r="A18" s="4" t="s">
        <v>54</v>
      </c>
      <c r="B18" s="4">
        <v>7</v>
      </c>
      <c r="C18" s="4" t="str">
        <f>IF($D18="Active",IFERROR(INDEX(Teams!$D$4:$D$67,MATCH($A18&amp;"-"&amp;$B18,Teams!$E$4:$E$67,0)),""),"")</f>
        <v>Team B7</v>
      </c>
      <c r="D18" s="4" t="str">
        <f>IFERROR(INDEX(Teams!$F$4:$F$67,MATCH($A18&amp;"-"&amp;$B18,Teams!$E$4:$E$67,0)),0)</f>
        <v>Active</v>
      </c>
      <c r="E18" s="4">
        <f>IF($D18&lt;&gt;"Active","",COUNTIFS(Scores!$B$4:$B$227,$A18,Scores!$R$4:$R$227,$B18,Scores!$Q$4:$Q$227,"Complete")+COUNTIFS(Scores!$B$4:$B$227,$A18,Scores!$S$4:$S$227,$B18,Scores!$Q$4:$Q$227,"Complete"))</f>
        <v>0</v>
      </c>
      <c r="F18" s="4">
        <f>IF($D18&lt;&gt;"Active","",SUMIFS(Scores!$T$4:$T$227,Scores!$B$4:$B$227,$A18,Scores!$R$4:$R$227,$B18)+SUMIFS(Scores!$U$4:$U$227,Scores!$B$4:$B$227,$A18,Scores!$S$4:$S$227,$B18))</f>
        <v>0</v>
      </c>
      <c r="G18" s="4">
        <f>IF($D18&lt;&gt;"Active","",SUMIFS(Scores!$V$4:$V$227,Scores!$B$4:$B$227,$A18,Scores!$R$4:$R$227,$B18)+SUMIFS(Scores!$V$4:$V$227,Scores!$B$4:$B$227,$A18,Scores!$S$4:$S$227,$B18))</f>
        <v>0</v>
      </c>
      <c r="H18" s="4">
        <f t="shared" si="0"/>
        <v>0</v>
      </c>
      <c r="I18" s="4">
        <f>IF($D18&lt;&gt;"Active","",SUMIFS(Scores!$F$4:$F$227,Scores!$B$4:$B$227,$A18,Scores!$R$4:$R$227,$B18,Scores!$Q$4:$Q$227,"Complete")+SUMIFS(Scores!$L$4:$L$227,Scores!$B$4:$B$227,$A18,Scores!$S$4:$S$227,$B18,Scores!$Q$4:$Q$227,"Complete"))</f>
        <v>0</v>
      </c>
      <c r="J18" s="4">
        <f>IF($D18&lt;&gt;"Active","",SUMIFS(Scores!$L$4:$L$227,Scores!$B$4:$B$227,$A18,Scores!$R$4:$R$227,$B18,Scores!$Q$4:$Q$227,"Complete")+SUMIFS(Scores!$F$4:$F$227,Scores!$B$4:$B$227,$A18,Scores!$S$4:$S$227,$B18,Scores!$Q$4:$Q$227,"Complete"))</f>
        <v>0</v>
      </c>
      <c r="K18" s="4">
        <f t="shared" si="1"/>
        <v>0</v>
      </c>
      <c r="L18" s="4">
        <f>IF($D18&lt;&gt;"Active","",SUMIFS(Scores!$J$4:$J$227,Scores!$B$4:$B$227,$A18,Scores!$R$4:$R$227,$B18)+SUMIFS(Scores!$P$4:$P$227,Scores!$B$4:$B$227,$A18,Scores!$S$4:$S$227,$B18))</f>
        <v>0</v>
      </c>
      <c r="M18" s="4">
        <f>IF($D18&lt;&gt;"Active","",$F18*Setup!$B$10+$G18*Setup!$B$11+$H18*Setup!$B$12)</f>
        <v>0</v>
      </c>
      <c r="N18" s="4">
        <f t="shared" si="2"/>
        <v>0</v>
      </c>
      <c r="O18" s="4">
        <f t="shared" si="3"/>
        <v>10000000.02</v>
      </c>
      <c r="P18" s="4">
        <f t="shared" si="4"/>
        <v>7</v>
      </c>
      <c r="Q18" s="4" t="str">
        <f t="shared" si="5"/>
        <v>B-7</v>
      </c>
    </row>
    <row r="19" spans="1:17">
      <c r="A19" s="4" t="s">
        <v>54</v>
      </c>
      <c r="B19" s="4">
        <v>8</v>
      </c>
      <c r="C19" s="4" t="str">
        <f>IF($D19="Active",IFERROR(INDEX(Teams!$D$4:$D$67,MATCH($A19&amp;"-"&amp;$B19,Teams!$E$4:$E$67,0)),""),"")</f>
        <v>Team B8</v>
      </c>
      <c r="D19" s="4" t="str">
        <f>IFERROR(INDEX(Teams!$F$4:$F$67,MATCH($A19&amp;"-"&amp;$B19,Teams!$E$4:$E$67,0)),0)</f>
        <v>Active</v>
      </c>
      <c r="E19" s="4">
        <f>IF($D19&lt;&gt;"Active","",COUNTIFS(Scores!$B$4:$B$227,$A19,Scores!$R$4:$R$227,$B19,Scores!$Q$4:$Q$227,"Complete")+COUNTIFS(Scores!$B$4:$B$227,$A19,Scores!$S$4:$S$227,$B19,Scores!$Q$4:$Q$227,"Complete"))</f>
        <v>0</v>
      </c>
      <c r="F19" s="4">
        <f>IF($D19&lt;&gt;"Active","",SUMIFS(Scores!$T$4:$T$227,Scores!$B$4:$B$227,$A19,Scores!$R$4:$R$227,$B19)+SUMIFS(Scores!$U$4:$U$227,Scores!$B$4:$B$227,$A19,Scores!$S$4:$S$227,$B19))</f>
        <v>0</v>
      </c>
      <c r="G19" s="4">
        <f>IF($D19&lt;&gt;"Active","",SUMIFS(Scores!$V$4:$V$227,Scores!$B$4:$B$227,$A19,Scores!$R$4:$R$227,$B19)+SUMIFS(Scores!$V$4:$V$227,Scores!$B$4:$B$227,$A19,Scores!$S$4:$S$227,$B19))</f>
        <v>0</v>
      </c>
      <c r="H19" s="4">
        <f t="shared" si="0"/>
        <v>0</v>
      </c>
      <c r="I19" s="4">
        <f>IF($D19&lt;&gt;"Active","",SUMIFS(Scores!$F$4:$F$227,Scores!$B$4:$B$227,$A19,Scores!$R$4:$R$227,$B19,Scores!$Q$4:$Q$227,"Complete")+SUMIFS(Scores!$L$4:$L$227,Scores!$B$4:$B$227,$A19,Scores!$S$4:$S$227,$B19,Scores!$Q$4:$Q$227,"Complete"))</f>
        <v>0</v>
      </c>
      <c r="J19" s="4">
        <f>IF($D19&lt;&gt;"Active","",SUMIFS(Scores!$L$4:$L$227,Scores!$B$4:$B$227,$A19,Scores!$R$4:$R$227,$B19,Scores!$Q$4:$Q$227,"Complete")+SUMIFS(Scores!$F$4:$F$227,Scores!$B$4:$B$227,$A19,Scores!$S$4:$S$227,$B19,Scores!$Q$4:$Q$227,"Complete"))</f>
        <v>0</v>
      </c>
      <c r="K19" s="4">
        <f t="shared" si="1"/>
        <v>0</v>
      </c>
      <c r="L19" s="4">
        <f>IF($D19&lt;&gt;"Active","",SUMIFS(Scores!$J$4:$J$227,Scores!$B$4:$B$227,$A19,Scores!$R$4:$R$227,$B19)+SUMIFS(Scores!$P$4:$P$227,Scores!$B$4:$B$227,$A19,Scores!$S$4:$S$227,$B19))</f>
        <v>0</v>
      </c>
      <c r="M19" s="4">
        <f>IF($D19&lt;&gt;"Active","",$F19*Setup!$B$10+$G19*Setup!$B$11+$H19*Setup!$B$12)</f>
        <v>0</v>
      </c>
      <c r="N19" s="4">
        <f t="shared" si="2"/>
        <v>0</v>
      </c>
      <c r="O19" s="4">
        <f t="shared" si="3"/>
        <v>10000000.01</v>
      </c>
      <c r="P19" s="4">
        <f t="shared" si="4"/>
        <v>8</v>
      </c>
      <c r="Q19" s="4" t="str">
        <f t="shared" si="5"/>
        <v>B-8</v>
      </c>
    </row>
    <row r="20" spans="1:17">
      <c r="A20" s="4" t="s">
        <v>55</v>
      </c>
      <c r="B20" s="4">
        <v>1</v>
      </c>
      <c r="C20" s="4" t="str">
        <f>IF($D20="Active",IFERROR(INDEX(Teams!$D$4:$D$67,MATCH($A20&amp;"-"&amp;$B20,Teams!$E$4:$E$67,0)),""),"")</f>
        <v>Team C1</v>
      </c>
      <c r="D20" s="4" t="str">
        <f>IFERROR(INDEX(Teams!$F$4:$F$67,MATCH($A20&amp;"-"&amp;$B20,Teams!$E$4:$E$67,0)),0)</f>
        <v>Active</v>
      </c>
      <c r="E20" s="4">
        <f>IF($D20&lt;&gt;"Active","",COUNTIFS(Scores!$B$4:$B$227,$A20,Scores!$R$4:$R$227,$B20,Scores!$Q$4:$Q$227,"Complete")+COUNTIFS(Scores!$B$4:$B$227,$A20,Scores!$S$4:$S$227,$B20,Scores!$Q$4:$Q$227,"Complete"))</f>
        <v>0</v>
      </c>
      <c r="F20" s="4">
        <f>IF($D20&lt;&gt;"Active","",SUMIFS(Scores!$T$4:$T$227,Scores!$B$4:$B$227,$A20,Scores!$R$4:$R$227,$B20)+SUMIFS(Scores!$U$4:$U$227,Scores!$B$4:$B$227,$A20,Scores!$S$4:$S$227,$B20))</f>
        <v>0</v>
      </c>
      <c r="G20" s="4">
        <f>IF($D20&lt;&gt;"Active","",SUMIFS(Scores!$V$4:$V$227,Scores!$B$4:$B$227,$A20,Scores!$R$4:$R$227,$B20)+SUMIFS(Scores!$V$4:$V$227,Scores!$B$4:$B$227,$A20,Scores!$S$4:$S$227,$B20))</f>
        <v>0</v>
      </c>
      <c r="H20" s="4">
        <f t="shared" si="0"/>
        <v>0</v>
      </c>
      <c r="I20" s="4">
        <f>IF($D20&lt;&gt;"Active","",SUMIFS(Scores!$F$4:$F$227,Scores!$B$4:$B$227,$A20,Scores!$R$4:$R$227,$B20,Scores!$Q$4:$Q$227,"Complete")+SUMIFS(Scores!$L$4:$L$227,Scores!$B$4:$B$227,$A20,Scores!$S$4:$S$227,$B20,Scores!$Q$4:$Q$227,"Complete"))</f>
        <v>0</v>
      </c>
      <c r="J20" s="4">
        <f>IF($D20&lt;&gt;"Active","",SUMIFS(Scores!$L$4:$L$227,Scores!$B$4:$B$227,$A20,Scores!$R$4:$R$227,$B20,Scores!$Q$4:$Q$227,"Complete")+SUMIFS(Scores!$F$4:$F$227,Scores!$B$4:$B$227,$A20,Scores!$S$4:$S$227,$B20,Scores!$Q$4:$Q$227,"Complete"))</f>
        <v>0</v>
      </c>
      <c r="K20" s="4">
        <f t="shared" si="1"/>
        <v>0</v>
      </c>
      <c r="L20" s="4">
        <f>IF($D20&lt;&gt;"Active","",SUMIFS(Scores!$J$4:$J$227,Scores!$B$4:$B$227,$A20,Scores!$R$4:$R$227,$B20)+SUMIFS(Scores!$P$4:$P$227,Scores!$B$4:$B$227,$A20,Scores!$S$4:$S$227,$B20))</f>
        <v>0</v>
      </c>
      <c r="M20" s="4">
        <f>IF($D20&lt;&gt;"Active","",$F20*Setup!$B$10+$G20*Setup!$B$11+$H20*Setup!$B$12)</f>
        <v>0</v>
      </c>
      <c r="N20" s="4">
        <f t="shared" si="2"/>
        <v>0</v>
      </c>
      <c r="O20" s="4">
        <f t="shared" si="3"/>
        <v>10000000.08</v>
      </c>
      <c r="P20" s="4">
        <f t="shared" si="4"/>
        <v>1</v>
      </c>
      <c r="Q20" s="4" t="str">
        <f t="shared" si="5"/>
        <v>C-1</v>
      </c>
    </row>
    <row r="21" spans="1:17">
      <c r="A21" s="4" t="s">
        <v>55</v>
      </c>
      <c r="B21" s="4">
        <v>2</v>
      </c>
      <c r="C21" s="4" t="str">
        <f>IF($D21="Active",IFERROR(INDEX(Teams!$D$4:$D$67,MATCH($A21&amp;"-"&amp;$B21,Teams!$E$4:$E$67,0)),""),"")</f>
        <v>Team C2</v>
      </c>
      <c r="D21" s="4" t="str">
        <f>IFERROR(INDEX(Teams!$F$4:$F$67,MATCH($A21&amp;"-"&amp;$B21,Teams!$E$4:$E$67,0)),0)</f>
        <v>Active</v>
      </c>
      <c r="E21" s="4">
        <f>IF($D21&lt;&gt;"Active","",COUNTIFS(Scores!$B$4:$B$227,$A21,Scores!$R$4:$R$227,$B21,Scores!$Q$4:$Q$227,"Complete")+COUNTIFS(Scores!$B$4:$B$227,$A21,Scores!$S$4:$S$227,$B21,Scores!$Q$4:$Q$227,"Complete"))</f>
        <v>0</v>
      </c>
      <c r="F21" s="4">
        <f>IF($D21&lt;&gt;"Active","",SUMIFS(Scores!$T$4:$T$227,Scores!$B$4:$B$227,$A21,Scores!$R$4:$R$227,$B21)+SUMIFS(Scores!$U$4:$U$227,Scores!$B$4:$B$227,$A21,Scores!$S$4:$S$227,$B21))</f>
        <v>0</v>
      </c>
      <c r="G21" s="4">
        <f>IF($D21&lt;&gt;"Active","",SUMIFS(Scores!$V$4:$V$227,Scores!$B$4:$B$227,$A21,Scores!$R$4:$R$227,$B21)+SUMIFS(Scores!$V$4:$V$227,Scores!$B$4:$B$227,$A21,Scores!$S$4:$S$227,$B21))</f>
        <v>0</v>
      </c>
      <c r="H21" s="4">
        <f t="shared" si="0"/>
        <v>0</v>
      </c>
      <c r="I21" s="4">
        <f>IF($D21&lt;&gt;"Active","",SUMIFS(Scores!$F$4:$F$227,Scores!$B$4:$B$227,$A21,Scores!$R$4:$R$227,$B21,Scores!$Q$4:$Q$227,"Complete")+SUMIFS(Scores!$L$4:$L$227,Scores!$B$4:$B$227,$A21,Scores!$S$4:$S$227,$B21,Scores!$Q$4:$Q$227,"Complete"))</f>
        <v>0</v>
      </c>
      <c r="J21" s="4">
        <f>IF($D21&lt;&gt;"Active","",SUMIFS(Scores!$L$4:$L$227,Scores!$B$4:$B$227,$A21,Scores!$R$4:$R$227,$B21,Scores!$Q$4:$Q$227,"Complete")+SUMIFS(Scores!$F$4:$F$227,Scores!$B$4:$B$227,$A21,Scores!$S$4:$S$227,$B21,Scores!$Q$4:$Q$227,"Complete"))</f>
        <v>0</v>
      </c>
      <c r="K21" s="4">
        <f t="shared" si="1"/>
        <v>0</v>
      </c>
      <c r="L21" s="4">
        <f>IF($D21&lt;&gt;"Active","",SUMIFS(Scores!$J$4:$J$227,Scores!$B$4:$B$227,$A21,Scores!$R$4:$R$227,$B21)+SUMIFS(Scores!$P$4:$P$227,Scores!$B$4:$B$227,$A21,Scores!$S$4:$S$227,$B21))</f>
        <v>0</v>
      </c>
      <c r="M21" s="4">
        <f>IF($D21&lt;&gt;"Active","",$F21*Setup!$B$10+$G21*Setup!$B$11+$H21*Setup!$B$12)</f>
        <v>0</v>
      </c>
      <c r="N21" s="4">
        <f t="shared" si="2"/>
        <v>0</v>
      </c>
      <c r="O21" s="4">
        <f t="shared" si="3"/>
        <v>10000000.07</v>
      </c>
      <c r="P21" s="4">
        <f t="shared" si="4"/>
        <v>2</v>
      </c>
      <c r="Q21" s="4" t="str">
        <f t="shared" si="5"/>
        <v>C-2</v>
      </c>
    </row>
    <row r="22" spans="1:17">
      <c r="A22" s="4" t="s">
        <v>55</v>
      </c>
      <c r="B22" s="4">
        <v>3</v>
      </c>
      <c r="C22" s="4" t="str">
        <f>IF($D22="Active",IFERROR(INDEX(Teams!$D$4:$D$67,MATCH($A22&amp;"-"&amp;$B22,Teams!$E$4:$E$67,0)),""),"")</f>
        <v>Team C3</v>
      </c>
      <c r="D22" s="4" t="str">
        <f>IFERROR(INDEX(Teams!$F$4:$F$67,MATCH($A22&amp;"-"&amp;$B22,Teams!$E$4:$E$67,0)),0)</f>
        <v>Active</v>
      </c>
      <c r="E22" s="4">
        <f>IF($D22&lt;&gt;"Active","",COUNTIFS(Scores!$B$4:$B$227,$A22,Scores!$R$4:$R$227,$B22,Scores!$Q$4:$Q$227,"Complete")+COUNTIFS(Scores!$B$4:$B$227,$A22,Scores!$S$4:$S$227,$B22,Scores!$Q$4:$Q$227,"Complete"))</f>
        <v>0</v>
      </c>
      <c r="F22" s="4">
        <f>IF($D22&lt;&gt;"Active","",SUMIFS(Scores!$T$4:$T$227,Scores!$B$4:$B$227,$A22,Scores!$R$4:$R$227,$B22)+SUMIFS(Scores!$U$4:$U$227,Scores!$B$4:$B$227,$A22,Scores!$S$4:$S$227,$B22))</f>
        <v>0</v>
      </c>
      <c r="G22" s="4">
        <f>IF($D22&lt;&gt;"Active","",SUMIFS(Scores!$V$4:$V$227,Scores!$B$4:$B$227,$A22,Scores!$R$4:$R$227,$B22)+SUMIFS(Scores!$V$4:$V$227,Scores!$B$4:$B$227,$A22,Scores!$S$4:$S$227,$B22))</f>
        <v>0</v>
      </c>
      <c r="H22" s="4">
        <f t="shared" si="0"/>
        <v>0</v>
      </c>
      <c r="I22" s="4">
        <f>IF($D22&lt;&gt;"Active","",SUMIFS(Scores!$F$4:$F$227,Scores!$B$4:$B$227,$A22,Scores!$R$4:$R$227,$B22,Scores!$Q$4:$Q$227,"Complete")+SUMIFS(Scores!$L$4:$L$227,Scores!$B$4:$B$227,$A22,Scores!$S$4:$S$227,$B22,Scores!$Q$4:$Q$227,"Complete"))</f>
        <v>0</v>
      </c>
      <c r="J22" s="4">
        <f>IF($D22&lt;&gt;"Active","",SUMIFS(Scores!$L$4:$L$227,Scores!$B$4:$B$227,$A22,Scores!$R$4:$R$227,$B22,Scores!$Q$4:$Q$227,"Complete")+SUMIFS(Scores!$F$4:$F$227,Scores!$B$4:$B$227,$A22,Scores!$S$4:$S$227,$B22,Scores!$Q$4:$Q$227,"Complete"))</f>
        <v>0</v>
      </c>
      <c r="K22" s="4">
        <f t="shared" si="1"/>
        <v>0</v>
      </c>
      <c r="L22" s="4">
        <f>IF($D22&lt;&gt;"Active","",SUMIFS(Scores!$J$4:$J$227,Scores!$B$4:$B$227,$A22,Scores!$R$4:$R$227,$B22)+SUMIFS(Scores!$P$4:$P$227,Scores!$B$4:$B$227,$A22,Scores!$S$4:$S$227,$B22))</f>
        <v>0</v>
      </c>
      <c r="M22" s="4">
        <f>IF($D22&lt;&gt;"Active","",$F22*Setup!$B$10+$G22*Setup!$B$11+$H22*Setup!$B$12)</f>
        <v>0</v>
      </c>
      <c r="N22" s="4">
        <f t="shared" si="2"/>
        <v>0</v>
      </c>
      <c r="O22" s="4">
        <f t="shared" si="3"/>
        <v>10000000.060000001</v>
      </c>
      <c r="P22" s="4">
        <f t="shared" si="4"/>
        <v>3</v>
      </c>
      <c r="Q22" s="4" t="str">
        <f t="shared" si="5"/>
        <v>C-3</v>
      </c>
    </row>
    <row r="23" spans="1:17">
      <c r="A23" s="4" t="s">
        <v>55</v>
      </c>
      <c r="B23" s="4">
        <v>4</v>
      </c>
      <c r="C23" s="4" t="str">
        <f>IF($D23="Active",IFERROR(INDEX(Teams!$D$4:$D$67,MATCH($A23&amp;"-"&amp;$B23,Teams!$E$4:$E$67,0)),""),"")</f>
        <v>Team C4</v>
      </c>
      <c r="D23" s="4" t="str">
        <f>IFERROR(INDEX(Teams!$F$4:$F$67,MATCH($A23&amp;"-"&amp;$B23,Teams!$E$4:$E$67,0)),0)</f>
        <v>Active</v>
      </c>
      <c r="E23" s="4">
        <f>IF($D23&lt;&gt;"Active","",COUNTIFS(Scores!$B$4:$B$227,$A23,Scores!$R$4:$R$227,$B23,Scores!$Q$4:$Q$227,"Complete")+COUNTIFS(Scores!$B$4:$B$227,$A23,Scores!$S$4:$S$227,$B23,Scores!$Q$4:$Q$227,"Complete"))</f>
        <v>0</v>
      </c>
      <c r="F23" s="4">
        <f>IF($D23&lt;&gt;"Active","",SUMIFS(Scores!$T$4:$T$227,Scores!$B$4:$B$227,$A23,Scores!$R$4:$R$227,$B23)+SUMIFS(Scores!$U$4:$U$227,Scores!$B$4:$B$227,$A23,Scores!$S$4:$S$227,$B23))</f>
        <v>0</v>
      </c>
      <c r="G23" s="4">
        <f>IF($D23&lt;&gt;"Active","",SUMIFS(Scores!$V$4:$V$227,Scores!$B$4:$B$227,$A23,Scores!$R$4:$R$227,$B23)+SUMIFS(Scores!$V$4:$V$227,Scores!$B$4:$B$227,$A23,Scores!$S$4:$S$227,$B23))</f>
        <v>0</v>
      </c>
      <c r="H23" s="4">
        <f t="shared" si="0"/>
        <v>0</v>
      </c>
      <c r="I23" s="4">
        <f>IF($D23&lt;&gt;"Active","",SUMIFS(Scores!$F$4:$F$227,Scores!$B$4:$B$227,$A23,Scores!$R$4:$R$227,$B23,Scores!$Q$4:$Q$227,"Complete")+SUMIFS(Scores!$L$4:$L$227,Scores!$B$4:$B$227,$A23,Scores!$S$4:$S$227,$B23,Scores!$Q$4:$Q$227,"Complete"))</f>
        <v>0</v>
      </c>
      <c r="J23" s="4">
        <f>IF($D23&lt;&gt;"Active","",SUMIFS(Scores!$L$4:$L$227,Scores!$B$4:$B$227,$A23,Scores!$R$4:$R$227,$B23,Scores!$Q$4:$Q$227,"Complete")+SUMIFS(Scores!$F$4:$F$227,Scores!$B$4:$B$227,$A23,Scores!$S$4:$S$227,$B23,Scores!$Q$4:$Q$227,"Complete"))</f>
        <v>0</v>
      </c>
      <c r="K23" s="4">
        <f t="shared" si="1"/>
        <v>0</v>
      </c>
      <c r="L23" s="4">
        <f>IF($D23&lt;&gt;"Active","",SUMIFS(Scores!$J$4:$J$227,Scores!$B$4:$B$227,$A23,Scores!$R$4:$R$227,$B23)+SUMIFS(Scores!$P$4:$P$227,Scores!$B$4:$B$227,$A23,Scores!$S$4:$S$227,$B23))</f>
        <v>0</v>
      </c>
      <c r="M23" s="4">
        <f>IF($D23&lt;&gt;"Active","",$F23*Setup!$B$10+$G23*Setup!$B$11+$H23*Setup!$B$12)</f>
        <v>0</v>
      </c>
      <c r="N23" s="4">
        <f t="shared" si="2"/>
        <v>0</v>
      </c>
      <c r="O23" s="4">
        <f t="shared" si="3"/>
        <v>10000000.050000001</v>
      </c>
      <c r="P23" s="4">
        <f t="shared" si="4"/>
        <v>4</v>
      </c>
      <c r="Q23" s="4" t="str">
        <f t="shared" si="5"/>
        <v>C-4</v>
      </c>
    </row>
    <row r="24" spans="1:17">
      <c r="A24" s="4" t="s">
        <v>55</v>
      </c>
      <c r="B24" s="4">
        <v>5</v>
      </c>
      <c r="C24" s="4" t="str">
        <f>IF($D24="Active",IFERROR(INDEX(Teams!$D$4:$D$67,MATCH($A24&amp;"-"&amp;$B24,Teams!$E$4:$E$67,0)),""),"")</f>
        <v>Team C5</v>
      </c>
      <c r="D24" s="4" t="str">
        <f>IFERROR(INDEX(Teams!$F$4:$F$67,MATCH($A24&amp;"-"&amp;$B24,Teams!$E$4:$E$67,0)),0)</f>
        <v>Active</v>
      </c>
      <c r="E24" s="4">
        <f>IF($D24&lt;&gt;"Active","",COUNTIFS(Scores!$B$4:$B$227,$A24,Scores!$R$4:$R$227,$B24,Scores!$Q$4:$Q$227,"Complete")+COUNTIFS(Scores!$B$4:$B$227,$A24,Scores!$S$4:$S$227,$B24,Scores!$Q$4:$Q$227,"Complete"))</f>
        <v>0</v>
      </c>
      <c r="F24" s="4">
        <f>IF($D24&lt;&gt;"Active","",SUMIFS(Scores!$T$4:$T$227,Scores!$B$4:$B$227,$A24,Scores!$R$4:$R$227,$B24)+SUMIFS(Scores!$U$4:$U$227,Scores!$B$4:$B$227,$A24,Scores!$S$4:$S$227,$B24))</f>
        <v>0</v>
      </c>
      <c r="G24" s="4">
        <f>IF($D24&lt;&gt;"Active","",SUMIFS(Scores!$V$4:$V$227,Scores!$B$4:$B$227,$A24,Scores!$R$4:$R$227,$B24)+SUMIFS(Scores!$V$4:$V$227,Scores!$B$4:$B$227,$A24,Scores!$S$4:$S$227,$B24))</f>
        <v>0</v>
      </c>
      <c r="H24" s="4">
        <f t="shared" si="0"/>
        <v>0</v>
      </c>
      <c r="I24" s="4">
        <f>IF($D24&lt;&gt;"Active","",SUMIFS(Scores!$F$4:$F$227,Scores!$B$4:$B$227,$A24,Scores!$R$4:$R$227,$B24,Scores!$Q$4:$Q$227,"Complete")+SUMIFS(Scores!$L$4:$L$227,Scores!$B$4:$B$227,$A24,Scores!$S$4:$S$227,$B24,Scores!$Q$4:$Q$227,"Complete"))</f>
        <v>0</v>
      </c>
      <c r="J24" s="4">
        <f>IF($D24&lt;&gt;"Active","",SUMIFS(Scores!$L$4:$L$227,Scores!$B$4:$B$227,$A24,Scores!$R$4:$R$227,$B24,Scores!$Q$4:$Q$227,"Complete")+SUMIFS(Scores!$F$4:$F$227,Scores!$B$4:$B$227,$A24,Scores!$S$4:$S$227,$B24,Scores!$Q$4:$Q$227,"Complete"))</f>
        <v>0</v>
      </c>
      <c r="K24" s="4">
        <f t="shared" si="1"/>
        <v>0</v>
      </c>
      <c r="L24" s="4">
        <f>IF($D24&lt;&gt;"Active","",SUMIFS(Scores!$J$4:$J$227,Scores!$B$4:$B$227,$A24,Scores!$R$4:$R$227,$B24)+SUMIFS(Scores!$P$4:$P$227,Scores!$B$4:$B$227,$A24,Scores!$S$4:$S$227,$B24))</f>
        <v>0</v>
      </c>
      <c r="M24" s="4">
        <f>IF($D24&lt;&gt;"Active","",$F24*Setup!$B$10+$G24*Setup!$B$11+$H24*Setup!$B$12)</f>
        <v>0</v>
      </c>
      <c r="N24" s="4">
        <f t="shared" si="2"/>
        <v>0</v>
      </c>
      <c r="O24" s="4">
        <f t="shared" si="3"/>
        <v>10000000.039999999</v>
      </c>
      <c r="P24" s="4">
        <f t="shared" si="4"/>
        <v>5</v>
      </c>
      <c r="Q24" s="4" t="str">
        <f t="shared" si="5"/>
        <v>C-5</v>
      </c>
    </row>
    <row r="25" spans="1:17">
      <c r="A25" s="4" t="s">
        <v>55</v>
      </c>
      <c r="B25" s="4">
        <v>6</v>
      </c>
      <c r="C25" s="4" t="str">
        <f>IF($D25="Active",IFERROR(INDEX(Teams!$D$4:$D$67,MATCH($A25&amp;"-"&amp;$B25,Teams!$E$4:$E$67,0)),""),"")</f>
        <v>Team C6</v>
      </c>
      <c r="D25" s="4" t="str">
        <f>IFERROR(INDEX(Teams!$F$4:$F$67,MATCH($A25&amp;"-"&amp;$B25,Teams!$E$4:$E$67,0)),0)</f>
        <v>Active</v>
      </c>
      <c r="E25" s="4">
        <f>IF($D25&lt;&gt;"Active","",COUNTIFS(Scores!$B$4:$B$227,$A25,Scores!$R$4:$R$227,$B25,Scores!$Q$4:$Q$227,"Complete")+COUNTIFS(Scores!$B$4:$B$227,$A25,Scores!$S$4:$S$227,$B25,Scores!$Q$4:$Q$227,"Complete"))</f>
        <v>0</v>
      </c>
      <c r="F25" s="4">
        <f>IF($D25&lt;&gt;"Active","",SUMIFS(Scores!$T$4:$T$227,Scores!$B$4:$B$227,$A25,Scores!$R$4:$R$227,$B25)+SUMIFS(Scores!$U$4:$U$227,Scores!$B$4:$B$227,$A25,Scores!$S$4:$S$227,$B25))</f>
        <v>0</v>
      </c>
      <c r="G25" s="4">
        <f>IF($D25&lt;&gt;"Active","",SUMIFS(Scores!$V$4:$V$227,Scores!$B$4:$B$227,$A25,Scores!$R$4:$R$227,$B25)+SUMIFS(Scores!$V$4:$V$227,Scores!$B$4:$B$227,$A25,Scores!$S$4:$S$227,$B25))</f>
        <v>0</v>
      </c>
      <c r="H25" s="4">
        <f t="shared" si="0"/>
        <v>0</v>
      </c>
      <c r="I25" s="4">
        <f>IF($D25&lt;&gt;"Active","",SUMIFS(Scores!$F$4:$F$227,Scores!$B$4:$B$227,$A25,Scores!$R$4:$R$227,$B25,Scores!$Q$4:$Q$227,"Complete")+SUMIFS(Scores!$L$4:$L$227,Scores!$B$4:$B$227,$A25,Scores!$S$4:$S$227,$B25,Scores!$Q$4:$Q$227,"Complete"))</f>
        <v>0</v>
      </c>
      <c r="J25" s="4">
        <f>IF($D25&lt;&gt;"Active","",SUMIFS(Scores!$L$4:$L$227,Scores!$B$4:$B$227,$A25,Scores!$R$4:$R$227,$B25,Scores!$Q$4:$Q$227,"Complete")+SUMIFS(Scores!$F$4:$F$227,Scores!$B$4:$B$227,$A25,Scores!$S$4:$S$227,$B25,Scores!$Q$4:$Q$227,"Complete"))</f>
        <v>0</v>
      </c>
      <c r="K25" s="4">
        <f t="shared" si="1"/>
        <v>0</v>
      </c>
      <c r="L25" s="4">
        <f>IF($D25&lt;&gt;"Active","",SUMIFS(Scores!$J$4:$J$227,Scores!$B$4:$B$227,$A25,Scores!$R$4:$R$227,$B25)+SUMIFS(Scores!$P$4:$P$227,Scores!$B$4:$B$227,$A25,Scores!$S$4:$S$227,$B25))</f>
        <v>0</v>
      </c>
      <c r="M25" s="4">
        <f>IF($D25&lt;&gt;"Active","",$F25*Setup!$B$10+$G25*Setup!$B$11+$H25*Setup!$B$12)</f>
        <v>0</v>
      </c>
      <c r="N25" s="4">
        <f t="shared" si="2"/>
        <v>0</v>
      </c>
      <c r="O25" s="4">
        <f t="shared" si="3"/>
        <v>10000000.029999999</v>
      </c>
      <c r="P25" s="4">
        <f t="shared" si="4"/>
        <v>6</v>
      </c>
      <c r="Q25" s="4" t="str">
        <f t="shared" si="5"/>
        <v>C-6</v>
      </c>
    </row>
    <row r="26" spans="1:17">
      <c r="A26" s="4" t="s">
        <v>55</v>
      </c>
      <c r="B26" s="4">
        <v>7</v>
      </c>
      <c r="C26" s="4" t="str">
        <f>IF($D26="Active",IFERROR(INDEX(Teams!$D$4:$D$67,MATCH($A26&amp;"-"&amp;$B26,Teams!$E$4:$E$67,0)),""),"")</f>
        <v>Team C7</v>
      </c>
      <c r="D26" s="4" t="str">
        <f>IFERROR(INDEX(Teams!$F$4:$F$67,MATCH($A26&amp;"-"&amp;$B26,Teams!$E$4:$E$67,0)),0)</f>
        <v>Active</v>
      </c>
      <c r="E26" s="4">
        <f>IF($D26&lt;&gt;"Active","",COUNTIFS(Scores!$B$4:$B$227,$A26,Scores!$R$4:$R$227,$B26,Scores!$Q$4:$Q$227,"Complete")+COUNTIFS(Scores!$B$4:$B$227,$A26,Scores!$S$4:$S$227,$B26,Scores!$Q$4:$Q$227,"Complete"))</f>
        <v>0</v>
      </c>
      <c r="F26" s="4">
        <f>IF($D26&lt;&gt;"Active","",SUMIFS(Scores!$T$4:$T$227,Scores!$B$4:$B$227,$A26,Scores!$R$4:$R$227,$B26)+SUMIFS(Scores!$U$4:$U$227,Scores!$B$4:$B$227,$A26,Scores!$S$4:$S$227,$B26))</f>
        <v>0</v>
      </c>
      <c r="G26" s="4">
        <f>IF($D26&lt;&gt;"Active","",SUMIFS(Scores!$V$4:$V$227,Scores!$B$4:$B$227,$A26,Scores!$R$4:$R$227,$B26)+SUMIFS(Scores!$V$4:$V$227,Scores!$B$4:$B$227,$A26,Scores!$S$4:$S$227,$B26))</f>
        <v>0</v>
      </c>
      <c r="H26" s="4">
        <f t="shared" si="0"/>
        <v>0</v>
      </c>
      <c r="I26" s="4">
        <f>IF($D26&lt;&gt;"Active","",SUMIFS(Scores!$F$4:$F$227,Scores!$B$4:$B$227,$A26,Scores!$R$4:$R$227,$B26,Scores!$Q$4:$Q$227,"Complete")+SUMIFS(Scores!$L$4:$L$227,Scores!$B$4:$B$227,$A26,Scores!$S$4:$S$227,$B26,Scores!$Q$4:$Q$227,"Complete"))</f>
        <v>0</v>
      </c>
      <c r="J26" s="4">
        <f>IF($D26&lt;&gt;"Active","",SUMIFS(Scores!$L$4:$L$227,Scores!$B$4:$B$227,$A26,Scores!$R$4:$R$227,$B26,Scores!$Q$4:$Q$227,"Complete")+SUMIFS(Scores!$F$4:$F$227,Scores!$B$4:$B$227,$A26,Scores!$S$4:$S$227,$B26,Scores!$Q$4:$Q$227,"Complete"))</f>
        <v>0</v>
      </c>
      <c r="K26" s="4">
        <f t="shared" si="1"/>
        <v>0</v>
      </c>
      <c r="L26" s="4">
        <f>IF($D26&lt;&gt;"Active","",SUMIFS(Scores!$J$4:$J$227,Scores!$B$4:$B$227,$A26,Scores!$R$4:$R$227,$B26)+SUMIFS(Scores!$P$4:$P$227,Scores!$B$4:$B$227,$A26,Scores!$S$4:$S$227,$B26))</f>
        <v>0</v>
      </c>
      <c r="M26" s="4">
        <f>IF($D26&lt;&gt;"Active","",$F26*Setup!$B$10+$G26*Setup!$B$11+$H26*Setup!$B$12)</f>
        <v>0</v>
      </c>
      <c r="N26" s="4">
        <f t="shared" si="2"/>
        <v>0</v>
      </c>
      <c r="O26" s="4">
        <f t="shared" si="3"/>
        <v>10000000.02</v>
      </c>
      <c r="P26" s="4">
        <f t="shared" si="4"/>
        <v>7</v>
      </c>
      <c r="Q26" s="4" t="str">
        <f t="shared" si="5"/>
        <v>C-7</v>
      </c>
    </row>
    <row r="27" spans="1:17">
      <c r="A27" s="4" t="s">
        <v>55</v>
      </c>
      <c r="B27" s="4">
        <v>8</v>
      </c>
      <c r="C27" s="4" t="str">
        <f>IF($D27="Active",IFERROR(INDEX(Teams!$D$4:$D$67,MATCH($A27&amp;"-"&amp;$B27,Teams!$E$4:$E$67,0)),""),"")</f>
        <v>Team C8</v>
      </c>
      <c r="D27" s="4" t="str">
        <f>IFERROR(INDEX(Teams!$F$4:$F$67,MATCH($A27&amp;"-"&amp;$B27,Teams!$E$4:$E$67,0)),0)</f>
        <v>Active</v>
      </c>
      <c r="E27" s="4">
        <f>IF($D27&lt;&gt;"Active","",COUNTIFS(Scores!$B$4:$B$227,$A27,Scores!$R$4:$R$227,$B27,Scores!$Q$4:$Q$227,"Complete")+COUNTIFS(Scores!$B$4:$B$227,$A27,Scores!$S$4:$S$227,$B27,Scores!$Q$4:$Q$227,"Complete"))</f>
        <v>0</v>
      </c>
      <c r="F27" s="4">
        <f>IF($D27&lt;&gt;"Active","",SUMIFS(Scores!$T$4:$T$227,Scores!$B$4:$B$227,$A27,Scores!$R$4:$R$227,$B27)+SUMIFS(Scores!$U$4:$U$227,Scores!$B$4:$B$227,$A27,Scores!$S$4:$S$227,$B27))</f>
        <v>0</v>
      </c>
      <c r="G27" s="4">
        <f>IF($D27&lt;&gt;"Active","",SUMIFS(Scores!$V$4:$V$227,Scores!$B$4:$B$227,$A27,Scores!$R$4:$R$227,$B27)+SUMIFS(Scores!$V$4:$V$227,Scores!$B$4:$B$227,$A27,Scores!$S$4:$S$227,$B27))</f>
        <v>0</v>
      </c>
      <c r="H27" s="4">
        <f t="shared" si="0"/>
        <v>0</v>
      </c>
      <c r="I27" s="4">
        <f>IF($D27&lt;&gt;"Active","",SUMIFS(Scores!$F$4:$F$227,Scores!$B$4:$B$227,$A27,Scores!$R$4:$R$227,$B27,Scores!$Q$4:$Q$227,"Complete")+SUMIFS(Scores!$L$4:$L$227,Scores!$B$4:$B$227,$A27,Scores!$S$4:$S$227,$B27,Scores!$Q$4:$Q$227,"Complete"))</f>
        <v>0</v>
      </c>
      <c r="J27" s="4">
        <f>IF($D27&lt;&gt;"Active","",SUMIFS(Scores!$L$4:$L$227,Scores!$B$4:$B$227,$A27,Scores!$R$4:$R$227,$B27,Scores!$Q$4:$Q$227,"Complete")+SUMIFS(Scores!$F$4:$F$227,Scores!$B$4:$B$227,$A27,Scores!$S$4:$S$227,$B27,Scores!$Q$4:$Q$227,"Complete"))</f>
        <v>0</v>
      </c>
      <c r="K27" s="4">
        <f t="shared" si="1"/>
        <v>0</v>
      </c>
      <c r="L27" s="4">
        <f>IF($D27&lt;&gt;"Active","",SUMIFS(Scores!$J$4:$J$227,Scores!$B$4:$B$227,$A27,Scores!$R$4:$R$227,$B27)+SUMIFS(Scores!$P$4:$P$227,Scores!$B$4:$B$227,$A27,Scores!$S$4:$S$227,$B27))</f>
        <v>0</v>
      </c>
      <c r="M27" s="4">
        <f>IF($D27&lt;&gt;"Active","",$F27*Setup!$B$10+$G27*Setup!$B$11+$H27*Setup!$B$12)</f>
        <v>0</v>
      </c>
      <c r="N27" s="4">
        <f t="shared" si="2"/>
        <v>0</v>
      </c>
      <c r="O27" s="4">
        <f t="shared" si="3"/>
        <v>10000000.01</v>
      </c>
      <c r="P27" s="4">
        <f t="shared" si="4"/>
        <v>8</v>
      </c>
      <c r="Q27" s="4" t="str">
        <f t="shared" si="5"/>
        <v>C-8</v>
      </c>
    </row>
    <row r="28" spans="1:17">
      <c r="A28" s="4" t="s">
        <v>56</v>
      </c>
      <c r="B28" s="4">
        <v>1</v>
      </c>
      <c r="C28" s="4" t="str">
        <f>IF($D28="Active",IFERROR(INDEX(Teams!$D$4:$D$67,MATCH($A28&amp;"-"&amp;$B28,Teams!$E$4:$E$67,0)),""),"")</f>
        <v>Team D1</v>
      </c>
      <c r="D28" s="4" t="str">
        <f>IFERROR(INDEX(Teams!$F$4:$F$67,MATCH($A28&amp;"-"&amp;$B28,Teams!$E$4:$E$67,0)),0)</f>
        <v>Active</v>
      </c>
      <c r="E28" s="4">
        <f>IF($D28&lt;&gt;"Active","",COUNTIFS(Scores!$B$4:$B$227,$A28,Scores!$R$4:$R$227,$B28,Scores!$Q$4:$Q$227,"Complete")+COUNTIFS(Scores!$B$4:$B$227,$A28,Scores!$S$4:$S$227,$B28,Scores!$Q$4:$Q$227,"Complete"))</f>
        <v>0</v>
      </c>
      <c r="F28" s="4">
        <f>IF($D28&lt;&gt;"Active","",SUMIFS(Scores!$T$4:$T$227,Scores!$B$4:$B$227,$A28,Scores!$R$4:$R$227,$B28)+SUMIFS(Scores!$U$4:$U$227,Scores!$B$4:$B$227,$A28,Scores!$S$4:$S$227,$B28))</f>
        <v>0</v>
      </c>
      <c r="G28" s="4">
        <f>IF($D28&lt;&gt;"Active","",SUMIFS(Scores!$V$4:$V$227,Scores!$B$4:$B$227,$A28,Scores!$R$4:$R$227,$B28)+SUMIFS(Scores!$V$4:$V$227,Scores!$B$4:$B$227,$A28,Scores!$S$4:$S$227,$B28))</f>
        <v>0</v>
      </c>
      <c r="H28" s="4">
        <f t="shared" si="0"/>
        <v>0</v>
      </c>
      <c r="I28" s="4">
        <f>IF($D28&lt;&gt;"Active","",SUMIFS(Scores!$F$4:$F$227,Scores!$B$4:$B$227,$A28,Scores!$R$4:$R$227,$B28,Scores!$Q$4:$Q$227,"Complete")+SUMIFS(Scores!$L$4:$L$227,Scores!$B$4:$B$227,$A28,Scores!$S$4:$S$227,$B28,Scores!$Q$4:$Q$227,"Complete"))</f>
        <v>0</v>
      </c>
      <c r="J28" s="4">
        <f>IF($D28&lt;&gt;"Active","",SUMIFS(Scores!$L$4:$L$227,Scores!$B$4:$B$227,$A28,Scores!$R$4:$R$227,$B28,Scores!$Q$4:$Q$227,"Complete")+SUMIFS(Scores!$F$4:$F$227,Scores!$B$4:$B$227,$A28,Scores!$S$4:$S$227,$B28,Scores!$Q$4:$Q$227,"Complete"))</f>
        <v>0</v>
      </c>
      <c r="K28" s="4">
        <f t="shared" si="1"/>
        <v>0</v>
      </c>
      <c r="L28" s="4">
        <f>IF($D28&lt;&gt;"Active","",SUMIFS(Scores!$J$4:$J$227,Scores!$B$4:$B$227,$A28,Scores!$R$4:$R$227,$B28)+SUMIFS(Scores!$P$4:$P$227,Scores!$B$4:$B$227,$A28,Scores!$S$4:$S$227,$B28))</f>
        <v>0</v>
      </c>
      <c r="M28" s="4">
        <f>IF($D28&lt;&gt;"Active","",$F28*Setup!$B$10+$G28*Setup!$B$11+$H28*Setup!$B$12)</f>
        <v>0</v>
      </c>
      <c r="N28" s="4">
        <f t="shared" si="2"/>
        <v>0</v>
      </c>
      <c r="O28" s="4">
        <f t="shared" si="3"/>
        <v>10000000.08</v>
      </c>
      <c r="P28" s="4">
        <f t="shared" si="4"/>
        <v>1</v>
      </c>
      <c r="Q28" s="4" t="str">
        <f t="shared" si="5"/>
        <v>D-1</v>
      </c>
    </row>
    <row r="29" spans="1:17">
      <c r="A29" s="4" t="s">
        <v>56</v>
      </c>
      <c r="B29" s="4">
        <v>2</v>
      </c>
      <c r="C29" s="4" t="str">
        <f>IF($D29="Active",IFERROR(INDEX(Teams!$D$4:$D$67,MATCH($A29&amp;"-"&amp;$B29,Teams!$E$4:$E$67,0)),""),"")</f>
        <v>Team D2</v>
      </c>
      <c r="D29" s="4" t="str">
        <f>IFERROR(INDEX(Teams!$F$4:$F$67,MATCH($A29&amp;"-"&amp;$B29,Teams!$E$4:$E$67,0)),0)</f>
        <v>Active</v>
      </c>
      <c r="E29" s="4">
        <f>IF($D29&lt;&gt;"Active","",COUNTIFS(Scores!$B$4:$B$227,$A29,Scores!$R$4:$R$227,$B29,Scores!$Q$4:$Q$227,"Complete")+COUNTIFS(Scores!$B$4:$B$227,$A29,Scores!$S$4:$S$227,$B29,Scores!$Q$4:$Q$227,"Complete"))</f>
        <v>0</v>
      </c>
      <c r="F29" s="4">
        <f>IF($D29&lt;&gt;"Active","",SUMIFS(Scores!$T$4:$T$227,Scores!$B$4:$B$227,$A29,Scores!$R$4:$R$227,$B29)+SUMIFS(Scores!$U$4:$U$227,Scores!$B$4:$B$227,$A29,Scores!$S$4:$S$227,$B29))</f>
        <v>0</v>
      </c>
      <c r="G29" s="4">
        <f>IF($D29&lt;&gt;"Active","",SUMIFS(Scores!$V$4:$V$227,Scores!$B$4:$B$227,$A29,Scores!$R$4:$R$227,$B29)+SUMIFS(Scores!$V$4:$V$227,Scores!$B$4:$B$227,$A29,Scores!$S$4:$S$227,$B29))</f>
        <v>0</v>
      </c>
      <c r="H29" s="4">
        <f t="shared" si="0"/>
        <v>0</v>
      </c>
      <c r="I29" s="4">
        <f>IF($D29&lt;&gt;"Active","",SUMIFS(Scores!$F$4:$F$227,Scores!$B$4:$B$227,$A29,Scores!$R$4:$R$227,$B29,Scores!$Q$4:$Q$227,"Complete")+SUMIFS(Scores!$L$4:$L$227,Scores!$B$4:$B$227,$A29,Scores!$S$4:$S$227,$B29,Scores!$Q$4:$Q$227,"Complete"))</f>
        <v>0</v>
      </c>
      <c r="J29" s="4">
        <f>IF($D29&lt;&gt;"Active","",SUMIFS(Scores!$L$4:$L$227,Scores!$B$4:$B$227,$A29,Scores!$R$4:$R$227,$B29,Scores!$Q$4:$Q$227,"Complete")+SUMIFS(Scores!$F$4:$F$227,Scores!$B$4:$B$227,$A29,Scores!$S$4:$S$227,$B29,Scores!$Q$4:$Q$227,"Complete"))</f>
        <v>0</v>
      </c>
      <c r="K29" s="4">
        <f t="shared" si="1"/>
        <v>0</v>
      </c>
      <c r="L29" s="4">
        <f>IF($D29&lt;&gt;"Active","",SUMIFS(Scores!$J$4:$J$227,Scores!$B$4:$B$227,$A29,Scores!$R$4:$R$227,$B29)+SUMIFS(Scores!$P$4:$P$227,Scores!$B$4:$B$227,$A29,Scores!$S$4:$S$227,$B29))</f>
        <v>0</v>
      </c>
      <c r="M29" s="4">
        <f>IF($D29&lt;&gt;"Active","",$F29*Setup!$B$10+$G29*Setup!$B$11+$H29*Setup!$B$12)</f>
        <v>0</v>
      </c>
      <c r="N29" s="4">
        <f t="shared" si="2"/>
        <v>0</v>
      </c>
      <c r="O29" s="4">
        <f t="shared" si="3"/>
        <v>10000000.07</v>
      </c>
      <c r="P29" s="4">
        <f t="shared" si="4"/>
        <v>2</v>
      </c>
      <c r="Q29" s="4" t="str">
        <f t="shared" si="5"/>
        <v>D-2</v>
      </c>
    </row>
    <row r="30" spans="1:17">
      <c r="A30" s="4" t="s">
        <v>56</v>
      </c>
      <c r="B30" s="4">
        <v>3</v>
      </c>
      <c r="C30" s="4" t="str">
        <f>IF($D30="Active",IFERROR(INDEX(Teams!$D$4:$D$67,MATCH($A30&amp;"-"&amp;$B30,Teams!$E$4:$E$67,0)),""),"")</f>
        <v>Team D3</v>
      </c>
      <c r="D30" s="4" t="str">
        <f>IFERROR(INDEX(Teams!$F$4:$F$67,MATCH($A30&amp;"-"&amp;$B30,Teams!$E$4:$E$67,0)),0)</f>
        <v>Active</v>
      </c>
      <c r="E30" s="4">
        <f>IF($D30&lt;&gt;"Active","",COUNTIFS(Scores!$B$4:$B$227,$A30,Scores!$R$4:$R$227,$B30,Scores!$Q$4:$Q$227,"Complete")+COUNTIFS(Scores!$B$4:$B$227,$A30,Scores!$S$4:$S$227,$B30,Scores!$Q$4:$Q$227,"Complete"))</f>
        <v>0</v>
      </c>
      <c r="F30" s="4">
        <f>IF($D30&lt;&gt;"Active","",SUMIFS(Scores!$T$4:$T$227,Scores!$B$4:$B$227,$A30,Scores!$R$4:$R$227,$B30)+SUMIFS(Scores!$U$4:$U$227,Scores!$B$4:$B$227,$A30,Scores!$S$4:$S$227,$B30))</f>
        <v>0</v>
      </c>
      <c r="G30" s="4">
        <f>IF($D30&lt;&gt;"Active","",SUMIFS(Scores!$V$4:$V$227,Scores!$B$4:$B$227,$A30,Scores!$R$4:$R$227,$B30)+SUMIFS(Scores!$V$4:$V$227,Scores!$B$4:$B$227,$A30,Scores!$S$4:$S$227,$B30))</f>
        <v>0</v>
      </c>
      <c r="H30" s="4">
        <f t="shared" si="0"/>
        <v>0</v>
      </c>
      <c r="I30" s="4">
        <f>IF($D30&lt;&gt;"Active","",SUMIFS(Scores!$F$4:$F$227,Scores!$B$4:$B$227,$A30,Scores!$R$4:$R$227,$B30,Scores!$Q$4:$Q$227,"Complete")+SUMIFS(Scores!$L$4:$L$227,Scores!$B$4:$B$227,$A30,Scores!$S$4:$S$227,$B30,Scores!$Q$4:$Q$227,"Complete"))</f>
        <v>0</v>
      </c>
      <c r="J30" s="4">
        <f>IF($D30&lt;&gt;"Active","",SUMIFS(Scores!$L$4:$L$227,Scores!$B$4:$B$227,$A30,Scores!$R$4:$R$227,$B30,Scores!$Q$4:$Q$227,"Complete")+SUMIFS(Scores!$F$4:$F$227,Scores!$B$4:$B$227,$A30,Scores!$S$4:$S$227,$B30,Scores!$Q$4:$Q$227,"Complete"))</f>
        <v>0</v>
      </c>
      <c r="K30" s="4">
        <f t="shared" si="1"/>
        <v>0</v>
      </c>
      <c r="L30" s="4">
        <f>IF($D30&lt;&gt;"Active","",SUMIFS(Scores!$J$4:$J$227,Scores!$B$4:$B$227,$A30,Scores!$R$4:$R$227,$B30)+SUMIFS(Scores!$P$4:$P$227,Scores!$B$4:$B$227,$A30,Scores!$S$4:$S$227,$B30))</f>
        <v>0</v>
      </c>
      <c r="M30" s="4">
        <f>IF($D30&lt;&gt;"Active","",$F30*Setup!$B$10+$G30*Setup!$B$11+$H30*Setup!$B$12)</f>
        <v>0</v>
      </c>
      <c r="N30" s="4">
        <f t="shared" si="2"/>
        <v>0</v>
      </c>
      <c r="O30" s="4">
        <f t="shared" si="3"/>
        <v>10000000.060000001</v>
      </c>
      <c r="P30" s="4">
        <f t="shared" si="4"/>
        <v>3</v>
      </c>
      <c r="Q30" s="4" t="str">
        <f t="shared" si="5"/>
        <v>D-3</v>
      </c>
    </row>
    <row r="31" spans="1:17">
      <c r="A31" s="4" t="s">
        <v>56</v>
      </c>
      <c r="B31" s="4">
        <v>4</v>
      </c>
      <c r="C31" s="4" t="str">
        <f>IF($D31="Active",IFERROR(INDEX(Teams!$D$4:$D$67,MATCH($A31&amp;"-"&amp;$B31,Teams!$E$4:$E$67,0)),""),"")</f>
        <v>Team D4</v>
      </c>
      <c r="D31" s="4" t="str">
        <f>IFERROR(INDEX(Teams!$F$4:$F$67,MATCH($A31&amp;"-"&amp;$B31,Teams!$E$4:$E$67,0)),0)</f>
        <v>Active</v>
      </c>
      <c r="E31" s="4">
        <f>IF($D31&lt;&gt;"Active","",COUNTIFS(Scores!$B$4:$B$227,$A31,Scores!$R$4:$R$227,$B31,Scores!$Q$4:$Q$227,"Complete")+COUNTIFS(Scores!$B$4:$B$227,$A31,Scores!$S$4:$S$227,$B31,Scores!$Q$4:$Q$227,"Complete"))</f>
        <v>0</v>
      </c>
      <c r="F31" s="4">
        <f>IF($D31&lt;&gt;"Active","",SUMIFS(Scores!$T$4:$T$227,Scores!$B$4:$B$227,$A31,Scores!$R$4:$R$227,$B31)+SUMIFS(Scores!$U$4:$U$227,Scores!$B$4:$B$227,$A31,Scores!$S$4:$S$227,$B31))</f>
        <v>0</v>
      </c>
      <c r="G31" s="4">
        <f>IF($D31&lt;&gt;"Active","",SUMIFS(Scores!$V$4:$V$227,Scores!$B$4:$B$227,$A31,Scores!$R$4:$R$227,$B31)+SUMIFS(Scores!$V$4:$V$227,Scores!$B$4:$B$227,$A31,Scores!$S$4:$S$227,$B31))</f>
        <v>0</v>
      </c>
      <c r="H31" s="4">
        <f t="shared" si="0"/>
        <v>0</v>
      </c>
      <c r="I31" s="4">
        <f>IF($D31&lt;&gt;"Active","",SUMIFS(Scores!$F$4:$F$227,Scores!$B$4:$B$227,$A31,Scores!$R$4:$R$227,$B31,Scores!$Q$4:$Q$227,"Complete")+SUMIFS(Scores!$L$4:$L$227,Scores!$B$4:$B$227,$A31,Scores!$S$4:$S$227,$B31,Scores!$Q$4:$Q$227,"Complete"))</f>
        <v>0</v>
      </c>
      <c r="J31" s="4">
        <f>IF($D31&lt;&gt;"Active","",SUMIFS(Scores!$L$4:$L$227,Scores!$B$4:$B$227,$A31,Scores!$R$4:$R$227,$B31,Scores!$Q$4:$Q$227,"Complete")+SUMIFS(Scores!$F$4:$F$227,Scores!$B$4:$B$227,$A31,Scores!$S$4:$S$227,$B31,Scores!$Q$4:$Q$227,"Complete"))</f>
        <v>0</v>
      </c>
      <c r="K31" s="4">
        <f t="shared" si="1"/>
        <v>0</v>
      </c>
      <c r="L31" s="4">
        <f>IF($D31&lt;&gt;"Active","",SUMIFS(Scores!$J$4:$J$227,Scores!$B$4:$B$227,$A31,Scores!$R$4:$R$227,$B31)+SUMIFS(Scores!$P$4:$P$227,Scores!$B$4:$B$227,$A31,Scores!$S$4:$S$227,$B31))</f>
        <v>0</v>
      </c>
      <c r="M31" s="4">
        <f>IF($D31&lt;&gt;"Active","",$F31*Setup!$B$10+$G31*Setup!$B$11+$H31*Setup!$B$12)</f>
        <v>0</v>
      </c>
      <c r="N31" s="4">
        <f t="shared" si="2"/>
        <v>0</v>
      </c>
      <c r="O31" s="4">
        <f t="shared" si="3"/>
        <v>10000000.050000001</v>
      </c>
      <c r="P31" s="4">
        <f t="shared" si="4"/>
        <v>4</v>
      </c>
      <c r="Q31" s="4" t="str">
        <f t="shared" si="5"/>
        <v>D-4</v>
      </c>
    </row>
    <row r="32" spans="1:17">
      <c r="A32" s="4" t="s">
        <v>56</v>
      </c>
      <c r="B32" s="4">
        <v>5</v>
      </c>
      <c r="C32" s="4" t="str">
        <f>IF($D32="Active",IFERROR(INDEX(Teams!$D$4:$D$67,MATCH($A32&amp;"-"&amp;$B32,Teams!$E$4:$E$67,0)),""),"")</f>
        <v>Team D5</v>
      </c>
      <c r="D32" s="4" t="str">
        <f>IFERROR(INDEX(Teams!$F$4:$F$67,MATCH($A32&amp;"-"&amp;$B32,Teams!$E$4:$E$67,0)),0)</f>
        <v>Active</v>
      </c>
      <c r="E32" s="4">
        <f>IF($D32&lt;&gt;"Active","",COUNTIFS(Scores!$B$4:$B$227,$A32,Scores!$R$4:$R$227,$B32,Scores!$Q$4:$Q$227,"Complete")+COUNTIFS(Scores!$B$4:$B$227,$A32,Scores!$S$4:$S$227,$B32,Scores!$Q$4:$Q$227,"Complete"))</f>
        <v>0</v>
      </c>
      <c r="F32" s="4">
        <f>IF($D32&lt;&gt;"Active","",SUMIFS(Scores!$T$4:$T$227,Scores!$B$4:$B$227,$A32,Scores!$R$4:$R$227,$B32)+SUMIFS(Scores!$U$4:$U$227,Scores!$B$4:$B$227,$A32,Scores!$S$4:$S$227,$B32))</f>
        <v>0</v>
      </c>
      <c r="G32" s="4">
        <f>IF($D32&lt;&gt;"Active","",SUMIFS(Scores!$V$4:$V$227,Scores!$B$4:$B$227,$A32,Scores!$R$4:$R$227,$B32)+SUMIFS(Scores!$V$4:$V$227,Scores!$B$4:$B$227,$A32,Scores!$S$4:$S$227,$B32))</f>
        <v>0</v>
      </c>
      <c r="H32" s="4">
        <f t="shared" si="0"/>
        <v>0</v>
      </c>
      <c r="I32" s="4">
        <f>IF($D32&lt;&gt;"Active","",SUMIFS(Scores!$F$4:$F$227,Scores!$B$4:$B$227,$A32,Scores!$R$4:$R$227,$B32,Scores!$Q$4:$Q$227,"Complete")+SUMIFS(Scores!$L$4:$L$227,Scores!$B$4:$B$227,$A32,Scores!$S$4:$S$227,$B32,Scores!$Q$4:$Q$227,"Complete"))</f>
        <v>0</v>
      </c>
      <c r="J32" s="4">
        <f>IF($D32&lt;&gt;"Active","",SUMIFS(Scores!$L$4:$L$227,Scores!$B$4:$B$227,$A32,Scores!$R$4:$R$227,$B32,Scores!$Q$4:$Q$227,"Complete")+SUMIFS(Scores!$F$4:$F$227,Scores!$B$4:$B$227,$A32,Scores!$S$4:$S$227,$B32,Scores!$Q$4:$Q$227,"Complete"))</f>
        <v>0</v>
      </c>
      <c r="K32" s="4">
        <f t="shared" si="1"/>
        <v>0</v>
      </c>
      <c r="L32" s="4">
        <f>IF($D32&lt;&gt;"Active","",SUMIFS(Scores!$J$4:$J$227,Scores!$B$4:$B$227,$A32,Scores!$R$4:$R$227,$B32)+SUMIFS(Scores!$P$4:$P$227,Scores!$B$4:$B$227,$A32,Scores!$S$4:$S$227,$B32))</f>
        <v>0</v>
      </c>
      <c r="M32" s="4">
        <f>IF($D32&lt;&gt;"Active","",$F32*Setup!$B$10+$G32*Setup!$B$11+$H32*Setup!$B$12)</f>
        <v>0</v>
      </c>
      <c r="N32" s="4">
        <f t="shared" si="2"/>
        <v>0</v>
      </c>
      <c r="O32" s="4">
        <f t="shared" si="3"/>
        <v>10000000.039999999</v>
      </c>
      <c r="P32" s="4">
        <f t="shared" si="4"/>
        <v>5</v>
      </c>
      <c r="Q32" s="4" t="str">
        <f t="shared" si="5"/>
        <v>D-5</v>
      </c>
    </row>
    <row r="33" spans="1:17">
      <c r="A33" s="4" t="s">
        <v>56</v>
      </c>
      <c r="B33" s="4">
        <v>6</v>
      </c>
      <c r="C33" s="4" t="str">
        <f>IF($D33="Active",IFERROR(INDEX(Teams!$D$4:$D$67,MATCH($A33&amp;"-"&amp;$B33,Teams!$E$4:$E$67,0)),""),"")</f>
        <v>Team D6</v>
      </c>
      <c r="D33" s="4" t="str">
        <f>IFERROR(INDEX(Teams!$F$4:$F$67,MATCH($A33&amp;"-"&amp;$B33,Teams!$E$4:$E$67,0)),0)</f>
        <v>Active</v>
      </c>
      <c r="E33" s="4">
        <f>IF($D33&lt;&gt;"Active","",COUNTIFS(Scores!$B$4:$B$227,$A33,Scores!$R$4:$R$227,$B33,Scores!$Q$4:$Q$227,"Complete")+COUNTIFS(Scores!$B$4:$B$227,$A33,Scores!$S$4:$S$227,$B33,Scores!$Q$4:$Q$227,"Complete"))</f>
        <v>0</v>
      </c>
      <c r="F33" s="4">
        <f>IF($D33&lt;&gt;"Active","",SUMIFS(Scores!$T$4:$T$227,Scores!$B$4:$B$227,$A33,Scores!$R$4:$R$227,$B33)+SUMIFS(Scores!$U$4:$U$227,Scores!$B$4:$B$227,$A33,Scores!$S$4:$S$227,$B33))</f>
        <v>0</v>
      </c>
      <c r="G33" s="4">
        <f>IF($D33&lt;&gt;"Active","",SUMIFS(Scores!$V$4:$V$227,Scores!$B$4:$B$227,$A33,Scores!$R$4:$R$227,$B33)+SUMIFS(Scores!$V$4:$V$227,Scores!$B$4:$B$227,$A33,Scores!$S$4:$S$227,$B33))</f>
        <v>0</v>
      </c>
      <c r="H33" s="4">
        <f t="shared" si="0"/>
        <v>0</v>
      </c>
      <c r="I33" s="4">
        <f>IF($D33&lt;&gt;"Active","",SUMIFS(Scores!$F$4:$F$227,Scores!$B$4:$B$227,$A33,Scores!$R$4:$R$227,$B33,Scores!$Q$4:$Q$227,"Complete")+SUMIFS(Scores!$L$4:$L$227,Scores!$B$4:$B$227,$A33,Scores!$S$4:$S$227,$B33,Scores!$Q$4:$Q$227,"Complete"))</f>
        <v>0</v>
      </c>
      <c r="J33" s="4">
        <f>IF($D33&lt;&gt;"Active","",SUMIFS(Scores!$L$4:$L$227,Scores!$B$4:$B$227,$A33,Scores!$R$4:$R$227,$B33,Scores!$Q$4:$Q$227,"Complete")+SUMIFS(Scores!$F$4:$F$227,Scores!$B$4:$B$227,$A33,Scores!$S$4:$S$227,$B33,Scores!$Q$4:$Q$227,"Complete"))</f>
        <v>0</v>
      </c>
      <c r="K33" s="4">
        <f t="shared" si="1"/>
        <v>0</v>
      </c>
      <c r="L33" s="4">
        <f>IF($D33&lt;&gt;"Active","",SUMIFS(Scores!$J$4:$J$227,Scores!$B$4:$B$227,$A33,Scores!$R$4:$R$227,$B33)+SUMIFS(Scores!$P$4:$P$227,Scores!$B$4:$B$227,$A33,Scores!$S$4:$S$227,$B33))</f>
        <v>0</v>
      </c>
      <c r="M33" s="4">
        <f>IF($D33&lt;&gt;"Active","",$F33*Setup!$B$10+$G33*Setup!$B$11+$H33*Setup!$B$12)</f>
        <v>0</v>
      </c>
      <c r="N33" s="4">
        <f t="shared" si="2"/>
        <v>0</v>
      </c>
      <c r="O33" s="4">
        <f t="shared" si="3"/>
        <v>10000000.029999999</v>
      </c>
      <c r="P33" s="4">
        <f t="shared" si="4"/>
        <v>6</v>
      </c>
      <c r="Q33" s="4" t="str">
        <f t="shared" si="5"/>
        <v>D-6</v>
      </c>
    </row>
    <row r="34" spans="1:17">
      <c r="A34" s="4" t="s">
        <v>56</v>
      </c>
      <c r="B34" s="4">
        <v>7</v>
      </c>
      <c r="C34" s="4" t="str">
        <f>IF($D34="Active",IFERROR(INDEX(Teams!$D$4:$D$67,MATCH($A34&amp;"-"&amp;$B34,Teams!$E$4:$E$67,0)),""),"")</f>
        <v>Team D7</v>
      </c>
      <c r="D34" s="4" t="str">
        <f>IFERROR(INDEX(Teams!$F$4:$F$67,MATCH($A34&amp;"-"&amp;$B34,Teams!$E$4:$E$67,0)),0)</f>
        <v>Active</v>
      </c>
      <c r="E34" s="4">
        <f>IF($D34&lt;&gt;"Active","",COUNTIFS(Scores!$B$4:$B$227,$A34,Scores!$R$4:$R$227,$B34,Scores!$Q$4:$Q$227,"Complete")+COUNTIFS(Scores!$B$4:$B$227,$A34,Scores!$S$4:$S$227,$B34,Scores!$Q$4:$Q$227,"Complete"))</f>
        <v>0</v>
      </c>
      <c r="F34" s="4">
        <f>IF($D34&lt;&gt;"Active","",SUMIFS(Scores!$T$4:$T$227,Scores!$B$4:$B$227,$A34,Scores!$R$4:$R$227,$B34)+SUMIFS(Scores!$U$4:$U$227,Scores!$B$4:$B$227,$A34,Scores!$S$4:$S$227,$B34))</f>
        <v>0</v>
      </c>
      <c r="G34" s="4">
        <f>IF($D34&lt;&gt;"Active","",SUMIFS(Scores!$V$4:$V$227,Scores!$B$4:$B$227,$A34,Scores!$R$4:$R$227,$B34)+SUMIFS(Scores!$V$4:$V$227,Scores!$B$4:$B$227,$A34,Scores!$S$4:$S$227,$B34))</f>
        <v>0</v>
      </c>
      <c r="H34" s="4">
        <f t="shared" si="0"/>
        <v>0</v>
      </c>
      <c r="I34" s="4">
        <f>IF($D34&lt;&gt;"Active","",SUMIFS(Scores!$F$4:$F$227,Scores!$B$4:$B$227,$A34,Scores!$R$4:$R$227,$B34,Scores!$Q$4:$Q$227,"Complete")+SUMIFS(Scores!$L$4:$L$227,Scores!$B$4:$B$227,$A34,Scores!$S$4:$S$227,$B34,Scores!$Q$4:$Q$227,"Complete"))</f>
        <v>0</v>
      </c>
      <c r="J34" s="4">
        <f>IF($D34&lt;&gt;"Active","",SUMIFS(Scores!$L$4:$L$227,Scores!$B$4:$B$227,$A34,Scores!$R$4:$R$227,$B34,Scores!$Q$4:$Q$227,"Complete")+SUMIFS(Scores!$F$4:$F$227,Scores!$B$4:$B$227,$A34,Scores!$S$4:$S$227,$B34,Scores!$Q$4:$Q$227,"Complete"))</f>
        <v>0</v>
      </c>
      <c r="K34" s="4">
        <f t="shared" si="1"/>
        <v>0</v>
      </c>
      <c r="L34" s="4">
        <f>IF($D34&lt;&gt;"Active","",SUMIFS(Scores!$J$4:$J$227,Scores!$B$4:$B$227,$A34,Scores!$R$4:$R$227,$B34)+SUMIFS(Scores!$P$4:$P$227,Scores!$B$4:$B$227,$A34,Scores!$S$4:$S$227,$B34))</f>
        <v>0</v>
      </c>
      <c r="M34" s="4">
        <f>IF($D34&lt;&gt;"Active","",$F34*Setup!$B$10+$G34*Setup!$B$11+$H34*Setup!$B$12)</f>
        <v>0</v>
      </c>
      <c r="N34" s="4">
        <f t="shared" si="2"/>
        <v>0</v>
      </c>
      <c r="O34" s="4">
        <f t="shared" si="3"/>
        <v>10000000.02</v>
      </c>
      <c r="P34" s="4">
        <f t="shared" si="4"/>
        <v>7</v>
      </c>
      <c r="Q34" s="4" t="str">
        <f t="shared" si="5"/>
        <v>D-7</v>
      </c>
    </row>
    <row r="35" spans="1:17">
      <c r="A35" s="4" t="s">
        <v>56</v>
      </c>
      <c r="B35" s="4">
        <v>8</v>
      </c>
      <c r="C35" s="4" t="str">
        <f>IF($D35="Active",IFERROR(INDEX(Teams!$D$4:$D$67,MATCH($A35&amp;"-"&amp;$B35,Teams!$E$4:$E$67,0)),""),"")</f>
        <v>Team D8</v>
      </c>
      <c r="D35" s="4" t="str">
        <f>IFERROR(INDEX(Teams!$F$4:$F$67,MATCH($A35&amp;"-"&amp;$B35,Teams!$E$4:$E$67,0)),0)</f>
        <v>Active</v>
      </c>
      <c r="E35" s="4">
        <f>IF($D35&lt;&gt;"Active","",COUNTIFS(Scores!$B$4:$B$227,$A35,Scores!$R$4:$R$227,$B35,Scores!$Q$4:$Q$227,"Complete")+COUNTIFS(Scores!$B$4:$B$227,$A35,Scores!$S$4:$S$227,$B35,Scores!$Q$4:$Q$227,"Complete"))</f>
        <v>0</v>
      </c>
      <c r="F35" s="4">
        <f>IF($D35&lt;&gt;"Active","",SUMIFS(Scores!$T$4:$T$227,Scores!$B$4:$B$227,$A35,Scores!$R$4:$R$227,$B35)+SUMIFS(Scores!$U$4:$U$227,Scores!$B$4:$B$227,$A35,Scores!$S$4:$S$227,$B35))</f>
        <v>0</v>
      </c>
      <c r="G35" s="4">
        <f>IF($D35&lt;&gt;"Active","",SUMIFS(Scores!$V$4:$V$227,Scores!$B$4:$B$227,$A35,Scores!$R$4:$R$227,$B35)+SUMIFS(Scores!$V$4:$V$227,Scores!$B$4:$B$227,$A35,Scores!$S$4:$S$227,$B35))</f>
        <v>0</v>
      </c>
      <c r="H35" s="4">
        <f t="shared" si="0"/>
        <v>0</v>
      </c>
      <c r="I35" s="4">
        <f>IF($D35&lt;&gt;"Active","",SUMIFS(Scores!$F$4:$F$227,Scores!$B$4:$B$227,$A35,Scores!$R$4:$R$227,$B35,Scores!$Q$4:$Q$227,"Complete")+SUMIFS(Scores!$L$4:$L$227,Scores!$B$4:$B$227,$A35,Scores!$S$4:$S$227,$B35,Scores!$Q$4:$Q$227,"Complete"))</f>
        <v>0</v>
      </c>
      <c r="J35" s="4">
        <f>IF($D35&lt;&gt;"Active","",SUMIFS(Scores!$L$4:$L$227,Scores!$B$4:$B$227,$A35,Scores!$R$4:$R$227,$B35,Scores!$Q$4:$Q$227,"Complete")+SUMIFS(Scores!$F$4:$F$227,Scores!$B$4:$B$227,$A35,Scores!$S$4:$S$227,$B35,Scores!$Q$4:$Q$227,"Complete"))</f>
        <v>0</v>
      </c>
      <c r="K35" s="4">
        <f t="shared" si="1"/>
        <v>0</v>
      </c>
      <c r="L35" s="4">
        <f>IF($D35&lt;&gt;"Active","",SUMIFS(Scores!$J$4:$J$227,Scores!$B$4:$B$227,$A35,Scores!$R$4:$R$227,$B35)+SUMIFS(Scores!$P$4:$P$227,Scores!$B$4:$B$227,$A35,Scores!$S$4:$S$227,$B35))</f>
        <v>0</v>
      </c>
      <c r="M35" s="4">
        <f>IF($D35&lt;&gt;"Active","",$F35*Setup!$B$10+$G35*Setup!$B$11+$H35*Setup!$B$12)</f>
        <v>0</v>
      </c>
      <c r="N35" s="4">
        <f t="shared" si="2"/>
        <v>0</v>
      </c>
      <c r="O35" s="4">
        <f t="shared" si="3"/>
        <v>10000000.01</v>
      </c>
      <c r="P35" s="4">
        <f t="shared" si="4"/>
        <v>8</v>
      </c>
      <c r="Q35" s="4" t="str">
        <f t="shared" si="5"/>
        <v>D-8</v>
      </c>
    </row>
    <row r="36" spans="1:17">
      <c r="A36" s="4" t="s">
        <v>57</v>
      </c>
      <c r="B36" s="4">
        <v>1</v>
      </c>
      <c r="C36" s="4" t="str">
        <f>IF($D36="Active",IFERROR(INDEX(Teams!$D$4:$D$67,MATCH($A36&amp;"-"&amp;$B36,Teams!$E$4:$E$67,0)),""),"")</f>
        <v>Team E1</v>
      </c>
      <c r="D36" s="4" t="str">
        <f>IFERROR(INDEX(Teams!$F$4:$F$67,MATCH($A36&amp;"-"&amp;$B36,Teams!$E$4:$E$67,0)),0)</f>
        <v>Active</v>
      </c>
      <c r="E36" s="4">
        <f>IF($D36&lt;&gt;"Active","",COUNTIFS(Scores!$B$4:$B$227,$A36,Scores!$R$4:$R$227,$B36,Scores!$Q$4:$Q$227,"Complete")+COUNTIFS(Scores!$B$4:$B$227,$A36,Scores!$S$4:$S$227,$B36,Scores!$Q$4:$Q$227,"Complete"))</f>
        <v>0</v>
      </c>
      <c r="F36" s="4">
        <f>IF($D36&lt;&gt;"Active","",SUMIFS(Scores!$T$4:$T$227,Scores!$B$4:$B$227,$A36,Scores!$R$4:$R$227,$B36)+SUMIFS(Scores!$U$4:$U$227,Scores!$B$4:$B$227,$A36,Scores!$S$4:$S$227,$B36))</f>
        <v>0</v>
      </c>
      <c r="G36" s="4">
        <f>IF($D36&lt;&gt;"Active","",SUMIFS(Scores!$V$4:$V$227,Scores!$B$4:$B$227,$A36,Scores!$R$4:$R$227,$B36)+SUMIFS(Scores!$V$4:$V$227,Scores!$B$4:$B$227,$A36,Scores!$S$4:$S$227,$B36))</f>
        <v>0</v>
      </c>
      <c r="H36" s="4">
        <f t="shared" ref="H36:H67" si="6">IF($D36&lt;&gt;"Active","",$E36-$F36-$G36)</f>
        <v>0</v>
      </c>
      <c r="I36" s="4">
        <f>IF($D36&lt;&gt;"Active","",SUMIFS(Scores!$F$4:$F$227,Scores!$B$4:$B$227,$A36,Scores!$R$4:$R$227,$B36,Scores!$Q$4:$Q$227,"Complete")+SUMIFS(Scores!$L$4:$L$227,Scores!$B$4:$B$227,$A36,Scores!$S$4:$S$227,$B36,Scores!$Q$4:$Q$227,"Complete"))</f>
        <v>0</v>
      </c>
      <c r="J36" s="4">
        <f>IF($D36&lt;&gt;"Active","",SUMIFS(Scores!$L$4:$L$227,Scores!$B$4:$B$227,$A36,Scores!$R$4:$R$227,$B36,Scores!$Q$4:$Q$227,"Complete")+SUMIFS(Scores!$F$4:$F$227,Scores!$B$4:$B$227,$A36,Scores!$S$4:$S$227,$B36,Scores!$Q$4:$Q$227,"Complete"))</f>
        <v>0</v>
      </c>
      <c r="K36" s="4">
        <f t="shared" ref="K36:K67" si="7">IF($D36&lt;&gt;"Active","",$I36-$J36)</f>
        <v>0</v>
      </c>
      <c r="L36" s="4">
        <f>IF($D36&lt;&gt;"Active","",SUMIFS(Scores!$J$4:$J$227,Scores!$B$4:$B$227,$A36,Scores!$R$4:$R$227,$B36)+SUMIFS(Scores!$P$4:$P$227,Scores!$B$4:$B$227,$A36,Scores!$S$4:$S$227,$B36))</f>
        <v>0</v>
      </c>
      <c r="M36" s="4">
        <f>IF($D36&lt;&gt;"Active","",$F36*Setup!$B$10+$G36*Setup!$B$11+$H36*Setup!$B$12)</f>
        <v>0</v>
      </c>
      <c r="N36" s="4">
        <f t="shared" ref="N36:N67" si="8">IF($D36&lt;&gt;"Active","",$M36+$L36)</f>
        <v>0</v>
      </c>
      <c r="O36" s="4">
        <f t="shared" ref="O36:O67" si="9">IF($D36&lt;&gt;"Active","",$N36*1000000000+$F36*10000000+($K36+10000)*1000+$I36*10+$L36+(9-$B36)/100)</f>
        <v>10000000.08</v>
      </c>
      <c r="P36" s="4">
        <f t="shared" ref="P36:P67" si="10">IF($D36&lt;&gt;"Active","",COUNTIFS($A$4:$A$67,$A36,$D$4:$D$67,"Active",$O$4:$O$67,"&gt;"&amp;$O36)+1)</f>
        <v>1</v>
      </c>
      <c r="Q36" s="4" t="str">
        <f t="shared" ref="Q36:Q67" si="11">IF($D36="Active",$A36&amp;"-"&amp;$P36,"")</f>
        <v>E-1</v>
      </c>
    </row>
    <row r="37" spans="1:17">
      <c r="A37" s="4" t="s">
        <v>57</v>
      </c>
      <c r="B37" s="4">
        <v>2</v>
      </c>
      <c r="C37" s="4" t="str">
        <f>IF($D37="Active",IFERROR(INDEX(Teams!$D$4:$D$67,MATCH($A37&amp;"-"&amp;$B37,Teams!$E$4:$E$67,0)),""),"")</f>
        <v>Team E2</v>
      </c>
      <c r="D37" s="4" t="str">
        <f>IFERROR(INDEX(Teams!$F$4:$F$67,MATCH($A37&amp;"-"&amp;$B37,Teams!$E$4:$E$67,0)),0)</f>
        <v>Active</v>
      </c>
      <c r="E37" s="4">
        <f>IF($D37&lt;&gt;"Active","",COUNTIFS(Scores!$B$4:$B$227,$A37,Scores!$R$4:$R$227,$B37,Scores!$Q$4:$Q$227,"Complete")+COUNTIFS(Scores!$B$4:$B$227,$A37,Scores!$S$4:$S$227,$B37,Scores!$Q$4:$Q$227,"Complete"))</f>
        <v>0</v>
      </c>
      <c r="F37" s="4">
        <f>IF($D37&lt;&gt;"Active","",SUMIFS(Scores!$T$4:$T$227,Scores!$B$4:$B$227,$A37,Scores!$R$4:$R$227,$B37)+SUMIFS(Scores!$U$4:$U$227,Scores!$B$4:$B$227,$A37,Scores!$S$4:$S$227,$B37))</f>
        <v>0</v>
      </c>
      <c r="G37" s="4">
        <f>IF($D37&lt;&gt;"Active","",SUMIFS(Scores!$V$4:$V$227,Scores!$B$4:$B$227,$A37,Scores!$R$4:$R$227,$B37)+SUMIFS(Scores!$V$4:$V$227,Scores!$B$4:$B$227,$A37,Scores!$S$4:$S$227,$B37))</f>
        <v>0</v>
      </c>
      <c r="H37" s="4">
        <f t="shared" si="6"/>
        <v>0</v>
      </c>
      <c r="I37" s="4">
        <f>IF($D37&lt;&gt;"Active","",SUMIFS(Scores!$F$4:$F$227,Scores!$B$4:$B$227,$A37,Scores!$R$4:$R$227,$B37,Scores!$Q$4:$Q$227,"Complete")+SUMIFS(Scores!$L$4:$L$227,Scores!$B$4:$B$227,$A37,Scores!$S$4:$S$227,$B37,Scores!$Q$4:$Q$227,"Complete"))</f>
        <v>0</v>
      </c>
      <c r="J37" s="4">
        <f>IF($D37&lt;&gt;"Active","",SUMIFS(Scores!$L$4:$L$227,Scores!$B$4:$B$227,$A37,Scores!$R$4:$R$227,$B37,Scores!$Q$4:$Q$227,"Complete")+SUMIFS(Scores!$F$4:$F$227,Scores!$B$4:$B$227,$A37,Scores!$S$4:$S$227,$B37,Scores!$Q$4:$Q$227,"Complete"))</f>
        <v>0</v>
      </c>
      <c r="K37" s="4">
        <f t="shared" si="7"/>
        <v>0</v>
      </c>
      <c r="L37" s="4">
        <f>IF($D37&lt;&gt;"Active","",SUMIFS(Scores!$J$4:$J$227,Scores!$B$4:$B$227,$A37,Scores!$R$4:$R$227,$B37)+SUMIFS(Scores!$P$4:$P$227,Scores!$B$4:$B$227,$A37,Scores!$S$4:$S$227,$B37))</f>
        <v>0</v>
      </c>
      <c r="M37" s="4">
        <f>IF($D37&lt;&gt;"Active","",$F37*Setup!$B$10+$G37*Setup!$B$11+$H37*Setup!$B$12)</f>
        <v>0</v>
      </c>
      <c r="N37" s="4">
        <f t="shared" si="8"/>
        <v>0</v>
      </c>
      <c r="O37" s="4">
        <f t="shared" si="9"/>
        <v>10000000.07</v>
      </c>
      <c r="P37" s="4">
        <f t="shared" si="10"/>
        <v>2</v>
      </c>
      <c r="Q37" s="4" t="str">
        <f t="shared" si="11"/>
        <v>E-2</v>
      </c>
    </row>
    <row r="38" spans="1:17">
      <c r="A38" s="4" t="s">
        <v>57</v>
      </c>
      <c r="B38" s="4">
        <v>3</v>
      </c>
      <c r="C38" s="4" t="str">
        <f>IF($D38="Active",IFERROR(INDEX(Teams!$D$4:$D$67,MATCH($A38&amp;"-"&amp;$B38,Teams!$E$4:$E$67,0)),""),"")</f>
        <v>Team E3</v>
      </c>
      <c r="D38" s="4" t="str">
        <f>IFERROR(INDEX(Teams!$F$4:$F$67,MATCH($A38&amp;"-"&amp;$B38,Teams!$E$4:$E$67,0)),0)</f>
        <v>Active</v>
      </c>
      <c r="E38" s="4">
        <f>IF($D38&lt;&gt;"Active","",COUNTIFS(Scores!$B$4:$B$227,$A38,Scores!$R$4:$R$227,$B38,Scores!$Q$4:$Q$227,"Complete")+COUNTIFS(Scores!$B$4:$B$227,$A38,Scores!$S$4:$S$227,$B38,Scores!$Q$4:$Q$227,"Complete"))</f>
        <v>0</v>
      </c>
      <c r="F38" s="4">
        <f>IF($D38&lt;&gt;"Active","",SUMIFS(Scores!$T$4:$T$227,Scores!$B$4:$B$227,$A38,Scores!$R$4:$R$227,$B38)+SUMIFS(Scores!$U$4:$U$227,Scores!$B$4:$B$227,$A38,Scores!$S$4:$S$227,$B38))</f>
        <v>0</v>
      </c>
      <c r="G38" s="4">
        <f>IF($D38&lt;&gt;"Active","",SUMIFS(Scores!$V$4:$V$227,Scores!$B$4:$B$227,$A38,Scores!$R$4:$R$227,$B38)+SUMIFS(Scores!$V$4:$V$227,Scores!$B$4:$B$227,$A38,Scores!$S$4:$S$227,$B38))</f>
        <v>0</v>
      </c>
      <c r="H38" s="4">
        <f t="shared" si="6"/>
        <v>0</v>
      </c>
      <c r="I38" s="4">
        <f>IF($D38&lt;&gt;"Active","",SUMIFS(Scores!$F$4:$F$227,Scores!$B$4:$B$227,$A38,Scores!$R$4:$R$227,$B38,Scores!$Q$4:$Q$227,"Complete")+SUMIFS(Scores!$L$4:$L$227,Scores!$B$4:$B$227,$A38,Scores!$S$4:$S$227,$B38,Scores!$Q$4:$Q$227,"Complete"))</f>
        <v>0</v>
      </c>
      <c r="J38" s="4">
        <f>IF($D38&lt;&gt;"Active","",SUMIFS(Scores!$L$4:$L$227,Scores!$B$4:$B$227,$A38,Scores!$R$4:$R$227,$B38,Scores!$Q$4:$Q$227,"Complete")+SUMIFS(Scores!$F$4:$F$227,Scores!$B$4:$B$227,$A38,Scores!$S$4:$S$227,$B38,Scores!$Q$4:$Q$227,"Complete"))</f>
        <v>0</v>
      </c>
      <c r="K38" s="4">
        <f t="shared" si="7"/>
        <v>0</v>
      </c>
      <c r="L38" s="4">
        <f>IF($D38&lt;&gt;"Active","",SUMIFS(Scores!$J$4:$J$227,Scores!$B$4:$B$227,$A38,Scores!$R$4:$R$227,$B38)+SUMIFS(Scores!$P$4:$P$227,Scores!$B$4:$B$227,$A38,Scores!$S$4:$S$227,$B38))</f>
        <v>0</v>
      </c>
      <c r="M38" s="4">
        <f>IF($D38&lt;&gt;"Active","",$F38*Setup!$B$10+$G38*Setup!$B$11+$H38*Setup!$B$12)</f>
        <v>0</v>
      </c>
      <c r="N38" s="4">
        <f t="shared" si="8"/>
        <v>0</v>
      </c>
      <c r="O38" s="4">
        <f t="shared" si="9"/>
        <v>10000000.060000001</v>
      </c>
      <c r="P38" s="4">
        <f t="shared" si="10"/>
        <v>3</v>
      </c>
      <c r="Q38" s="4" t="str">
        <f t="shared" si="11"/>
        <v>E-3</v>
      </c>
    </row>
    <row r="39" spans="1:17">
      <c r="A39" s="4" t="s">
        <v>57</v>
      </c>
      <c r="B39" s="4">
        <v>4</v>
      </c>
      <c r="C39" s="4" t="str">
        <f>IF($D39="Active",IFERROR(INDEX(Teams!$D$4:$D$67,MATCH($A39&amp;"-"&amp;$B39,Teams!$E$4:$E$67,0)),""),"")</f>
        <v>Team E4</v>
      </c>
      <c r="D39" s="4" t="str">
        <f>IFERROR(INDEX(Teams!$F$4:$F$67,MATCH($A39&amp;"-"&amp;$B39,Teams!$E$4:$E$67,0)),0)</f>
        <v>Active</v>
      </c>
      <c r="E39" s="4">
        <f>IF($D39&lt;&gt;"Active","",COUNTIFS(Scores!$B$4:$B$227,$A39,Scores!$R$4:$R$227,$B39,Scores!$Q$4:$Q$227,"Complete")+COUNTIFS(Scores!$B$4:$B$227,$A39,Scores!$S$4:$S$227,$B39,Scores!$Q$4:$Q$227,"Complete"))</f>
        <v>0</v>
      </c>
      <c r="F39" s="4">
        <f>IF($D39&lt;&gt;"Active","",SUMIFS(Scores!$T$4:$T$227,Scores!$B$4:$B$227,$A39,Scores!$R$4:$R$227,$B39)+SUMIFS(Scores!$U$4:$U$227,Scores!$B$4:$B$227,$A39,Scores!$S$4:$S$227,$B39))</f>
        <v>0</v>
      </c>
      <c r="G39" s="4">
        <f>IF($D39&lt;&gt;"Active","",SUMIFS(Scores!$V$4:$V$227,Scores!$B$4:$B$227,$A39,Scores!$R$4:$R$227,$B39)+SUMIFS(Scores!$V$4:$V$227,Scores!$B$4:$B$227,$A39,Scores!$S$4:$S$227,$B39))</f>
        <v>0</v>
      </c>
      <c r="H39" s="4">
        <f t="shared" si="6"/>
        <v>0</v>
      </c>
      <c r="I39" s="4">
        <f>IF($D39&lt;&gt;"Active","",SUMIFS(Scores!$F$4:$F$227,Scores!$B$4:$B$227,$A39,Scores!$R$4:$R$227,$B39,Scores!$Q$4:$Q$227,"Complete")+SUMIFS(Scores!$L$4:$L$227,Scores!$B$4:$B$227,$A39,Scores!$S$4:$S$227,$B39,Scores!$Q$4:$Q$227,"Complete"))</f>
        <v>0</v>
      </c>
      <c r="J39" s="4">
        <f>IF($D39&lt;&gt;"Active","",SUMIFS(Scores!$L$4:$L$227,Scores!$B$4:$B$227,$A39,Scores!$R$4:$R$227,$B39,Scores!$Q$4:$Q$227,"Complete")+SUMIFS(Scores!$F$4:$F$227,Scores!$B$4:$B$227,$A39,Scores!$S$4:$S$227,$B39,Scores!$Q$4:$Q$227,"Complete"))</f>
        <v>0</v>
      </c>
      <c r="K39" s="4">
        <f t="shared" si="7"/>
        <v>0</v>
      </c>
      <c r="L39" s="4">
        <f>IF($D39&lt;&gt;"Active","",SUMIFS(Scores!$J$4:$J$227,Scores!$B$4:$B$227,$A39,Scores!$R$4:$R$227,$B39)+SUMIFS(Scores!$P$4:$P$227,Scores!$B$4:$B$227,$A39,Scores!$S$4:$S$227,$B39))</f>
        <v>0</v>
      </c>
      <c r="M39" s="4">
        <f>IF($D39&lt;&gt;"Active","",$F39*Setup!$B$10+$G39*Setup!$B$11+$H39*Setup!$B$12)</f>
        <v>0</v>
      </c>
      <c r="N39" s="4">
        <f t="shared" si="8"/>
        <v>0</v>
      </c>
      <c r="O39" s="4">
        <f t="shared" si="9"/>
        <v>10000000.050000001</v>
      </c>
      <c r="P39" s="4">
        <f t="shared" si="10"/>
        <v>4</v>
      </c>
      <c r="Q39" s="4" t="str">
        <f t="shared" si="11"/>
        <v>E-4</v>
      </c>
    </row>
    <row r="40" spans="1:17">
      <c r="A40" s="4" t="s">
        <v>57</v>
      </c>
      <c r="B40" s="4">
        <v>5</v>
      </c>
      <c r="C40" s="4" t="str">
        <f>IF($D40="Active",IFERROR(INDEX(Teams!$D$4:$D$67,MATCH($A40&amp;"-"&amp;$B40,Teams!$E$4:$E$67,0)),""),"")</f>
        <v>Team E5</v>
      </c>
      <c r="D40" s="4" t="str">
        <f>IFERROR(INDEX(Teams!$F$4:$F$67,MATCH($A40&amp;"-"&amp;$B40,Teams!$E$4:$E$67,0)),0)</f>
        <v>Active</v>
      </c>
      <c r="E40" s="4">
        <f>IF($D40&lt;&gt;"Active","",COUNTIFS(Scores!$B$4:$B$227,$A40,Scores!$R$4:$R$227,$B40,Scores!$Q$4:$Q$227,"Complete")+COUNTIFS(Scores!$B$4:$B$227,$A40,Scores!$S$4:$S$227,$B40,Scores!$Q$4:$Q$227,"Complete"))</f>
        <v>0</v>
      </c>
      <c r="F40" s="4">
        <f>IF($D40&lt;&gt;"Active","",SUMIFS(Scores!$T$4:$T$227,Scores!$B$4:$B$227,$A40,Scores!$R$4:$R$227,$B40)+SUMIFS(Scores!$U$4:$U$227,Scores!$B$4:$B$227,$A40,Scores!$S$4:$S$227,$B40))</f>
        <v>0</v>
      </c>
      <c r="G40" s="4">
        <f>IF($D40&lt;&gt;"Active","",SUMIFS(Scores!$V$4:$V$227,Scores!$B$4:$B$227,$A40,Scores!$R$4:$R$227,$B40)+SUMIFS(Scores!$V$4:$V$227,Scores!$B$4:$B$227,$A40,Scores!$S$4:$S$227,$B40))</f>
        <v>0</v>
      </c>
      <c r="H40" s="4">
        <f t="shared" si="6"/>
        <v>0</v>
      </c>
      <c r="I40" s="4">
        <f>IF($D40&lt;&gt;"Active","",SUMIFS(Scores!$F$4:$F$227,Scores!$B$4:$B$227,$A40,Scores!$R$4:$R$227,$B40,Scores!$Q$4:$Q$227,"Complete")+SUMIFS(Scores!$L$4:$L$227,Scores!$B$4:$B$227,$A40,Scores!$S$4:$S$227,$B40,Scores!$Q$4:$Q$227,"Complete"))</f>
        <v>0</v>
      </c>
      <c r="J40" s="4">
        <f>IF($D40&lt;&gt;"Active","",SUMIFS(Scores!$L$4:$L$227,Scores!$B$4:$B$227,$A40,Scores!$R$4:$R$227,$B40,Scores!$Q$4:$Q$227,"Complete")+SUMIFS(Scores!$F$4:$F$227,Scores!$B$4:$B$227,$A40,Scores!$S$4:$S$227,$B40,Scores!$Q$4:$Q$227,"Complete"))</f>
        <v>0</v>
      </c>
      <c r="K40" s="4">
        <f t="shared" si="7"/>
        <v>0</v>
      </c>
      <c r="L40" s="4">
        <f>IF($D40&lt;&gt;"Active","",SUMIFS(Scores!$J$4:$J$227,Scores!$B$4:$B$227,$A40,Scores!$R$4:$R$227,$B40)+SUMIFS(Scores!$P$4:$P$227,Scores!$B$4:$B$227,$A40,Scores!$S$4:$S$227,$B40))</f>
        <v>0</v>
      </c>
      <c r="M40" s="4">
        <f>IF($D40&lt;&gt;"Active","",$F40*Setup!$B$10+$G40*Setup!$B$11+$H40*Setup!$B$12)</f>
        <v>0</v>
      </c>
      <c r="N40" s="4">
        <f t="shared" si="8"/>
        <v>0</v>
      </c>
      <c r="O40" s="4">
        <f t="shared" si="9"/>
        <v>10000000.039999999</v>
      </c>
      <c r="P40" s="4">
        <f t="shared" si="10"/>
        <v>5</v>
      </c>
      <c r="Q40" s="4" t="str">
        <f t="shared" si="11"/>
        <v>E-5</v>
      </c>
    </row>
    <row r="41" spans="1:17">
      <c r="A41" s="4" t="s">
        <v>57</v>
      </c>
      <c r="B41" s="4">
        <v>6</v>
      </c>
      <c r="C41" s="4" t="str">
        <f>IF($D41="Active",IFERROR(INDEX(Teams!$D$4:$D$67,MATCH($A41&amp;"-"&amp;$B41,Teams!$E$4:$E$67,0)),""),"")</f>
        <v>Team E6</v>
      </c>
      <c r="D41" s="4" t="str">
        <f>IFERROR(INDEX(Teams!$F$4:$F$67,MATCH($A41&amp;"-"&amp;$B41,Teams!$E$4:$E$67,0)),0)</f>
        <v>Active</v>
      </c>
      <c r="E41" s="4">
        <f>IF($D41&lt;&gt;"Active","",COUNTIFS(Scores!$B$4:$B$227,$A41,Scores!$R$4:$R$227,$B41,Scores!$Q$4:$Q$227,"Complete")+COUNTIFS(Scores!$B$4:$B$227,$A41,Scores!$S$4:$S$227,$B41,Scores!$Q$4:$Q$227,"Complete"))</f>
        <v>0</v>
      </c>
      <c r="F41" s="4">
        <f>IF($D41&lt;&gt;"Active","",SUMIFS(Scores!$T$4:$T$227,Scores!$B$4:$B$227,$A41,Scores!$R$4:$R$227,$B41)+SUMIFS(Scores!$U$4:$U$227,Scores!$B$4:$B$227,$A41,Scores!$S$4:$S$227,$B41))</f>
        <v>0</v>
      </c>
      <c r="G41" s="4">
        <f>IF($D41&lt;&gt;"Active","",SUMIFS(Scores!$V$4:$V$227,Scores!$B$4:$B$227,$A41,Scores!$R$4:$R$227,$B41)+SUMIFS(Scores!$V$4:$V$227,Scores!$B$4:$B$227,$A41,Scores!$S$4:$S$227,$B41))</f>
        <v>0</v>
      </c>
      <c r="H41" s="4">
        <f t="shared" si="6"/>
        <v>0</v>
      </c>
      <c r="I41" s="4">
        <f>IF($D41&lt;&gt;"Active","",SUMIFS(Scores!$F$4:$F$227,Scores!$B$4:$B$227,$A41,Scores!$R$4:$R$227,$B41,Scores!$Q$4:$Q$227,"Complete")+SUMIFS(Scores!$L$4:$L$227,Scores!$B$4:$B$227,$A41,Scores!$S$4:$S$227,$B41,Scores!$Q$4:$Q$227,"Complete"))</f>
        <v>0</v>
      </c>
      <c r="J41" s="4">
        <f>IF($D41&lt;&gt;"Active","",SUMIFS(Scores!$L$4:$L$227,Scores!$B$4:$B$227,$A41,Scores!$R$4:$R$227,$B41,Scores!$Q$4:$Q$227,"Complete")+SUMIFS(Scores!$F$4:$F$227,Scores!$B$4:$B$227,$A41,Scores!$S$4:$S$227,$B41,Scores!$Q$4:$Q$227,"Complete"))</f>
        <v>0</v>
      </c>
      <c r="K41" s="4">
        <f t="shared" si="7"/>
        <v>0</v>
      </c>
      <c r="L41" s="4">
        <f>IF($D41&lt;&gt;"Active","",SUMIFS(Scores!$J$4:$J$227,Scores!$B$4:$B$227,$A41,Scores!$R$4:$R$227,$B41)+SUMIFS(Scores!$P$4:$P$227,Scores!$B$4:$B$227,$A41,Scores!$S$4:$S$227,$B41))</f>
        <v>0</v>
      </c>
      <c r="M41" s="4">
        <f>IF($D41&lt;&gt;"Active","",$F41*Setup!$B$10+$G41*Setup!$B$11+$H41*Setup!$B$12)</f>
        <v>0</v>
      </c>
      <c r="N41" s="4">
        <f t="shared" si="8"/>
        <v>0</v>
      </c>
      <c r="O41" s="4">
        <f t="shared" si="9"/>
        <v>10000000.029999999</v>
      </c>
      <c r="P41" s="4">
        <f t="shared" si="10"/>
        <v>6</v>
      </c>
      <c r="Q41" s="4" t="str">
        <f t="shared" si="11"/>
        <v>E-6</v>
      </c>
    </row>
    <row r="42" spans="1:17">
      <c r="A42" s="4" t="s">
        <v>57</v>
      </c>
      <c r="B42" s="4">
        <v>7</v>
      </c>
      <c r="C42" s="4" t="str">
        <f>IF($D42="Active",IFERROR(INDEX(Teams!$D$4:$D$67,MATCH($A42&amp;"-"&amp;$B42,Teams!$E$4:$E$67,0)),""),"")</f>
        <v>Team E7</v>
      </c>
      <c r="D42" s="4" t="str">
        <f>IFERROR(INDEX(Teams!$F$4:$F$67,MATCH($A42&amp;"-"&amp;$B42,Teams!$E$4:$E$67,0)),0)</f>
        <v>Active</v>
      </c>
      <c r="E42" s="4">
        <f>IF($D42&lt;&gt;"Active","",COUNTIFS(Scores!$B$4:$B$227,$A42,Scores!$R$4:$R$227,$B42,Scores!$Q$4:$Q$227,"Complete")+COUNTIFS(Scores!$B$4:$B$227,$A42,Scores!$S$4:$S$227,$B42,Scores!$Q$4:$Q$227,"Complete"))</f>
        <v>0</v>
      </c>
      <c r="F42" s="4">
        <f>IF($D42&lt;&gt;"Active","",SUMIFS(Scores!$T$4:$T$227,Scores!$B$4:$B$227,$A42,Scores!$R$4:$R$227,$B42)+SUMIFS(Scores!$U$4:$U$227,Scores!$B$4:$B$227,$A42,Scores!$S$4:$S$227,$B42))</f>
        <v>0</v>
      </c>
      <c r="G42" s="4">
        <f>IF($D42&lt;&gt;"Active","",SUMIFS(Scores!$V$4:$V$227,Scores!$B$4:$B$227,$A42,Scores!$R$4:$R$227,$B42)+SUMIFS(Scores!$V$4:$V$227,Scores!$B$4:$B$227,$A42,Scores!$S$4:$S$227,$B42))</f>
        <v>0</v>
      </c>
      <c r="H42" s="4">
        <f t="shared" si="6"/>
        <v>0</v>
      </c>
      <c r="I42" s="4">
        <f>IF($D42&lt;&gt;"Active","",SUMIFS(Scores!$F$4:$F$227,Scores!$B$4:$B$227,$A42,Scores!$R$4:$R$227,$B42,Scores!$Q$4:$Q$227,"Complete")+SUMIFS(Scores!$L$4:$L$227,Scores!$B$4:$B$227,$A42,Scores!$S$4:$S$227,$B42,Scores!$Q$4:$Q$227,"Complete"))</f>
        <v>0</v>
      </c>
      <c r="J42" s="4">
        <f>IF($D42&lt;&gt;"Active","",SUMIFS(Scores!$L$4:$L$227,Scores!$B$4:$B$227,$A42,Scores!$R$4:$R$227,$B42,Scores!$Q$4:$Q$227,"Complete")+SUMIFS(Scores!$F$4:$F$227,Scores!$B$4:$B$227,$A42,Scores!$S$4:$S$227,$B42,Scores!$Q$4:$Q$227,"Complete"))</f>
        <v>0</v>
      </c>
      <c r="K42" s="4">
        <f t="shared" si="7"/>
        <v>0</v>
      </c>
      <c r="L42" s="4">
        <f>IF($D42&lt;&gt;"Active","",SUMIFS(Scores!$J$4:$J$227,Scores!$B$4:$B$227,$A42,Scores!$R$4:$R$227,$B42)+SUMIFS(Scores!$P$4:$P$227,Scores!$B$4:$B$227,$A42,Scores!$S$4:$S$227,$B42))</f>
        <v>0</v>
      </c>
      <c r="M42" s="4">
        <f>IF($D42&lt;&gt;"Active","",$F42*Setup!$B$10+$G42*Setup!$B$11+$H42*Setup!$B$12)</f>
        <v>0</v>
      </c>
      <c r="N42" s="4">
        <f t="shared" si="8"/>
        <v>0</v>
      </c>
      <c r="O42" s="4">
        <f t="shared" si="9"/>
        <v>10000000.02</v>
      </c>
      <c r="P42" s="4">
        <f t="shared" si="10"/>
        <v>7</v>
      </c>
      <c r="Q42" s="4" t="str">
        <f t="shared" si="11"/>
        <v>E-7</v>
      </c>
    </row>
    <row r="43" spans="1:17">
      <c r="A43" s="4" t="s">
        <v>57</v>
      </c>
      <c r="B43" s="4">
        <v>8</v>
      </c>
      <c r="C43" s="4" t="str">
        <f>IF($D43="Active",IFERROR(INDEX(Teams!$D$4:$D$67,MATCH($A43&amp;"-"&amp;$B43,Teams!$E$4:$E$67,0)),""),"")</f>
        <v>Team E8</v>
      </c>
      <c r="D43" s="4" t="str">
        <f>IFERROR(INDEX(Teams!$F$4:$F$67,MATCH($A43&amp;"-"&amp;$B43,Teams!$E$4:$E$67,0)),0)</f>
        <v>Active</v>
      </c>
      <c r="E43" s="4">
        <f>IF($D43&lt;&gt;"Active","",COUNTIFS(Scores!$B$4:$B$227,$A43,Scores!$R$4:$R$227,$B43,Scores!$Q$4:$Q$227,"Complete")+COUNTIFS(Scores!$B$4:$B$227,$A43,Scores!$S$4:$S$227,$B43,Scores!$Q$4:$Q$227,"Complete"))</f>
        <v>0</v>
      </c>
      <c r="F43" s="4">
        <f>IF($D43&lt;&gt;"Active","",SUMIFS(Scores!$T$4:$T$227,Scores!$B$4:$B$227,$A43,Scores!$R$4:$R$227,$B43)+SUMIFS(Scores!$U$4:$U$227,Scores!$B$4:$B$227,$A43,Scores!$S$4:$S$227,$B43))</f>
        <v>0</v>
      </c>
      <c r="G43" s="4">
        <f>IF($D43&lt;&gt;"Active","",SUMIFS(Scores!$V$4:$V$227,Scores!$B$4:$B$227,$A43,Scores!$R$4:$R$227,$B43)+SUMIFS(Scores!$V$4:$V$227,Scores!$B$4:$B$227,$A43,Scores!$S$4:$S$227,$B43))</f>
        <v>0</v>
      </c>
      <c r="H43" s="4">
        <f t="shared" si="6"/>
        <v>0</v>
      </c>
      <c r="I43" s="4">
        <f>IF($D43&lt;&gt;"Active","",SUMIFS(Scores!$F$4:$F$227,Scores!$B$4:$B$227,$A43,Scores!$R$4:$R$227,$B43,Scores!$Q$4:$Q$227,"Complete")+SUMIFS(Scores!$L$4:$L$227,Scores!$B$4:$B$227,$A43,Scores!$S$4:$S$227,$B43,Scores!$Q$4:$Q$227,"Complete"))</f>
        <v>0</v>
      </c>
      <c r="J43" s="4">
        <f>IF($D43&lt;&gt;"Active","",SUMIFS(Scores!$L$4:$L$227,Scores!$B$4:$B$227,$A43,Scores!$R$4:$R$227,$B43,Scores!$Q$4:$Q$227,"Complete")+SUMIFS(Scores!$F$4:$F$227,Scores!$B$4:$B$227,$A43,Scores!$S$4:$S$227,$B43,Scores!$Q$4:$Q$227,"Complete"))</f>
        <v>0</v>
      </c>
      <c r="K43" s="4">
        <f t="shared" si="7"/>
        <v>0</v>
      </c>
      <c r="L43" s="4">
        <f>IF($D43&lt;&gt;"Active","",SUMIFS(Scores!$J$4:$J$227,Scores!$B$4:$B$227,$A43,Scores!$R$4:$R$227,$B43)+SUMIFS(Scores!$P$4:$P$227,Scores!$B$4:$B$227,$A43,Scores!$S$4:$S$227,$B43))</f>
        <v>0</v>
      </c>
      <c r="M43" s="4">
        <f>IF($D43&lt;&gt;"Active","",$F43*Setup!$B$10+$G43*Setup!$B$11+$H43*Setup!$B$12)</f>
        <v>0</v>
      </c>
      <c r="N43" s="4">
        <f t="shared" si="8"/>
        <v>0</v>
      </c>
      <c r="O43" s="4">
        <f t="shared" si="9"/>
        <v>10000000.01</v>
      </c>
      <c r="P43" s="4">
        <f t="shared" si="10"/>
        <v>8</v>
      </c>
      <c r="Q43" s="4" t="str">
        <f t="shared" si="11"/>
        <v>E-8</v>
      </c>
    </row>
    <row r="44" spans="1:17">
      <c r="A44" s="4" t="s">
        <v>58</v>
      </c>
      <c r="B44" s="4">
        <v>1</v>
      </c>
      <c r="C44" s="4" t="str">
        <f>IF($D44="Active",IFERROR(INDEX(Teams!$D$4:$D$67,MATCH($A44&amp;"-"&amp;$B44,Teams!$E$4:$E$67,0)),""),"")</f>
        <v>Team F1</v>
      </c>
      <c r="D44" s="4" t="str">
        <f>IFERROR(INDEX(Teams!$F$4:$F$67,MATCH($A44&amp;"-"&amp;$B44,Teams!$E$4:$E$67,0)),0)</f>
        <v>Active</v>
      </c>
      <c r="E44" s="4">
        <f>IF($D44&lt;&gt;"Active","",COUNTIFS(Scores!$B$4:$B$227,$A44,Scores!$R$4:$R$227,$B44,Scores!$Q$4:$Q$227,"Complete")+COUNTIFS(Scores!$B$4:$B$227,$A44,Scores!$S$4:$S$227,$B44,Scores!$Q$4:$Q$227,"Complete"))</f>
        <v>0</v>
      </c>
      <c r="F44" s="4">
        <f>IF($D44&lt;&gt;"Active","",SUMIFS(Scores!$T$4:$T$227,Scores!$B$4:$B$227,$A44,Scores!$R$4:$R$227,$B44)+SUMIFS(Scores!$U$4:$U$227,Scores!$B$4:$B$227,$A44,Scores!$S$4:$S$227,$B44))</f>
        <v>0</v>
      </c>
      <c r="G44" s="4">
        <f>IF($D44&lt;&gt;"Active","",SUMIFS(Scores!$V$4:$V$227,Scores!$B$4:$B$227,$A44,Scores!$R$4:$R$227,$B44)+SUMIFS(Scores!$V$4:$V$227,Scores!$B$4:$B$227,$A44,Scores!$S$4:$S$227,$B44))</f>
        <v>0</v>
      </c>
      <c r="H44" s="4">
        <f t="shared" si="6"/>
        <v>0</v>
      </c>
      <c r="I44" s="4">
        <f>IF($D44&lt;&gt;"Active","",SUMIFS(Scores!$F$4:$F$227,Scores!$B$4:$B$227,$A44,Scores!$R$4:$R$227,$B44,Scores!$Q$4:$Q$227,"Complete")+SUMIFS(Scores!$L$4:$L$227,Scores!$B$4:$B$227,$A44,Scores!$S$4:$S$227,$B44,Scores!$Q$4:$Q$227,"Complete"))</f>
        <v>0</v>
      </c>
      <c r="J44" s="4">
        <f>IF($D44&lt;&gt;"Active","",SUMIFS(Scores!$L$4:$L$227,Scores!$B$4:$B$227,$A44,Scores!$R$4:$R$227,$B44,Scores!$Q$4:$Q$227,"Complete")+SUMIFS(Scores!$F$4:$F$227,Scores!$B$4:$B$227,$A44,Scores!$S$4:$S$227,$B44,Scores!$Q$4:$Q$227,"Complete"))</f>
        <v>0</v>
      </c>
      <c r="K44" s="4">
        <f t="shared" si="7"/>
        <v>0</v>
      </c>
      <c r="L44" s="4">
        <f>IF($D44&lt;&gt;"Active","",SUMIFS(Scores!$J$4:$J$227,Scores!$B$4:$B$227,$A44,Scores!$R$4:$R$227,$B44)+SUMIFS(Scores!$P$4:$P$227,Scores!$B$4:$B$227,$A44,Scores!$S$4:$S$227,$B44))</f>
        <v>0</v>
      </c>
      <c r="M44" s="4">
        <f>IF($D44&lt;&gt;"Active","",$F44*Setup!$B$10+$G44*Setup!$B$11+$H44*Setup!$B$12)</f>
        <v>0</v>
      </c>
      <c r="N44" s="4">
        <f t="shared" si="8"/>
        <v>0</v>
      </c>
      <c r="O44" s="4">
        <f t="shared" si="9"/>
        <v>10000000.08</v>
      </c>
      <c r="P44" s="4">
        <f t="shared" si="10"/>
        <v>1</v>
      </c>
      <c r="Q44" s="4" t="str">
        <f t="shared" si="11"/>
        <v>F-1</v>
      </c>
    </row>
    <row r="45" spans="1:17">
      <c r="A45" s="4" t="s">
        <v>58</v>
      </c>
      <c r="B45" s="4">
        <v>2</v>
      </c>
      <c r="C45" s="4" t="str">
        <f>IF($D45="Active",IFERROR(INDEX(Teams!$D$4:$D$67,MATCH($A45&amp;"-"&amp;$B45,Teams!$E$4:$E$67,0)),""),"")</f>
        <v>Team F2</v>
      </c>
      <c r="D45" s="4" t="str">
        <f>IFERROR(INDEX(Teams!$F$4:$F$67,MATCH($A45&amp;"-"&amp;$B45,Teams!$E$4:$E$67,0)),0)</f>
        <v>Active</v>
      </c>
      <c r="E45" s="4">
        <f>IF($D45&lt;&gt;"Active","",COUNTIFS(Scores!$B$4:$B$227,$A45,Scores!$R$4:$R$227,$B45,Scores!$Q$4:$Q$227,"Complete")+COUNTIFS(Scores!$B$4:$B$227,$A45,Scores!$S$4:$S$227,$B45,Scores!$Q$4:$Q$227,"Complete"))</f>
        <v>0</v>
      </c>
      <c r="F45" s="4">
        <f>IF($D45&lt;&gt;"Active","",SUMIFS(Scores!$T$4:$T$227,Scores!$B$4:$B$227,$A45,Scores!$R$4:$R$227,$B45)+SUMIFS(Scores!$U$4:$U$227,Scores!$B$4:$B$227,$A45,Scores!$S$4:$S$227,$B45))</f>
        <v>0</v>
      </c>
      <c r="G45" s="4">
        <f>IF($D45&lt;&gt;"Active","",SUMIFS(Scores!$V$4:$V$227,Scores!$B$4:$B$227,$A45,Scores!$R$4:$R$227,$B45)+SUMIFS(Scores!$V$4:$V$227,Scores!$B$4:$B$227,$A45,Scores!$S$4:$S$227,$B45))</f>
        <v>0</v>
      </c>
      <c r="H45" s="4">
        <f t="shared" si="6"/>
        <v>0</v>
      </c>
      <c r="I45" s="4">
        <f>IF($D45&lt;&gt;"Active","",SUMIFS(Scores!$F$4:$F$227,Scores!$B$4:$B$227,$A45,Scores!$R$4:$R$227,$B45,Scores!$Q$4:$Q$227,"Complete")+SUMIFS(Scores!$L$4:$L$227,Scores!$B$4:$B$227,$A45,Scores!$S$4:$S$227,$B45,Scores!$Q$4:$Q$227,"Complete"))</f>
        <v>0</v>
      </c>
      <c r="J45" s="4">
        <f>IF($D45&lt;&gt;"Active","",SUMIFS(Scores!$L$4:$L$227,Scores!$B$4:$B$227,$A45,Scores!$R$4:$R$227,$B45,Scores!$Q$4:$Q$227,"Complete")+SUMIFS(Scores!$F$4:$F$227,Scores!$B$4:$B$227,$A45,Scores!$S$4:$S$227,$B45,Scores!$Q$4:$Q$227,"Complete"))</f>
        <v>0</v>
      </c>
      <c r="K45" s="4">
        <f t="shared" si="7"/>
        <v>0</v>
      </c>
      <c r="L45" s="4">
        <f>IF($D45&lt;&gt;"Active","",SUMIFS(Scores!$J$4:$J$227,Scores!$B$4:$B$227,$A45,Scores!$R$4:$R$227,$B45)+SUMIFS(Scores!$P$4:$P$227,Scores!$B$4:$B$227,$A45,Scores!$S$4:$S$227,$B45))</f>
        <v>0</v>
      </c>
      <c r="M45" s="4">
        <f>IF($D45&lt;&gt;"Active","",$F45*Setup!$B$10+$G45*Setup!$B$11+$H45*Setup!$B$12)</f>
        <v>0</v>
      </c>
      <c r="N45" s="4">
        <f t="shared" si="8"/>
        <v>0</v>
      </c>
      <c r="O45" s="4">
        <f t="shared" si="9"/>
        <v>10000000.07</v>
      </c>
      <c r="P45" s="4">
        <f t="shared" si="10"/>
        <v>2</v>
      </c>
      <c r="Q45" s="4" t="str">
        <f t="shared" si="11"/>
        <v>F-2</v>
      </c>
    </row>
    <row r="46" spans="1:17">
      <c r="A46" s="4" t="s">
        <v>58</v>
      </c>
      <c r="B46" s="4">
        <v>3</v>
      </c>
      <c r="C46" s="4" t="str">
        <f>IF($D46="Active",IFERROR(INDEX(Teams!$D$4:$D$67,MATCH($A46&amp;"-"&amp;$B46,Teams!$E$4:$E$67,0)),""),"")</f>
        <v>Team F3</v>
      </c>
      <c r="D46" s="4" t="str">
        <f>IFERROR(INDEX(Teams!$F$4:$F$67,MATCH($A46&amp;"-"&amp;$B46,Teams!$E$4:$E$67,0)),0)</f>
        <v>Active</v>
      </c>
      <c r="E46" s="4">
        <f>IF($D46&lt;&gt;"Active","",COUNTIFS(Scores!$B$4:$B$227,$A46,Scores!$R$4:$R$227,$B46,Scores!$Q$4:$Q$227,"Complete")+COUNTIFS(Scores!$B$4:$B$227,$A46,Scores!$S$4:$S$227,$B46,Scores!$Q$4:$Q$227,"Complete"))</f>
        <v>0</v>
      </c>
      <c r="F46" s="4">
        <f>IF($D46&lt;&gt;"Active","",SUMIFS(Scores!$T$4:$T$227,Scores!$B$4:$B$227,$A46,Scores!$R$4:$R$227,$B46)+SUMIFS(Scores!$U$4:$U$227,Scores!$B$4:$B$227,$A46,Scores!$S$4:$S$227,$B46))</f>
        <v>0</v>
      </c>
      <c r="G46" s="4">
        <f>IF($D46&lt;&gt;"Active","",SUMIFS(Scores!$V$4:$V$227,Scores!$B$4:$B$227,$A46,Scores!$R$4:$R$227,$B46)+SUMIFS(Scores!$V$4:$V$227,Scores!$B$4:$B$227,$A46,Scores!$S$4:$S$227,$B46))</f>
        <v>0</v>
      </c>
      <c r="H46" s="4">
        <f t="shared" si="6"/>
        <v>0</v>
      </c>
      <c r="I46" s="4">
        <f>IF($D46&lt;&gt;"Active","",SUMIFS(Scores!$F$4:$F$227,Scores!$B$4:$B$227,$A46,Scores!$R$4:$R$227,$B46,Scores!$Q$4:$Q$227,"Complete")+SUMIFS(Scores!$L$4:$L$227,Scores!$B$4:$B$227,$A46,Scores!$S$4:$S$227,$B46,Scores!$Q$4:$Q$227,"Complete"))</f>
        <v>0</v>
      </c>
      <c r="J46" s="4">
        <f>IF($D46&lt;&gt;"Active","",SUMIFS(Scores!$L$4:$L$227,Scores!$B$4:$B$227,$A46,Scores!$R$4:$R$227,$B46,Scores!$Q$4:$Q$227,"Complete")+SUMIFS(Scores!$F$4:$F$227,Scores!$B$4:$B$227,$A46,Scores!$S$4:$S$227,$B46,Scores!$Q$4:$Q$227,"Complete"))</f>
        <v>0</v>
      </c>
      <c r="K46" s="4">
        <f t="shared" si="7"/>
        <v>0</v>
      </c>
      <c r="L46" s="4">
        <f>IF($D46&lt;&gt;"Active","",SUMIFS(Scores!$J$4:$J$227,Scores!$B$4:$B$227,$A46,Scores!$R$4:$R$227,$B46)+SUMIFS(Scores!$P$4:$P$227,Scores!$B$4:$B$227,$A46,Scores!$S$4:$S$227,$B46))</f>
        <v>0</v>
      </c>
      <c r="M46" s="4">
        <f>IF($D46&lt;&gt;"Active","",$F46*Setup!$B$10+$G46*Setup!$B$11+$H46*Setup!$B$12)</f>
        <v>0</v>
      </c>
      <c r="N46" s="4">
        <f t="shared" si="8"/>
        <v>0</v>
      </c>
      <c r="O46" s="4">
        <f t="shared" si="9"/>
        <v>10000000.060000001</v>
      </c>
      <c r="P46" s="4">
        <f t="shared" si="10"/>
        <v>3</v>
      </c>
      <c r="Q46" s="4" t="str">
        <f t="shared" si="11"/>
        <v>F-3</v>
      </c>
    </row>
    <row r="47" spans="1:17">
      <c r="A47" s="4" t="s">
        <v>58</v>
      </c>
      <c r="B47" s="4">
        <v>4</v>
      </c>
      <c r="C47" s="4" t="str">
        <f>IF($D47="Active",IFERROR(INDEX(Teams!$D$4:$D$67,MATCH($A47&amp;"-"&amp;$B47,Teams!$E$4:$E$67,0)),""),"")</f>
        <v>Team F4</v>
      </c>
      <c r="D47" s="4" t="str">
        <f>IFERROR(INDEX(Teams!$F$4:$F$67,MATCH($A47&amp;"-"&amp;$B47,Teams!$E$4:$E$67,0)),0)</f>
        <v>Active</v>
      </c>
      <c r="E47" s="4">
        <f>IF($D47&lt;&gt;"Active","",COUNTIFS(Scores!$B$4:$B$227,$A47,Scores!$R$4:$R$227,$B47,Scores!$Q$4:$Q$227,"Complete")+COUNTIFS(Scores!$B$4:$B$227,$A47,Scores!$S$4:$S$227,$B47,Scores!$Q$4:$Q$227,"Complete"))</f>
        <v>0</v>
      </c>
      <c r="F47" s="4">
        <f>IF($D47&lt;&gt;"Active","",SUMIFS(Scores!$T$4:$T$227,Scores!$B$4:$B$227,$A47,Scores!$R$4:$R$227,$B47)+SUMIFS(Scores!$U$4:$U$227,Scores!$B$4:$B$227,$A47,Scores!$S$4:$S$227,$B47))</f>
        <v>0</v>
      </c>
      <c r="G47" s="4">
        <f>IF($D47&lt;&gt;"Active","",SUMIFS(Scores!$V$4:$V$227,Scores!$B$4:$B$227,$A47,Scores!$R$4:$R$227,$B47)+SUMIFS(Scores!$V$4:$V$227,Scores!$B$4:$B$227,$A47,Scores!$S$4:$S$227,$B47))</f>
        <v>0</v>
      </c>
      <c r="H47" s="4">
        <f t="shared" si="6"/>
        <v>0</v>
      </c>
      <c r="I47" s="4">
        <f>IF($D47&lt;&gt;"Active","",SUMIFS(Scores!$F$4:$F$227,Scores!$B$4:$B$227,$A47,Scores!$R$4:$R$227,$B47,Scores!$Q$4:$Q$227,"Complete")+SUMIFS(Scores!$L$4:$L$227,Scores!$B$4:$B$227,$A47,Scores!$S$4:$S$227,$B47,Scores!$Q$4:$Q$227,"Complete"))</f>
        <v>0</v>
      </c>
      <c r="J47" s="4">
        <f>IF($D47&lt;&gt;"Active","",SUMIFS(Scores!$L$4:$L$227,Scores!$B$4:$B$227,$A47,Scores!$R$4:$R$227,$B47,Scores!$Q$4:$Q$227,"Complete")+SUMIFS(Scores!$F$4:$F$227,Scores!$B$4:$B$227,$A47,Scores!$S$4:$S$227,$B47,Scores!$Q$4:$Q$227,"Complete"))</f>
        <v>0</v>
      </c>
      <c r="K47" s="4">
        <f t="shared" si="7"/>
        <v>0</v>
      </c>
      <c r="L47" s="4">
        <f>IF($D47&lt;&gt;"Active","",SUMIFS(Scores!$J$4:$J$227,Scores!$B$4:$B$227,$A47,Scores!$R$4:$R$227,$B47)+SUMIFS(Scores!$P$4:$P$227,Scores!$B$4:$B$227,$A47,Scores!$S$4:$S$227,$B47))</f>
        <v>0</v>
      </c>
      <c r="M47" s="4">
        <f>IF($D47&lt;&gt;"Active","",$F47*Setup!$B$10+$G47*Setup!$B$11+$H47*Setup!$B$12)</f>
        <v>0</v>
      </c>
      <c r="N47" s="4">
        <f t="shared" si="8"/>
        <v>0</v>
      </c>
      <c r="O47" s="4">
        <f t="shared" si="9"/>
        <v>10000000.050000001</v>
      </c>
      <c r="P47" s="4">
        <f t="shared" si="10"/>
        <v>4</v>
      </c>
      <c r="Q47" s="4" t="str">
        <f t="shared" si="11"/>
        <v>F-4</v>
      </c>
    </row>
    <row r="48" spans="1:17">
      <c r="A48" s="4" t="s">
        <v>58</v>
      </c>
      <c r="B48" s="4">
        <v>5</v>
      </c>
      <c r="C48" s="4" t="str">
        <f>IF($D48="Active",IFERROR(INDEX(Teams!$D$4:$D$67,MATCH($A48&amp;"-"&amp;$B48,Teams!$E$4:$E$67,0)),""),"")</f>
        <v>Team F5</v>
      </c>
      <c r="D48" s="4" t="str">
        <f>IFERROR(INDEX(Teams!$F$4:$F$67,MATCH($A48&amp;"-"&amp;$B48,Teams!$E$4:$E$67,0)),0)</f>
        <v>Active</v>
      </c>
      <c r="E48" s="4">
        <f>IF($D48&lt;&gt;"Active","",COUNTIFS(Scores!$B$4:$B$227,$A48,Scores!$R$4:$R$227,$B48,Scores!$Q$4:$Q$227,"Complete")+COUNTIFS(Scores!$B$4:$B$227,$A48,Scores!$S$4:$S$227,$B48,Scores!$Q$4:$Q$227,"Complete"))</f>
        <v>0</v>
      </c>
      <c r="F48" s="4">
        <f>IF($D48&lt;&gt;"Active","",SUMIFS(Scores!$T$4:$T$227,Scores!$B$4:$B$227,$A48,Scores!$R$4:$R$227,$B48)+SUMIFS(Scores!$U$4:$U$227,Scores!$B$4:$B$227,$A48,Scores!$S$4:$S$227,$B48))</f>
        <v>0</v>
      </c>
      <c r="G48" s="4">
        <f>IF($D48&lt;&gt;"Active","",SUMIFS(Scores!$V$4:$V$227,Scores!$B$4:$B$227,$A48,Scores!$R$4:$R$227,$B48)+SUMIFS(Scores!$V$4:$V$227,Scores!$B$4:$B$227,$A48,Scores!$S$4:$S$227,$B48))</f>
        <v>0</v>
      </c>
      <c r="H48" s="4">
        <f t="shared" si="6"/>
        <v>0</v>
      </c>
      <c r="I48" s="4">
        <f>IF($D48&lt;&gt;"Active","",SUMIFS(Scores!$F$4:$F$227,Scores!$B$4:$B$227,$A48,Scores!$R$4:$R$227,$B48,Scores!$Q$4:$Q$227,"Complete")+SUMIFS(Scores!$L$4:$L$227,Scores!$B$4:$B$227,$A48,Scores!$S$4:$S$227,$B48,Scores!$Q$4:$Q$227,"Complete"))</f>
        <v>0</v>
      </c>
      <c r="J48" s="4">
        <f>IF($D48&lt;&gt;"Active","",SUMIFS(Scores!$L$4:$L$227,Scores!$B$4:$B$227,$A48,Scores!$R$4:$R$227,$B48,Scores!$Q$4:$Q$227,"Complete")+SUMIFS(Scores!$F$4:$F$227,Scores!$B$4:$B$227,$A48,Scores!$S$4:$S$227,$B48,Scores!$Q$4:$Q$227,"Complete"))</f>
        <v>0</v>
      </c>
      <c r="K48" s="4">
        <f t="shared" si="7"/>
        <v>0</v>
      </c>
      <c r="L48" s="4">
        <f>IF($D48&lt;&gt;"Active","",SUMIFS(Scores!$J$4:$J$227,Scores!$B$4:$B$227,$A48,Scores!$R$4:$R$227,$B48)+SUMIFS(Scores!$P$4:$P$227,Scores!$B$4:$B$227,$A48,Scores!$S$4:$S$227,$B48))</f>
        <v>0</v>
      </c>
      <c r="M48" s="4">
        <f>IF($D48&lt;&gt;"Active","",$F48*Setup!$B$10+$G48*Setup!$B$11+$H48*Setup!$B$12)</f>
        <v>0</v>
      </c>
      <c r="N48" s="4">
        <f t="shared" si="8"/>
        <v>0</v>
      </c>
      <c r="O48" s="4">
        <f t="shared" si="9"/>
        <v>10000000.039999999</v>
      </c>
      <c r="P48" s="4">
        <f t="shared" si="10"/>
        <v>5</v>
      </c>
      <c r="Q48" s="4" t="str">
        <f t="shared" si="11"/>
        <v>F-5</v>
      </c>
    </row>
    <row r="49" spans="1:17">
      <c r="A49" s="4" t="s">
        <v>58</v>
      </c>
      <c r="B49" s="4">
        <v>6</v>
      </c>
      <c r="C49" s="4" t="str">
        <f>IF($D49="Active",IFERROR(INDEX(Teams!$D$4:$D$67,MATCH($A49&amp;"-"&amp;$B49,Teams!$E$4:$E$67,0)),""),"")</f>
        <v>Team F6</v>
      </c>
      <c r="D49" s="4" t="str">
        <f>IFERROR(INDEX(Teams!$F$4:$F$67,MATCH($A49&amp;"-"&amp;$B49,Teams!$E$4:$E$67,0)),0)</f>
        <v>Active</v>
      </c>
      <c r="E49" s="4">
        <f>IF($D49&lt;&gt;"Active","",COUNTIFS(Scores!$B$4:$B$227,$A49,Scores!$R$4:$R$227,$B49,Scores!$Q$4:$Q$227,"Complete")+COUNTIFS(Scores!$B$4:$B$227,$A49,Scores!$S$4:$S$227,$B49,Scores!$Q$4:$Q$227,"Complete"))</f>
        <v>0</v>
      </c>
      <c r="F49" s="4">
        <f>IF($D49&lt;&gt;"Active","",SUMIFS(Scores!$T$4:$T$227,Scores!$B$4:$B$227,$A49,Scores!$R$4:$R$227,$B49)+SUMIFS(Scores!$U$4:$U$227,Scores!$B$4:$B$227,$A49,Scores!$S$4:$S$227,$B49))</f>
        <v>0</v>
      </c>
      <c r="G49" s="4">
        <f>IF($D49&lt;&gt;"Active","",SUMIFS(Scores!$V$4:$V$227,Scores!$B$4:$B$227,$A49,Scores!$R$4:$R$227,$B49)+SUMIFS(Scores!$V$4:$V$227,Scores!$B$4:$B$227,$A49,Scores!$S$4:$S$227,$B49))</f>
        <v>0</v>
      </c>
      <c r="H49" s="4">
        <f t="shared" si="6"/>
        <v>0</v>
      </c>
      <c r="I49" s="4">
        <f>IF($D49&lt;&gt;"Active","",SUMIFS(Scores!$F$4:$F$227,Scores!$B$4:$B$227,$A49,Scores!$R$4:$R$227,$B49,Scores!$Q$4:$Q$227,"Complete")+SUMIFS(Scores!$L$4:$L$227,Scores!$B$4:$B$227,$A49,Scores!$S$4:$S$227,$B49,Scores!$Q$4:$Q$227,"Complete"))</f>
        <v>0</v>
      </c>
      <c r="J49" s="4">
        <f>IF($D49&lt;&gt;"Active","",SUMIFS(Scores!$L$4:$L$227,Scores!$B$4:$B$227,$A49,Scores!$R$4:$R$227,$B49,Scores!$Q$4:$Q$227,"Complete")+SUMIFS(Scores!$F$4:$F$227,Scores!$B$4:$B$227,$A49,Scores!$S$4:$S$227,$B49,Scores!$Q$4:$Q$227,"Complete"))</f>
        <v>0</v>
      </c>
      <c r="K49" s="4">
        <f t="shared" si="7"/>
        <v>0</v>
      </c>
      <c r="L49" s="4">
        <f>IF($D49&lt;&gt;"Active","",SUMIFS(Scores!$J$4:$J$227,Scores!$B$4:$B$227,$A49,Scores!$R$4:$R$227,$B49)+SUMIFS(Scores!$P$4:$P$227,Scores!$B$4:$B$227,$A49,Scores!$S$4:$S$227,$B49))</f>
        <v>0</v>
      </c>
      <c r="M49" s="4">
        <f>IF($D49&lt;&gt;"Active","",$F49*Setup!$B$10+$G49*Setup!$B$11+$H49*Setup!$B$12)</f>
        <v>0</v>
      </c>
      <c r="N49" s="4">
        <f t="shared" si="8"/>
        <v>0</v>
      </c>
      <c r="O49" s="4">
        <f t="shared" si="9"/>
        <v>10000000.029999999</v>
      </c>
      <c r="P49" s="4">
        <f t="shared" si="10"/>
        <v>6</v>
      </c>
      <c r="Q49" s="4" t="str">
        <f t="shared" si="11"/>
        <v>F-6</v>
      </c>
    </row>
    <row r="50" spans="1:17">
      <c r="A50" s="4" t="s">
        <v>58</v>
      </c>
      <c r="B50" s="4">
        <v>7</v>
      </c>
      <c r="C50" s="4" t="str">
        <f>IF($D50="Active",IFERROR(INDEX(Teams!$D$4:$D$67,MATCH($A50&amp;"-"&amp;$B50,Teams!$E$4:$E$67,0)),""),"")</f>
        <v>Team F7</v>
      </c>
      <c r="D50" s="4" t="str">
        <f>IFERROR(INDEX(Teams!$F$4:$F$67,MATCH($A50&amp;"-"&amp;$B50,Teams!$E$4:$E$67,0)),0)</f>
        <v>Active</v>
      </c>
      <c r="E50" s="4">
        <f>IF($D50&lt;&gt;"Active","",COUNTIFS(Scores!$B$4:$B$227,$A50,Scores!$R$4:$R$227,$B50,Scores!$Q$4:$Q$227,"Complete")+COUNTIFS(Scores!$B$4:$B$227,$A50,Scores!$S$4:$S$227,$B50,Scores!$Q$4:$Q$227,"Complete"))</f>
        <v>0</v>
      </c>
      <c r="F50" s="4">
        <f>IF($D50&lt;&gt;"Active","",SUMIFS(Scores!$T$4:$T$227,Scores!$B$4:$B$227,$A50,Scores!$R$4:$R$227,$B50)+SUMIFS(Scores!$U$4:$U$227,Scores!$B$4:$B$227,$A50,Scores!$S$4:$S$227,$B50))</f>
        <v>0</v>
      </c>
      <c r="G50" s="4">
        <f>IF($D50&lt;&gt;"Active","",SUMIFS(Scores!$V$4:$V$227,Scores!$B$4:$B$227,$A50,Scores!$R$4:$R$227,$B50)+SUMIFS(Scores!$V$4:$V$227,Scores!$B$4:$B$227,$A50,Scores!$S$4:$S$227,$B50))</f>
        <v>0</v>
      </c>
      <c r="H50" s="4">
        <f t="shared" si="6"/>
        <v>0</v>
      </c>
      <c r="I50" s="4">
        <f>IF($D50&lt;&gt;"Active","",SUMIFS(Scores!$F$4:$F$227,Scores!$B$4:$B$227,$A50,Scores!$R$4:$R$227,$B50,Scores!$Q$4:$Q$227,"Complete")+SUMIFS(Scores!$L$4:$L$227,Scores!$B$4:$B$227,$A50,Scores!$S$4:$S$227,$B50,Scores!$Q$4:$Q$227,"Complete"))</f>
        <v>0</v>
      </c>
      <c r="J50" s="4">
        <f>IF($D50&lt;&gt;"Active","",SUMIFS(Scores!$L$4:$L$227,Scores!$B$4:$B$227,$A50,Scores!$R$4:$R$227,$B50,Scores!$Q$4:$Q$227,"Complete")+SUMIFS(Scores!$F$4:$F$227,Scores!$B$4:$B$227,$A50,Scores!$S$4:$S$227,$B50,Scores!$Q$4:$Q$227,"Complete"))</f>
        <v>0</v>
      </c>
      <c r="K50" s="4">
        <f t="shared" si="7"/>
        <v>0</v>
      </c>
      <c r="L50" s="4">
        <f>IF($D50&lt;&gt;"Active","",SUMIFS(Scores!$J$4:$J$227,Scores!$B$4:$B$227,$A50,Scores!$R$4:$R$227,$B50)+SUMIFS(Scores!$P$4:$P$227,Scores!$B$4:$B$227,$A50,Scores!$S$4:$S$227,$B50))</f>
        <v>0</v>
      </c>
      <c r="M50" s="4">
        <f>IF($D50&lt;&gt;"Active","",$F50*Setup!$B$10+$G50*Setup!$B$11+$H50*Setup!$B$12)</f>
        <v>0</v>
      </c>
      <c r="N50" s="4">
        <f t="shared" si="8"/>
        <v>0</v>
      </c>
      <c r="O50" s="4">
        <f t="shared" si="9"/>
        <v>10000000.02</v>
      </c>
      <c r="P50" s="4">
        <f t="shared" si="10"/>
        <v>7</v>
      </c>
      <c r="Q50" s="4" t="str">
        <f t="shared" si="11"/>
        <v>F-7</v>
      </c>
    </row>
    <row r="51" spans="1:17">
      <c r="A51" s="4" t="s">
        <v>58</v>
      </c>
      <c r="B51" s="4">
        <v>8</v>
      </c>
      <c r="C51" s="4" t="str">
        <f>IF($D51="Active",IFERROR(INDEX(Teams!$D$4:$D$67,MATCH($A51&amp;"-"&amp;$B51,Teams!$E$4:$E$67,0)),""),"")</f>
        <v>Team F8</v>
      </c>
      <c r="D51" s="4" t="str">
        <f>IFERROR(INDEX(Teams!$F$4:$F$67,MATCH($A51&amp;"-"&amp;$B51,Teams!$E$4:$E$67,0)),0)</f>
        <v>Active</v>
      </c>
      <c r="E51" s="4">
        <f>IF($D51&lt;&gt;"Active","",COUNTIFS(Scores!$B$4:$B$227,$A51,Scores!$R$4:$R$227,$B51,Scores!$Q$4:$Q$227,"Complete")+COUNTIFS(Scores!$B$4:$B$227,$A51,Scores!$S$4:$S$227,$B51,Scores!$Q$4:$Q$227,"Complete"))</f>
        <v>0</v>
      </c>
      <c r="F51" s="4">
        <f>IF($D51&lt;&gt;"Active","",SUMIFS(Scores!$T$4:$T$227,Scores!$B$4:$B$227,$A51,Scores!$R$4:$R$227,$B51)+SUMIFS(Scores!$U$4:$U$227,Scores!$B$4:$B$227,$A51,Scores!$S$4:$S$227,$B51))</f>
        <v>0</v>
      </c>
      <c r="G51" s="4">
        <f>IF($D51&lt;&gt;"Active","",SUMIFS(Scores!$V$4:$V$227,Scores!$B$4:$B$227,$A51,Scores!$R$4:$R$227,$B51)+SUMIFS(Scores!$V$4:$V$227,Scores!$B$4:$B$227,$A51,Scores!$S$4:$S$227,$B51))</f>
        <v>0</v>
      </c>
      <c r="H51" s="4">
        <f t="shared" si="6"/>
        <v>0</v>
      </c>
      <c r="I51" s="4">
        <f>IF($D51&lt;&gt;"Active","",SUMIFS(Scores!$F$4:$F$227,Scores!$B$4:$B$227,$A51,Scores!$R$4:$R$227,$B51,Scores!$Q$4:$Q$227,"Complete")+SUMIFS(Scores!$L$4:$L$227,Scores!$B$4:$B$227,$A51,Scores!$S$4:$S$227,$B51,Scores!$Q$4:$Q$227,"Complete"))</f>
        <v>0</v>
      </c>
      <c r="J51" s="4">
        <f>IF($D51&lt;&gt;"Active","",SUMIFS(Scores!$L$4:$L$227,Scores!$B$4:$B$227,$A51,Scores!$R$4:$R$227,$B51,Scores!$Q$4:$Q$227,"Complete")+SUMIFS(Scores!$F$4:$F$227,Scores!$B$4:$B$227,$A51,Scores!$S$4:$S$227,$B51,Scores!$Q$4:$Q$227,"Complete"))</f>
        <v>0</v>
      </c>
      <c r="K51" s="4">
        <f t="shared" si="7"/>
        <v>0</v>
      </c>
      <c r="L51" s="4">
        <f>IF($D51&lt;&gt;"Active","",SUMIFS(Scores!$J$4:$J$227,Scores!$B$4:$B$227,$A51,Scores!$R$4:$R$227,$B51)+SUMIFS(Scores!$P$4:$P$227,Scores!$B$4:$B$227,$A51,Scores!$S$4:$S$227,$B51))</f>
        <v>0</v>
      </c>
      <c r="M51" s="4">
        <f>IF($D51&lt;&gt;"Active","",$F51*Setup!$B$10+$G51*Setup!$B$11+$H51*Setup!$B$12)</f>
        <v>0</v>
      </c>
      <c r="N51" s="4">
        <f t="shared" si="8"/>
        <v>0</v>
      </c>
      <c r="O51" s="4">
        <f t="shared" si="9"/>
        <v>10000000.01</v>
      </c>
      <c r="P51" s="4">
        <f t="shared" si="10"/>
        <v>8</v>
      </c>
      <c r="Q51" s="4" t="str">
        <f t="shared" si="11"/>
        <v>F-8</v>
      </c>
    </row>
    <row r="52" spans="1:17">
      <c r="A52" s="4" t="s">
        <v>59</v>
      </c>
      <c r="B52" s="4">
        <v>1</v>
      </c>
      <c r="C52" s="4" t="str">
        <f>IF($D52="Active",IFERROR(INDEX(Teams!$D$4:$D$67,MATCH($A52&amp;"-"&amp;$B52,Teams!$E$4:$E$67,0)),""),"")</f>
        <v>Team G1</v>
      </c>
      <c r="D52" s="4" t="str">
        <f>IFERROR(INDEX(Teams!$F$4:$F$67,MATCH($A52&amp;"-"&amp;$B52,Teams!$E$4:$E$67,0)),0)</f>
        <v>Active</v>
      </c>
      <c r="E52" s="4">
        <f>IF($D52&lt;&gt;"Active","",COUNTIFS(Scores!$B$4:$B$227,$A52,Scores!$R$4:$R$227,$B52,Scores!$Q$4:$Q$227,"Complete")+COUNTIFS(Scores!$B$4:$B$227,$A52,Scores!$S$4:$S$227,$B52,Scores!$Q$4:$Q$227,"Complete"))</f>
        <v>0</v>
      </c>
      <c r="F52" s="4">
        <f>IF($D52&lt;&gt;"Active","",SUMIFS(Scores!$T$4:$T$227,Scores!$B$4:$B$227,$A52,Scores!$R$4:$R$227,$B52)+SUMIFS(Scores!$U$4:$U$227,Scores!$B$4:$B$227,$A52,Scores!$S$4:$S$227,$B52))</f>
        <v>0</v>
      </c>
      <c r="G52" s="4">
        <f>IF($D52&lt;&gt;"Active","",SUMIFS(Scores!$V$4:$V$227,Scores!$B$4:$B$227,$A52,Scores!$R$4:$R$227,$B52)+SUMIFS(Scores!$V$4:$V$227,Scores!$B$4:$B$227,$A52,Scores!$S$4:$S$227,$B52))</f>
        <v>0</v>
      </c>
      <c r="H52" s="4">
        <f t="shared" si="6"/>
        <v>0</v>
      </c>
      <c r="I52" s="4">
        <f>IF($D52&lt;&gt;"Active","",SUMIFS(Scores!$F$4:$F$227,Scores!$B$4:$B$227,$A52,Scores!$R$4:$R$227,$B52,Scores!$Q$4:$Q$227,"Complete")+SUMIFS(Scores!$L$4:$L$227,Scores!$B$4:$B$227,$A52,Scores!$S$4:$S$227,$B52,Scores!$Q$4:$Q$227,"Complete"))</f>
        <v>0</v>
      </c>
      <c r="J52" s="4">
        <f>IF($D52&lt;&gt;"Active","",SUMIFS(Scores!$L$4:$L$227,Scores!$B$4:$B$227,$A52,Scores!$R$4:$R$227,$B52,Scores!$Q$4:$Q$227,"Complete")+SUMIFS(Scores!$F$4:$F$227,Scores!$B$4:$B$227,$A52,Scores!$S$4:$S$227,$B52,Scores!$Q$4:$Q$227,"Complete"))</f>
        <v>0</v>
      </c>
      <c r="K52" s="4">
        <f t="shared" si="7"/>
        <v>0</v>
      </c>
      <c r="L52" s="4">
        <f>IF($D52&lt;&gt;"Active","",SUMIFS(Scores!$J$4:$J$227,Scores!$B$4:$B$227,$A52,Scores!$R$4:$R$227,$B52)+SUMIFS(Scores!$P$4:$P$227,Scores!$B$4:$B$227,$A52,Scores!$S$4:$S$227,$B52))</f>
        <v>0</v>
      </c>
      <c r="M52" s="4">
        <f>IF($D52&lt;&gt;"Active","",$F52*Setup!$B$10+$G52*Setup!$B$11+$H52*Setup!$B$12)</f>
        <v>0</v>
      </c>
      <c r="N52" s="4">
        <f t="shared" si="8"/>
        <v>0</v>
      </c>
      <c r="O52" s="4">
        <f t="shared" si="9"/>
        <v>10000000.08</v>
      </c>
      <c r="P52" s="4">
        <f t="shared" si="10"/>
        <v>1</v>
      </c>
      <c r="Q52" s="4" t="str">
        <f t="shared" si="11"/>
        <v>G-1</v>
      </c>
    </row>
    <row r="53" spans="1:17">
      <c r="A53" s="4" t="s">
        <v>59</v>
      </c>
      <c r="B53" s="4">
        <v>2</v>
      </c>
      <c r="C53" s="4" t="str">
        <f>IF($D53="Active",IFERROR(INDEX(Teams!$D$4:$D$67,MATCH($A53&amp;"-"&amp;$B53,Teams!$E$4:$E$67,0)),""),"")</f>
        <v>Team G2</v>
      </c>
      <c r="D53" s="4" t="str">
        <f>IFERROR(INDEX(Teams!$F$4:$F$67,MATCH($A53&amp;"-"&amp;$B53,Teams!$E$4:$E$67,0)),0)</f>
        <v>Active</v>
      </c>
      <c r="E53" s="4">
        <f>IF($D53&lt;&gt;"Active","",COUNTIFS(Scores!$B$4:$B$227,$A53,Scores!$R$4:$R$227,$B53,Scores!$Q$4:$Q$227,"Complete")+COUNTIFS(Scores!$B$4:$B$227,$A53,Scores!$S$4:$S$227,$B53,Scores!$Q$4:$Q$227,"Complete"))</f>
        <v>0</v>
      </c>
      <c r="F53" s="4">
        <f>IF($D53&lt;&gt;"Active","",SUMIFS(Scores!$T$4:$T$227,Scores!$B$4:$B$227,$A53,Scores!$R$4:$R$227,$B53)+SUMIFS(Scores!$U$4:$U$227,Scores!$B$4:$B$227,$A53,Scores!$S$4:$S$227,$B53))</f>
        <v>0</v>
      </c>
      <c r="G53" s="4">
        <f>IF($D53&lt;&gt;"Active","",SUMIFS(Scores!$V$4:$V$227,Scores!$B$4:$B$227,$A53,Scores!$R$4:$R$227,$B53)+SUMIFS(Scores!$V$4:$V$227,Scores!$B$4:$B$227,$A53,Scores!$S$4:$S$227,$B53))</f>
        <v>0</v>
      </c>
      <c r="H53" s="4">
        <f t="shared" si="6"/>
        <v>0</v>
      </c>
      <c r="I53" s="4">
        <f>IF($D53&lt;&gt;"Active","",SUMIFS(Scores!$F$4:$F$227,Scores!$B$4:$B$227,$A53,Scores!$R$4:$R$227,$B53,Scores!$Q$4:$Q$227,"Complete")+SUMIFS(Scores!$L$4:$L$227,Scores!$B$4:$B$227,$A53,Scores!$S$4:$S$227,$B53,Scores!$Q$4:$Q$227,"Complete"))</f>
        <v>0</v>
      </c>
      <c r="J53" s="4">
        <f>IF($D53&lt;&gt;"Active","",SUMIFS(Scores!$L$4:$L$227,Scores!$B$4:$B$227,$A53,Scores!$R$4:$R$227,$B53,Scores!$Q$4:$Q$227,"Complete")+SUMIFS(Scores!$F$4:$F$227,Scores!$B$4:$B$227,$A53,Scores!$S$4:$S$227,$B53,Scores!$Q$4:$Q$227,"Complete"))</f>
        <v>0</v>
      </c>
      <c r="K53" s="4">
        <f t="shared" si="7"/>
        <v>0</v>
      </c>
      <c r="L53" s="4">
        <f>IF($D53&lt;&gt;"Active","",SUMIFS(Scores!$J$4:$J$227,Scores!$B$4:$B$227,$A53,Scores!$R$4:$R$227,$B53)+SUMIFS(Scores!$P$4:$P$227,Scores!$B$4:$B$227,$A53,Scores!$S$4:$S$227,$B53))</f>
        <v>0</v>
      </c>
      <c r="M53" s="4">
        <f>IF($D53&lt;&gt;"Active","",$F53*Setup!$B$10+$G53*Setup!$B$11+$H53*Setup!$B$12)</f>
        <v>0</v>
      </c>
      <c r="N53" s="4">
        <f t="shared" si="8"/>
        <v>0</v>
      </c>
      <c r="O53" s="4">
        <f t="shared" si="9"/>
        <v>10000000.07</v>
      </c>
      <c r="P53" s="4">
        <f t="shared" si="10"/>
        <v>2</v>
      </c>
      <c r="Q53" s="4" t="str">
        <f t="shared" si="11"/>
        <v>G-2</v>
      </c>
    </row>
    <row r="54" spans="1:17">
      <c r="A54" s="4" t="s">
        <v>59</v>
      </c>
      <c r="B54" s="4">
        <v>3</v>
      </c>
      <c r="C54" s="4" t="str">
        <f>IF($D54="Active",IFERROR(INDEX(Teams!$D$4:$D$67,MATCH($A54&amp;"-"&amp;$B54,Teams!$E$4:$E$67,0)),""),"")</f>
        <v>Team G3</v>
      </c>
      <c r="D54" s="4" t="str">
        <f>IFERROR(INDEX(Teams!$F$4:$F$67,MATCH($A54&amp;"-"&amp;$B54,Teams!$E$4:$E$67,0)),0)</f>
        <v>Active</v>
      </c>
      <c r="E54" s="4">
        <f>IF($D54&lt;&gt;"Active","",COUNTIFS(Scores!$B$4:$B$227,$A54,Scores!$R$4:$R$227,$B54,Scores!$Q$4:$Q$227,"Complete")+COUNTIFS(Scores!$B$4:$B$227,$A54,Scores!$S$4:$S$227,$B54,Scores!$Q$4:$Q$227,"Complete"))</f>
        <v>0</v>
      </c>
      <c r="F54" s="4">
        <f>IF($D54&lt;&gt;"Active","",SUMIFS(Scores!$T$4:$T$227,Scores!$B$4:$B$227,$A54,Scores!$R$4:$R$227,$B54)+SUMIFS(Scores!$U$4:$U$227,Scores!$B$4:$B$227,$A54,Scores!$S$4:$S$227,$B54))</f>
        <v>0</v>
      </c>
      <c r="G54" s="4">
        <f>IF($D54&lt;&gt;"Active","",SUMIFS(Scores!$V$4:$V$227,Scores!$B$4:$B$227,$A54,Scores!$R$4:$R$227,$B54)+SUMIFS(Scores!$V$4:$V$227,Scores!$B$4:$B$227,$A54,Scores!$S$4:$S$227,$B54))</f>
        <v>0</v>
      </c>
      <c r="H54" s="4">
        <f t="shared" si="6"/>
        <v>0</v>
      </c>
      <c r="I54" s="4">
        <f>IF($D54&lt;&gt;"Active","",SUMIFS(Scores!$F$4:$F$227,Scores!$B$4:$B$227,$A54,Scores!$R$4:$R$227,$B54,Scores!$Q$4:$Q$227,"Complete")+SUMIFS(Scores!$L$4:$L$227,Scores!$B$4:$B$227,$A54,Scores!$S$4:$S$227,$B54,Scores!$Q$4:$Q$227,"Complete"))</f>
        <v>0</v>
      </c>
      <c r="J54" s="4">
        <f>IF($D54&lt;&gt;"Active","",SUMIFS(Scores!$L$4:$L$227,Scores!$B$4:$B$227,$A54,Scores!$R$4:$R$227,$B54,Scores!$Q$4:$Q$227,"Complete")+SUMIFS(Scores!$F$4:$F$227,Scores!$B$4:$B$227,$A54,Scores!$S$4:$S$227,$B54,Scores!$Q$4:$Q$227,"Complete"))</f>
        <v>0</v>
      </c>
      <c r="K54" s="4">
        <f t="shared" si="7"/>
        <v>0</v>
      </c>
      <c r="L54" s="4">
        <f>IF($D54&lt;&gt;"Active","",SUMIFS(Scores!$J$4:$J$227,Scores!$B$4:$B$227,$A54,Scores!$R$4:$R$227,$B54)+SUMIFS(Scores!$P$4:$P$227,Scores!$B$4:$B$227,$A54,Scores!$S$4:$S$227,$B54))</f>
        <v>0</v>
      </c>
      <c r="M54" s="4">
        <f>IF($D54&lt;&gt;"Active","",$F54*Setup!$B$10+$G54*Setup!$B$11+$H54*Setup!$B$12)</f>
        <v>0</v>
      </c>
      <c r="N54" s="4">
        <f t="shared" si="8"/>
        <v>0</v>
      </c>
      <c r="O54" s="4">
        <f t="shared" si="9"/>
        <v>10000000.060000001</v>
      </c>
      <c r="P54" s="4">
        <f t="shared" si="10"/>
        <v>3</v>
      </c>
      <c r="Q54" s="4" t="str">
        <f t="shared" si="11"/>
        <v>G-3</v>
      </c>
    </row>
    <row r="55" spans="1:17">
      <c r="A55" s="4" t="s">
        <v>59</v>
      </c>
      <c r="B55" s="4">
        <v>4</v>
      </c>
      <c r="C55" s="4" t="str">
        <f>IF($D55="Active",IFERROR(INDEX(Teams!$D$4:$D$67,MATCH($A55&amp;"-"&amp;$B55,Teams!$E$4:$E$67,0)),""),"")</f>
        <v>Team G4</v>
      </c>
      <c r="D55" s="4" t="str">
        <f>IFERROR(INDEX(Teams!$F$4:$F$67,MATCH($A55&amp;"-"&amp;$B55,Teams!$E$4:$E$67,0)),0)</f>
        <v>Active</v>
      </c>
      <c r="E55" s="4">
        <f>IF($D55&lt;&gt;"Active","",COUNTIFS(Scores!$B$4:$B$227,$A55,Scores!$R$4:$R$227,$B55,Scores!$Q$4:$Q$227,"Complete")+COUNTIFS(Scores!$B$4:$B$227,$A55,Scores!$S$4:$S$227,$B55,Scores!$Q$4:$Q$227,"Complete"))</f>
        <v>0</v>
      </c>
      <c r="F55" s="4">
        <f>IF($D55&lt;&gt;"Active","",SUMIFS(Scores!$T$4:$T$227,Scores!$B$4:$B$227,$A55,Scores!$R$4:$R$227,$B55)+SUMIFS(Scores!$U$4:$U$227,Scores!$B$4:$B$227,$A55,Scores!$S$4:$S$227,$B55))</f>
        <v>0</v>
      </c>
      <c r="G55" s="4">
        <f>IF($D55&lt;&gt;"Active","",SUMIFS(Scores!$V$4:$V$227,Scores!$B$4:$B$227,$A55,Scores!$R$4:$R$227,$B55)+SUMIFS(Scores!$V$4:$V$227,Scores!$B$4:$B$227,$A55,Scores!$S$4:$S$227,$B55))</f>
        <v>0</v>
      </c>
      <c r="H55" s="4">
        <f t="shared" si="6"/>
        <v>0</v>
      </c>
      <c r="I55" s="4">
        <f>IF($D55&lt;&gt;"Active","",SUMIFS(Scores!$F$4:$F$227,Scores!$B$4:$B$227,$A55,Scores!$R$4:$R$227,$B55,Scores!$Q$4:$Q$227,"Complete")+SUMIFS(Scores!$L$4:$L$227,Scores!$B$4:$B$227,$A55,Scores!$S$4:$S$227,$B55,Scores!$Q$4:$Q$227,"Complete"))</f>
        <v>0</v>
      </c>
      <c r="J55" s="4">
        <f>IF($D55&lt;&gt;"Active","",SUMIFS(Scores!$L$4:$L$227,Scores!$B$4:$B$227,$A55,Scores!$R$4:$R$227,$B55,Scores!$Q$4:$Q$227,"Complete")+SUMIFS(Scores!$F$4:$F$227,Scores!$B$4:$B$227,$A55,Scores!$S$4:$S$227,$B55,Scores!$Q$4:$Q$227,"Complete"))</f>
        <v>0</v>
      </c>
      <c r="K55" s="4">
        <f t="shared" si="7"/>
        <v>0</v>
      </c>
      <c r="L55" s="4">
        <f>IF($D55&lt;&gt;"Active","",SUMIFS(Scores!$J$4:$J$227,Scores!$B$4:$B$227,$A55,Scores!$R$4:$R$227,$B55)+SUMIFS(Scores!$P$4:$P$227,Scores!$B$4:$B$227,$A55,Scores!$S$4:$S$227,$B55))</f>
        <v>0</v>
      </c>
      <c r="M55" s="4">
        <f>IF($D55&lt;&gt;"Active","",$F55*Setup!$B$10+$G55*Setup!$B$11+$H55*Setup!$B$12)</f>
        <v>0</v>
      </c>
      <c r="N55" s="4">
        <f t="shared" si="8"/>
        <v>0</v>
      </c>
      <c r="O55" s="4">
        <f t="shared" si="9"/>
        <v>10000000.050000001</v>
      </c>
      <c r="P55" s="4">
        <f t="shared" si="10"/>
        <v>4</v>
      </c>
      <c r="Q55" s="4" t="str">
        <f t="shared" si="11"/>
        <v>G-4</v>
      </c>
    </row>
    <row r="56" spans="1:17">
      <c r="A56" s="4" t="s">
        <v>59</v>
      </c>
      <c r="B56" s="4">
        <v>5</v>
      </c>
      <c r="C56" s="4" t="str">
        <f>IF($D56="Active",IFERROR(INDEX(Teams!$D$4:$D$67,MATCH($A56&amp;"-"&amp;$B56,Teams!$E$4:$E$67,0)),""),"")</f>
        <v>Team G5</v>
      </c>
      <c r="D56" s="4" t="str">
        <f>IFERROR(INDEX(Teams!$F$4:$F$67,MATCH($A56&amp;"-"&amp;$B56,Teams!$E$4:$E$67,0)),0)</f>
        <v>Active</v>
      </c>
      <c r="E56" s="4">
        <f>IF($D56&lt;&gt;"Active","",COUNTIFS(Scores!$B$4:$B$227,$A56,Scores!$R$4:$R$227,$B56,Scores!$Q$4:$Q$227,"Complete")+COUNTIFS(Scores!$B$4:$B$227,$A56,Scores!$S$4:$S$227,$B56,Scores!$Q$4:$Q$227,"Complete"))</f>
        <v>0</v>
      </c>
      <c r="F56" s="4">
        <f>IF($D56&lt;&gt;"Active","",SUMIFS(Scores!$T$4:$T$227,Scores!$B$4:$B$227,$A56,Scores!$R$4:$R$227,$B56)+SUMIFS(Scores!$U$4:$U$227,Scores!$B$4:$B$227,$A56,Scores!$S$4:$S$227,$B56))</f>
        <v>0</v>
      </c>
      <c r="G56" s="4">
        <f>IF($D56&lt;&gt;"Active","",SUMIFS(Scores!$V$4:$V$227,Scores!$B$4:$B$227,$A56,Scores!$R$4:$R$227,$B56)+SUMIFS(Scores!$V$4:$V$227,Scores!$B$4:$B$227,$A56,Scores!$S$4:$S$227,$B56))</f>
        <v>0</v>
      </c>
      <c r="H56" s="4">
        <f t="shared" si="6"/>
        <v>0</v>
      </c>
      <c r="I56" s="4">
        <f>IF($D56&lt;&gt;"Active","",SUMIFS(Scores!$F$4:$F$227,Scores!$B$4:$B$227,$A56,Scores!$R$4:$R$227,$B56,Scores!$Q$4:$Q$227,"Complete")+SUMIFS(Scores!$L$4:$L$227,Scores!$B$4:$B$227,$A56,Scores!$S$4:$S$227,$B56,Scores!$Q$4:$Q$227,"Complete"))</f>
        <v>0</v>
      </c>
      <c r="J56" s="4">
        <f>IF($D56&lt;&gt;"Active","",SUMIFS(Scores!$L$4:$L$227,Scores!$B$4:$B$227,$A56,Scores!$R$4:$R$227,$B56,Scores!$Q$4:$Q$227,"Complete")+SUMIFS(Scores!$F$4:$F$227,Scores!$B$4:$B$227,$A56,Scores!$S$4:$S$227,$B56,Scores!$Q$4:$Q$227,"Complete"))</f>
        <v>0</v>
      </c>
      <c r="K56" s="4">
        <f t="shared" si="7"/>
        <v>0</v>
      </c>
      <c r="L56" s="4">
        <f>IF($D56&lt;&gt;"Active","",SUMIFS(Scores!$J$4:$J$227,Scores!$B$4:$B$227,$A56,Scores!$R$4:$R$227,$B56)+SUMIFS(Scores!$P$4:$P$227,Scores!$B$4:$B$227,$A56,Scores!$S$4:$S$227,$B56))</f>
        <v>0</v>
      </c>
      <c r="M56" s="4">
        <f>IF($D56&lt;&gt;"Active","",$F56*Setup!$B$10+$G56*Setup!$B$11+$H56*Setup!$B$12)</f>
        <v>0</v>
      </c>
      <c r="N56" s="4">
        <f t="shared" si="8"/>
        <v>0</v>
      </c>
      <c r="O56" s="4">
        <f t="shared" si="9"/>
        <v>10000000.039999999</v>
      </c>
      <c r="P56" s="4">
        <f t="shared" si="10"/>
        <v>5</v>
      </c>
      <c r="Q56" s="4" t="str">
        <f t="shared" si="11"/>
        <v>G-5</v>
      </c>
    </row>
    <row r="57" spans="1:17">
      <c r="A57" s="4" t="s">
        <v>59</v>
      </c>
      <c r="B57" s="4">
        <v>6</v>
      </c>
      <c r="C57" s="4" t="str">
        <f>IF($D57="Active",IFERROR(INDEX(Teams!$D$4:$D$67,MATCH($A57&amp;"-"&amp;$B57,Teams!$E$4:$E$67,0)),""),"")</f>
        <v>Team G6</v>
      </c>
      <c r="D57" s="4" t="str">
        <f>IFERROR(INDEX(Teams!$F$4:$F$67,MATCH($A57&amp;"-"&amp;$B57,Teams!$E$4:$E$67,0)),0)</f>
        <v>Active</v>
      </c>
      <c r="E57" s="4">
        <f>IF($D57&lt;&gt;"Active","",COUNTIFS(Scores!$B$4:$B$227,$A57,Scores!$R$4:$R$227,$B57,Scores!$Q$4:$Q$227,"Complete")+COUNTIFS(Scores!$B$4:$B$227,$A57,Scores!$S$4:$S$227,$B57,Scores!$Q$4:$Q$227,"Complete"))</f>
        <v>0</v>
      </c>
      <c r="F57" s="4">
        <f>IF($D57&lt;&gt;"Active","",SUMIFS(Scores!$T$4:$T$227,Scores!$B$4:$B$227,$A57,Scores!$R$4:$R$227,$B57)+SUMIFS(Scores!$U$4:$U$227,Scores!$B$4:$B$227,$A57,Scores!$S$4:$S$227,$B57))</f>
        <v>0</v>
      </c>
      <c r="G57" s="4">
        <f>IF($D57&lt;&gt;"Active","",SUMIFS(Scores!$V$4:$V$227,Scores!$B$4:$B$227,$A57,Scores!$R$4:$R$227,$B57)+SUMIFS(Scores!$V$4:$V$227,Scores!$B$4:$B$227,$A57,Scores!$S$4:$S$227,$B57))</f>
        <v>0</v>
      </c>
      <c r="H57" s="4">
        <f t="shared" si="6"/>
        <v>0</v>
      </c>
      <c r="I57" s="4">
        <f>IF($D57&lt;&gt;"Active","",SUMIFS(Scores!$F$4:$F$227,Scores!$B$4:$B$227,$A57,Scores!$R$4:$R$227,$B57,Scores!$Q$4:$Q$227,"Complete")+SUMIFS(Scores!$L$4:$L$227,Scores!$B$4:$B$227,$A57,Scores!$S$4:$S$227,$B57,Scores!$Q$4:$Q$227,"Complete"))</f>
        <v>0</v>
      </c>
      <c r="J57" s="4">
        <f>IF($D57&lt;&gt;"Active","",SUMIFS(Scores!$L$4:$L$227,Scores!$B$4:$B$227,$A57,Scores!$R$4:$R$227,$B57,Scores!$Q$4:$Q$227,"Complete")+SUMIFS(Scores!$F$4:$F$227,Scores!$B$4:$B$227,$A57,Scores!$S$4:$S$227,$B57,Scores!$Q$4:$Q$227,"Complete"))</f>
        <v>0</v>
      </c>
      <c r="K57" s="4">
        <f t="shared" si="7"/>
        <v>0</v>
      </c>
      <c r="L57" s="4">
        <f>IF($D57&lt;&gt;"Active","",SUMIFS(Scores!$J$4:$J$227,Scores!$B$4:$B$227,$A57,Scores!$R$4:$R$227,$B57)+SUMIFS(Scores!$P$4:$P$227,Scores!$B$4:$B$227,$A57,Scores!$S$4:$S$227,$B57))</f>
        <v>0</v>
      </c>
      <c r="M57" s="4">
        <f>IF($D57&lt;&gt;"Active","",$F57*Setup!$B$10+$G57*Setup!$B$11+$H57*Setup!$B$12)</f>
        <v>0</v>
      </c>
      <c r="N57" s="4">
        <f t="shared" si="8"/>
        <v>0</v>
      </c>
      <c r="O57" s="4">
        <f t="shared" si="9"/>
        <v>10000000.029999999</v>
      </c>
      <c r="P57" s="4">
        <f t="shared" si="10"/>
        <v>6</v>
      </c>
      <c r="Q57" s="4" t="str">
        <f t="shared" si="11"/>
        <v>G-6</v>
      </c>
    </row>
    <row r="58" spans="1:17">
      <c r="A58" s="4" t="s">
        <v>59</v>
      </c>
      <c r="B58" s="4">
        <v>7</v>
      </c>
      <c r="C58" s="4" t="str">
        <f>IF($D58="Active",IFERROR(INDEX(Teams!$D$4:$D$67,MATCH($A58&amp;"-"&amp;$B58,Teams!$E$4:$E$67,0)),""),"")</f>
        <v>Team G7</v>
      </c>
      <c r="D58" s="4" t="str">
        <f>IFERROR(INDEX(Teams!$F$4:$F$67,MATCH($A58&amp;"-"&amp;$B58,Teams!$E$4:$E$67,0)),0)</f>
        <v>Active</v>
      </c>
      <c r="E58" s="4">
        <f>IF($D58&lt;&gt;"Active","",COUNTIFS(Scores!$B$4:$B$227,$A58,Scores!$R$4:$R$227,$B58,Scores!$Q$4:$Q$227,"Complete")+COUNTIFS(Scores!$B$4:$B$227,$A58,Scores!$S$4:$S$227,$B58,Scores!$Q$4:$Q$227,"Complete"))</f>
        <v>0</v>
      </c>
      <c r="F58" s="4">
        <f>IF($D58&lt;&gt;"Active","",SUMIFS(Scores!$T$4:$T$227,Scores!$B$4:$B$227,$A58,Scores!$R$4:$R$227,$B58)+SUMIFS(Scores!$U$4:$U$227,Scores!$B$4:$B$227,$A58,Scores!$S$4:$S$227,$B58))</f>
        <v>0</v>
      </c>
      <c r="G58" s="4">
        <f>IF($D58&lt;&gt;"Active","",SUMIFS(Scores!$V$4:$V$227,Scores!$B$4:$B$227,$A58,Scores!$R$4:$R$227,$B58)+SUMIFS(Scores!$V$4:$V$227,Scores!$B$4:$B$227,$A58,Scores!$S$4:$S$227,$B58))</f>
        <v>0</v>
      </c>
      <c r="H58" s="4">
        <f t="shared" si="6"/>
        <v>0</v>
      </c>
      <c r="I58" s="4">
        <f>IF($D58&lt;&gt;"Active","",SUMIFS(Scores!$F$4:$F$227,Scores!$B$4:$B$227,$A58,Scores!$R$4:$R$227,$B58,Scores!$Q$4:$Q$227,"Complete")+SUMIFS(Scores!$L$4:$L$227,Scores!$B$4:$B$227,$A58,Scores!$S$4:$S$227,$B58,Scores!$Q$4:$Q$227,"Complete"))</f>
        <v>0</v>
      </c>
      <c r="J58" s="4">
        <f>IF($D58&lt;&gt;"Active","",SUMIFS(Scores!$L$4:$L$227,Scores!$B$4:$B$227,$A58,Scores!$R$4:$R$227,$B58,Scores!$Q$4:$Q$227,"Complete")+SUMIFS(Scores!$F$4:$F$227,Scores!$B$4:$B$227,$A58,Scores!$S$4:$S$227,$B58,Scores!$Q$4:$Q$227,"Complete"))</f>
        <v>0</v>
      </c>
      <c r="K58" s="4">
        <f t="shared" si="7"/>
        <v>0</v>
      </c>
      <c r="L58" s="4">
        <f>IF($D58&lt;&gt;"Active","",SUMIFS(Scores!$J$4:$J$227,Scores!$B$4:$B$227,$A58,Scores!$R$4:$R$227,$B58)+SUMIFS(Scores!$P$4:$P$227,Scores!$B$4:$B$227,$A58,Scores!$S$4:$S$227,$B58))</f>
        <v>0</v>
      </c>
      <c r="M58" s="4">
        <f>IF($D58&lt;&gt;"Active","",$F58*Setup!$B$10+$G58*Setup!$B$11+$H58*Setup!$B$12)</f>
        <v>0</v>
      </c>
      <c r="N58" s="4">
        <f t="shared" si="8"/>
        <v>0</v>
      </c>
      <c r="O58" s="4">
        <f t="shared" si="9"/>
        <v>10000000.02</v>
      </c>
      <c r="P58" s="4">
        <f t="shared" si="10"/>
        <v>7</v>
      </c>
      <c r="Q58" s="4" t="str">
        <f t="shared" si="11"/>
        <v>G-7</v>
      </c>
    </row>
    <row r="59" spans="1:17">
      <c r="A59" s="4" t="s">
        <v>59</v>
      </c>
      <c r="B59" s="4">
        <v>8</v>
      </c>
      <c r="C59" s="4" t="str">
        <f>IF($D59="Active",IFERROR(INDEX(Teams!$D$4:$D$67,MATCH($A59&amp;"-"&amp;$B59,Teams!$E$4:$E$67,0)),""),"")</f>
        <v>Team G8</v>
      </c>
      <c r="D59" s="4" t="str">
        <f>IFERROR(INDEX(Teams!$F$4:$F$67,MATCH($A59&amp;"-"&amp;$B59,Teams!$E$4:$E$67,0)),0)</f>
        <v>Active</v>
      </c>
      <c r="E59" s="4">
        <f>IF($D59&lt;&gt;"Active","",COUNTIFS(Scores!$B$4:$B$227,$A59,Scores!$R$4:$R$227,$B59,Scores!$Q$4:$Q$227,"Complete")+COUNTIFS(Scores!$B$4:$B$227,$A59,Scores!$S$4:$S$227,$B59,Scores!$Q$4:$Q$227,"Complete"))</f>
        <v>0</v>
      </c>
      <c r="F59" s="4">
        <f>IF($D59&lt;&gt;"Active","",SUMIFS(Scores!$T$4:$T$227,Scores!$B$4:$B$227,$A59,Scores!$R$4:$R$227,$B59)+SUMIFS(Scores!$U$4:$U$227,Scores!$B$4:$B$227,$A59,Scores!$S$4:$S$227,$B59))</f>
        <v>0</v>
      </c>
      <c r="G59" s="4">
        <f>IF($D59&lt;&gt;"Active","",SUMIFS(Scores!$V$4:$V$227,Scores!$B$4:$B$227,$A59,Scores!$R$4:$R$227,$B59)+SUMIFS(Scores!$V$4:$V$227,Scores!$B$4:$B$227,$A59,Scores!$S$4:$S$227,$B59))</f>
        <v>0</v>
      </c>
      <c r="H59" s="4">
        <f t="shared" si="6"/>
        <v>0</v>
      </c>
      <c r="I59" s="4">
        <f>IF($D59&lt;&gt;"Active","",SUMIFS(Scores!$F$4:$F$227,Scores!$B$4:$B$227,$A59,Scores!$R$4:$R$227,$B59,Scores!$Q$4:$Q$227,"Complete")+SUMIFS(Scores!$L$4:$L$227,Scores!$B$4:$B$227,$A59,Scores!$S$4:$S$227,$B59,Scores!$Q$4:$Q$227,"Complete"))</f>
        <v>0</v>
      </c>
      <c r="J59" s="4">
        <f>IF($D59&lt;&gt;"Active","",SUMIFS(Scores!$L$4:$L$227,Scores!$B$4:$B$227,$A59,Scores!$R$4:$R$227,$B59,Scores!$Q$4:$Q$227,"Complete")+SUMIFS(Scores!$F$4:$F$227,Scores!$B$4:$B$227,$A59,Scores!$S$4:$S$227,$B59,Scores!$Q$4:$Q$227,"Complete"))</f>
        <v>0</v>
      </c>
      <c r="K59" s="4">
        <f t="shared" si="7"/>
        <v>0</v>
      </c>
      <c r="L59" s="4">
        <f>IF($D59&lt;&gt;"Active","",SUMIFS(Scores!$J$4:$J$227,Scores!$B$4:$B$227,$A59,Scores!$R$4:$R$227,$B59)+SUMIFS(Scores!$P$4:$P$227,Scores!$B$4:$B$227,$A59,Scores!$S$4:$S$227,$B59))</f>
        <v>0</v>
      </c>
      <c r="M59" s="4">
        <f>IF($D59&lt;&gt;"Active","",$F59*Setup!$B$10+$G59*Setup!$B$11+$H59*Setup!$B$12)</f>
        <v>0</v>
      </c>
      <c r="N59" s="4">
        <f t="shared" si="8"/>
        <v>0</v>
      </c>
      <c r="O59" s="4">
        <f t="shared" si="9"/>
        <v>10000000.01</v>
      </c>
      <c r="P59" s="4">
        <f t="shared" si="10"/>
        <v>8</v>
      </c>
      <c r="Q59" s="4" t="str">
        <f t="shared" si="11"/>
        <v>G-8</v>
      </c>
    </row>
    <row r="60" spans="1:17">
      <c r="A60" s="4" t="s">
        <v>60</v>
      </c>
      <c r="B60" s="4">
        <v>1</v>
      </c>
      <c r="C60" s="4" t="str">
        <f>IF($D60="Active",IFERROR(INDEX(Teams!$D$4:$D$67,MATCH($A60&amp;"-"&amp;$B60,Teams!$E$4:$E$67,0)),""),"")</f>
        <v>Team H1</v>
      </c>
      <c r="D60" s="4" t="str">
        <f>IFERROR(INDEX(Teams!$F$4:$F$67,MATCH($A60&amp;"-"&amp;$B60,Teams!$E$4:$E$67,0)),0)</f>
        <v>Active</v>
      </c>
      <c r="E60" s="4">
        <f>IF($D60&lt;&gt;"Active","",COUNTIFS(Scores!$B$4:$B$227,$A60,Scores!$R$4:$R$227,$B60,Scores!$Q$4:$Q$227,"Complete")+COUNTIFS(Scores!$B$4:$B$227,$A60,Scores!$S$4:$S$227,$B60,Scores!$Q$4:$Q$227,"Complete"))</f>
        <v>0</v>
      </c>
      <c r="F60" s="4">
        <f>IF($D60&lt;&gt;"Active","",SUMIFS(Scores!$T$4:$T$227,Scores!$B$4:$B$227,$A60,Scores!$R$4:$R$227,$B60)+SUMIFS(Scores!$U$4:$U$227,Scores!$B$4:$B$227,$A60,Scores!$S$4:$S$227,$B60))</f>
        <v>0</v>
      </c>
      <c r="G60" s="4">
        <f>IF($D60&lt;&gt;"Active","",SUMIFS(Scores!$V$4:$V$227,Scores!$B$4:$B$227,$A60,Scores!$R$4:$R$227,$B60)+SUMIFS(Scores!$V$4:$V$227,Scores!$B$4:$B$227,$A60,Scores!$S$4:$S$227,$B60))</f>
        <v>0</v>
      </c>
      <c r="H60" s="4">
        <f t="shared" si="6"/>
        <v>0</v>
      </c>
      <c r="I60" s="4">
        <f>IF($D60&lt;&gt;"Active","",SUMIFS(Scores!$F$4:$F$227,Scores!$B$4:$B$227,$A60,Scores!$R$4:$R$227,$B60,Scores!$Q$4:$Q$227,"Complete")+SUMIFS(Scores!$L$4:$L$227,Scores!$B$4:$B$227,$A60,Scores!$S$4:$S$227,$B60,Scores!$Q$4:$Q$227,"Complete"))</f>
        <v>0</v>
      </c>
      <c r="J60" s="4">
        <f>IF($D60&lt;&gt;"Active","",SUMIFS(Scores!$L$4:$L$227,Scores!$B$4:$B$227,$A60,Scores!$R$4:$R$227,$B60,Scores!$Q$4:$Q$227,"Complete")+SUMIFS(Scores!$F$4:$F$227,Scores!$B$4:$B$227,$A60,Scores!$S$4:$S$227,$B60,Scores!$Q$4:$Q$227,"Complete"))</f>
        <v>0</v>
      </c>
      <c r="K60" s="4">
        <f t="shared" si="7"/>
        <v>0</v>
      </c>
      <c r="L60" s="4">
        <f>IF($D60&lt;&gt;"Active","",SUMIFS(Scores!$J$4:$J$227,Scores!$B$4:$B$227,$A60,Scores!$R$4:$R$227,$B60)+SUMIFS(Scores!$P$4:$P$227,Scores!$B$4:$B$227,$A60,Scores!$S$4:$S$227,$B60))</f>
        <v>0</v>
      </c>
      <c r="M60" s="4">
        <f>IF($D60&lt;&gt;"Active","",$F60*Setup!$B$10+$G60*Setup!$B$11+$H60*Setup!$B$12)</f>
        <v>0</v>
      </c>
      <c r="N60" s="4">
        <f t="shared" si="8"/>
        <v>0</v>
      </c>
      <c r="O60" s="4">
        <f t="shared" si="9"/>
        <v>10000000.08</v>
      </c>
      <c r="P60" s="4">
        <f t="shared" si="10"/>
        <v>1</v>
      </c>
      <c r="Q60" s="4" t="str">
        <f t="shared" si="11"/>
        <v>H-1</v>
      </c>
    </row>
    <row r="61" spans="1:17">
      <c r="A61" s="4" t="s">
        <v>60</v>
      </c>
      <c r="B61" s="4">
        <v>2</v>
      </c>
      <c r="C61" s="4" t="str">
        <f>IF($D61="Active",IFERROR(INDEX(Teams!$D$4:$D$67,MATCH($A61&amp;"-"&amp;$B61,Teams!$E$4:$E$67,0)),""),"")</f>
        <v>Team H2</v>
      </c>
      <c r="D61" s="4" t="str">
        <f>IFERROR(INDEX(Teams!$F$4:$F$67,MATCH($A61&amp;"-"&amp;$B61,Teams!$E$4:$E$67,0)),0)</f>
        <v>Active</v>
      </c>
      <c r="E61" s="4">
        <f>IF($D61&lt;&gt;"Active","",COUNTIFS(Scores!$B$4:$B$227,$A61,Scores!$R$4:$R$227,$B61,Scores!$Q$4:$Q$227,"Complete")+COUNTIFS(Scores!$B$4:$B$227,$A61,Scores!$S$4:$S$227,$B61,Scores!$Q$4:$Q$227,"Complete"))</f>
        <v>0</v>
      </c>
      <c r="F61" s="4">
        <f>IF($D61&lt;&gt;"Active","",SUMIFS(Scores!$T$4:$T$227,Scores!$B$4:$B$227,$A61,Scores!$R$4:$R$227,$B61)+SUMIFS(Scores!$U$4:$U$227,Scores!$B$4:$B$227,$A61,Scores!$S$4:$S$227,$B61))</f>
        <v>0</v>
      </c>
      <c r="G61" s="4">
        <f>IF($D61&lt;&gt;"Active","",SUMIFS(Scores!$V$4:$V$227,Scores!$B$4:$B$227,$A61,Scores!$R$4:$R$227,$B61)+SUMIFS(Scores!$V$4:$V$227,Scores!$B$4:$B$227,$A61,Scores!$S$4:$S$227,$B61))</f>
        <v>0</v>
      </c>
      <c r="H61" s="4">
        <f t="shared" si="6"/>
        <v>0</v>
      </c>
      <c r="I61" s="4">
        <f>IF($D61&lt;&gt;"Active","",SUMIFS(Scores!$F$4:$F$227,Scores!$B$4:$B$227,$A61,Scores!$R$4:$R$227,$B61,Scores!$Q$4:$Q$227,"Complete")+SUMIFS(Scores!$L$4:$L$227,Scores!$B$4:$B$227,$A61,Scores!$S$4:$S$227,$B61,Scores!$Q$4:$Q$227,"Complete"))</f>
        <v>0</v>
      </c>
      <c r="J61" s="4">
        <f>IF($D61&lt;&gt;"Active","",SUMIFS(Scores!$L$4:$L$227,Scores!$B$4:$B$227,$A61,Scores!$R$4:$R$227,$B61,Scores!$Q$4:$Q$227,"Complete")+SUMIFS(Scores!$F$4:$F$227,Scores!$B$4:$B$227,$A61,Scores!$S$4:$S$227,$B61,Scores!$Q$4:$Q$227,"Complete"))</f>
        <v>0</v>
      </c>
      <c r="K61" s="4">
        <f t="shared" si="7"/>
        <v>0</v>
      </c>
      <c r="L61" s="4">
        <f>IF($D61&lt;&gt;"Active","",SUMIFS(Scores!$J$4:$J$227,Scores!$B$4:$B$227,$A61,Scores!$R$4:$R$227,$B61)+SUMIFS(Scores!$P$4:$P$227,Scores!$B$4:$B$227,$A61,Scores!$S$4:$S$227,$B61))</f>
        <v>0</v>
      </c>
      <c r="M61" s="4">
        <f>IF($D61&lt;&gt;"Active","",$F61*Setup!$B$10+$G61*Setup!$B$11+$H61*Setup!$B$12)</f>
        <v>0</v>
      </c>
      <c r="N61" s="4">
        <f t="shared" si="8"/>
        <v>0</v>
      </c>
      <c r="O61" s="4">
        <f t="shared" si="9"/>
        <v>10000000.07</v>
      </c>
      <c r="P61" s="4">
        <f t="shared" si="10"/>
        <v>2</v>
      </c>
      <c r="Q61" s="4" t="str">
        <f t="shared" si="11"/>
        <v>H-2</v>
      </c>
    </row>
    <row r="62" spans="1:17">
      <c r="A62" s="4" t="s">
        <v>60</v>
      </c>
      <c r="B62" s="4">
        <v>3</v>
      </c>
      <c r="C62" s="4" t="str">
        <f>IF($D62="Active",IFERROR(INDEX(Teams!$D$4:$D$67,MATCH($A62&amp;"-"&amp;$B62,Teams!$E$4:$E$67,0)),""),"")</f>
        <v>Team H3</v>
      </c>
      <c r="D62" s="4" t="str">
        <f>IFERROR(INDEX(Teams!$F$4:$F$67,MATCH($A62&amp;"-"&amp;$B62,Teams!$E$4:$E$67,0)),0)</f>
        <v>Active</v>
      </c>
      <c r="E62" s="4">
        <f>IF($D62&lt;&gt;"Active","",COUNTIFS(Scores!$B$4:$B$227,$A62,Scores!$R$4:$R$227,$B62,Scores!$Q$4:$Q$227,"Complete")+COUNTIFS(Scores!$B$4:$B$227,$A62,Scores!$S$4:$S$227,$B62,Scores!$Q$4:$Q$227,"Complete"))</f>
        <v>0</v>
      </c>
      <c r="F62" s="4">
        <f>IF($D62&lt;&gt;"Active","",SUMIFS(Scores!$T$4:$T$227,Scores!$B$4:$B$227,$A62,Scores!$R$4:$R$227,$B62)+SUMIFS(Scores!$U$4:$U$227,Scores!$B$4:$B$227,$A62,Scores!$S$4:$S$227,$B62))</f>
        <v>0</v>
      </c>
      <c r="G62" s="4">
        <f>IF($D62&lt;&gt;"Active","",SUMIFS(Scores!$V$4:$V$227,Scores!$B$4:$B$227,$A62,Scores!$R$4:$R$227,$B62)+SUMIFS(Scores!$V$4:$V$227,Scores!$B$4:$B$227,$A62,Scores!$S$4:$S$227,$B62))</f>
        <v>0</v>
      </c>
      <c r="H62" s="4">
        <f t="shared" si="6"/>
        <v>0</v>
      </c>
      <c r="I62" s="4">
        <f>IF($D62&lt;&gt;"Active","",SUMIFS(Scores!$F$4:$F$227,Scores!$B$4:$B$227,$A62,Scores!$R$4:$R$227,$B62,Scores!$Q$4:$Q$227,"Complete")+SUMIFS(Scores!$L$4:$L$227,Scores!$B$4:$B$227,$A62,Scores!$S$4:$S$227,$B62,Scores!$Q$4:$Q$227,"Complete"))</f>
        <v>0</v>
      </c>
      <c r="J62" s="4">
        <f>IF($D62&lt;&gt;"Active","",SUMIFS(Scores!$L$4:$L$227,Scores!$B$4:$B$227,$A62,Scores!$R$4:$R$227,$B62,Scores!$Q$4:$Q$227,"Complete")+SUMIFS(Scores!$F$4:$F$227,Scores!$B$4:$B$227,$A62,Scores!$S$4:$S$227,$B62,Scores!$Q$4:$Q$227,"Complete"))</f>
        <v>0</v>
      </c>
      <c r="K62" s="4">
        <f t="shared" si="7"/>
        <v>0</v>
      </c>
      <c r="L62" s="4">
        <f>IF($D62&lt;&gt;"Active","",SUMIFS(Scores!$J$4:$J$227,Scores!$B$4:$B$227,$A62,Scores!$R$4:$R$227,$B62)+SUMIFS(Scores!$P$4:$P$227,Scores!$B$4:$B$227,$A62,Scores!$S$4:$S$227,$B62))</f>
        <v>0</v>
      </c>
      <c r="M62" s="4">
        <f>IF($D62&lt;&gt;"Active","",$F62*Setup!$B$10+$G62*Setup!$B$11+$H62*Setup!$B$12)</f>
        <v>0</v>
      </c>
      <c r="N62" s="4">
        <f t="shared" si="8"/>
        <v>0</v>
      </c>
      <c r="O62" s="4">
        <f t="shared" si="9"/>
        <v>10000000.060000001</v>
      </c>
      <c r="P62" s="4">
        <f t="shared" si="10"/>
        <v>3</v>
      </c>
      <c r="Q62" s="4" t="str">
        <f t="shared" si="11"/>
        <v>H-3</v>
      </c>
    </row>
    <row r="63" spans="1:17">
      <c r="A63" s="4" t="s">
        <v>60</v>
      </c>
      <c r="B63" s="4">
        <v>4</v>
      </c>
      <c r="C63" s="4" t="str">
        <f>IF($D63="Active",IFERROR(INDEX(Teams!$D$4:$D$67,MATCH($A63&amp;"-"&amp;$B63,Teams!$E$4:$E$67,0)),""),"")</f>
        <v>Team H4</v>
      </c>
      <c r="D63" s="4" t="str">
        <f>IFERROR(INDEX(Teams!$F$4:$F$67,MATCH($A63&amp;"-"&amp;$B63,Teams!$E$4:$E$67,0)),0)</f>
        <v>Active</v>
      </c>
      <c r="E63" s="4">
        <f>IF($D63&lt;&gt;"Active","",COUNTIFS(Scores!$B$4:$B$227,$A63,Scores!$R$4:$R$227,$B63,Scores!$Q$4:$Q$227,"Complete")+COUNTIFS(Scores!$B$4:$B$227,$A63,Scores!$S$4:$S$227,$B63,Scores!$Q$4:$Q$227,"Complete"))</f>
        <v>0</v>
      </c>
      <c r="F63" s="4">
        <f>IF($D63&lt;&gt;"Active","",SUMIFS(Scores!$T$4:$T$227,Scores!$B$4:$B$227,$A63,Scores!$R$4:$R$227,$B63)+SUMIFS(Scores!$U$4:$U$227,Scores!$B$4:$B$227,$A63,Scores!$S$4:$S$227,$B63))</f>
        <v>0</v>
      </c>
      <c r="G63" s="4">
        <f>IF($D63&lt;&gt;"Active","",SUMIFS(Scores!$V$4:$V$227,Scores!$B$4:$B$227,$A63,Scores!$R$4:$R$227,$B63)+SUMIFS(Scores!$V$4:$V$227,Scores!$B$4:$B$227,$A63,Scores!$S$4:$S$227,$B63))</f>
        <v>0</v>
      </c>
      <c r="H63" s="4">
        <f t="shared" si="6"/>
        <v>0</v>
      </c>
      <c r="I63" s="4">
        <f>IF($D63&lt;&gt;"Active","",SUMIFS(Scores!$F$4:$F$227,Scores!$B$4:$B$227,$A63,Scores!$R$4:$R$227,$B63,Scores!$Q$4:$Q$227,"Complete")+SUMIFS(Scores!$L$4:$L$227,Scores!$B$4:$B$227,$A63,Scores!$S$4:$S$227,$B63,Scores!$Q$4:$Q$227,"Complete"))</f>
        <v>0</v>
      </c>
      <c r="J63" s="4">
        <f>IF($D63&lt;&gt;"Active","",SUMIFS(Scores!$L$4:$L$227,Scores!$B$4:$B$227,$A63,Scores!$R$4:$R$227,$B63,Scores!$Q$4:$Q$227,"Complete")+SUMIFS(Scores!$F$4:$F$227,Scores!$B$4:$B$227,$A63,Scores!$S$4:$S$227,$B63,Scores!$Q$4:$Q$227,"Complete"))</f>
        <v>0</v>
      </c>
      <c r="K63" s="4">
        <f t="shared" si="7"/>
        <v>0</v>
      </c>
      <c r="L63" s="4">
        <f>IF($D63&lt;&gt;"Active","",SUMIFS(Scores!$J$4:$J$227,Scores!$B$4:$B$227,$A63,Scores!$R$4:$R$227,$B63)+SUMIFS(Scores!$P$4:$P$227,Scores!$B$4:$B$227,$A63,Scores!$S$4:$S$227,$B63))</f>
        <v>0</v>
      </c>
      <c r="M63" s="4">
        <f>IF($D63&lt;&gt;"Active","",$F63*Setup!$B$10+$G63*Setup!$B$11+$H63*Setup!$B$12)</f>
        <v>0</v>
      </c>
      <c r="N63" s="4">
        <f t="shared" si="8"/>
        <v>0</v>
      </c>
      <c r="O63" s="4">
        <f t="shared" si="9"/>
        <v>10000000.050000001</v>
      </c>
      <c r="P63" s="4">
        <f t="shared" si="10"/>
        <v>4</v>
      </c>
      <c r="Q63" s="4" t="str">
        <f t="shared" si="11"/>
        <v>H-4</v>
      </c>
    </row>
    <row r="64" spans="1:17">
      <c r="A64" s="4" t="s">
        <v>60</v>
      </c>
      <c r="B64" s="4">
        <v>5</v>
      </c>
      <c r="C64" s="4" t="str">
        <f>IF($D64="Active",IFERROR(INDEX(Teams!$D$4:$D$67,MATCH($A64&amp;"-"&amp;$B64,Teams!$E$4:$E$67,0)),""),"")</f>
        <v>Team H5</v>
      </c>
      <c r="D64" s="4" t="str">
        <f>IFERROR(INDEX(Teams!$F$4:$F$67,MATCH($A64&amp;"-"&amp;$B64,Teams!$E$4:$E$67,0)),0)</f>
        <v>Active</v>
      </c>
      <c r="E64" s="4">
        <f>IF($D64&lt;&gt;"Active","",COUNTIFS(Scores!$B$4:$B$227,$A64,Scores!$R$4:$R$227,$B64,Scores!$Q$4:$Q$227,"Complete")+COUNTIFS(Scores!$B$4:$B$227,$A64,Scores!$S$4:$S$227,$B64,Scores!$Q$4:$Q$227,"Complete"))</f>
        <v>0</v>
      </c>
      <c r="F64" s="4">
        <f>IF($D64&lt;&gt;"Active","",SUMIFS(Scores!$T$4:$T$227,Scores!$B$4:$B$227,$A64,Scores!$R$4:$R$227,$B64)+SUMIFS(Scores!$U$4:$U$227,Scores!$B$4:$B$227,$A64,Scores!$S$4:$S$227,$B64))</f>
        <v>0</v>
      </c>
      <c r="G64" s="4">
        <f>IF($D64&lt;&gt;"Active","",SUMIFS(Scores!$V$4:$V$227,Scores!$B$4:$B$227,$A64,Scores!$R$4:$R$227,$B64)+SUMIFS(Scores!$V$4:$V$227,Scores!$B$4:$B$227,$A64,Scores!$S$4:$S$227,$B64))</f>
        <v>0</v>
      </c>
      <c r="H64" s="4">
        <f t="shared" si="6"/>
        <v>0</v>
      </c>
      <c r="I64" s="4">
        <f>IF($D64&lt;&gt;"Active","",SUMIFS(Scores!$F$4:$F$227,Scores!$B$4:$B$227,$A64,Scores!$R$4:$R$227,$B64,Scores!$Q$4:$Q$227,"Complete")+SUMIFS(Scores!$L$4:$L$227,Scores!$B$4:$B$227,$A64,Scores!$S$4:$S$227,$B64,Scores!$Q$4:$Q$227,"Complete"))</f>
        <v>0</v>
      </c>
      <c r="J64" s="4">
        <f>IF($D64&lt;&gt;"Active","",SUMIFS(Scores!$L$4:$L$227,Scores!$B$4:$B$227,$A64,Scores!$R$4:$R$227,$B64,Scores!$Q$4:$Q$227,"Complete")+SUMIFS(Scores!$F$4:$F$227,Scores!$B$4:$B$227,$A64,Scores!$S$4:$S$227,$B64,Scores!$Q$4:$Q$227,"Complete"))</f>
        <v>0</v>
      </c>
      <c r="K64" s="4">
        <f t="shared" si="7"/>
        <v>0</v>
      </c>
      <c r="L64" s="4">
        <f>IF($D64&lt;&gt;"Active","",SUMIFS(Scores!$J$4:$J$227,Scores!$B$4:$B$227,$A64,Scores!$R$4:$R$227,$B64)+SUMIFS(Scores!$P$4:$P$227,Scores!$B$4:$B$227,$A64,Scores!$S$4:$S$227,$B64))</f>
        <v>0</v>
      </c>
      <c r="M64" s="4">
        <f>IF($D64&lt;&gt;"Active","",$F64*Setup!$B$10+$G64*Setup!$B$11+$H64*Setup!$B$12)</f>
        <v>0</v>
      </c>
      <c r="N64" s="4">
        <f t="shared" si="8"/>
        <v>0</v>
      </c>
      <c r="O64" s="4">
        <f t="shared" si="9"/>
        <v>10000000.039999999</v>
      </c>
      <c r="P64" s="4">
        <f t="shared" si="10"/>
        <v>5</v>
      </c>
      <c r="Q64" s="4" t="str">
        <f t="shared" si="11"/>
        <v>H-5</v>
      </c>
    </row>
    <row r="65" spans="1:17">
      <c r="A65" s="4" t="s">
        <v>60</v>
      </c>
      <c r="B65" s="4">
        <v>6</v>
      </c>
      <c r="C65" s="4" t="str">
        <f>IF($D65="Active",IFERROR(INDEX(Teams!$D$4:$D$67,MATCH($A65&amp;"-"&amp;$B65,Teams!$E$4:$E$67,0)),""),"")</f>
        <v>Team H6</v>
      </c>
      <c r="D65" s="4" t="str">
        <f>IFERROR(INDEX(Teams!$F$4:$F$67,MATCH($A65&amp;"-"&amp;$B65,Teams!$E$4:$E$67,0)),0)</f>
        <v>Active</v>
      </c>
      <c r="E65" s="4">
        <f>IF($D65&lt;&gt;"Active","",COUNTIFS(Scores!$B$4:$B$227,$A65,Scores!$R$4:$R$227,$B65,Scores!$Q$4:$Q$227,"Complete")+COUNTIFS(Scores!$B$4:$B$227,$A65,Scores!$S$4:$S$227,$B65,Scores!$Q$4:$Q$227,"Complete"))</f>
        <v>0</v>
      </c>
      <c r="F65" s="4">
        <f>IF($D65&lt;&gt;"Active","",SUMIFS(Scores!$T$4:$T$227,Scores!$B$4:$B$227,$A65,Scores!$R$4:$R$227,$B65)+SUMIFS(Scores!$U$4:$U$227,Scores!$B$4:$B$227,$A65,Scores!$S$4:$S$227,$B65))</f>
        <v>0</v>
      </c>
      <c r="G65" s="4">
        <f>IF($D65&lt;&gt;"Active","",SUMIFS(Scores!$V$4:$V$227,Scores!$B$4:$B$227,$A65,Scores!$R$4:$R$227,$B65)+SUMIFS(Scores!$V$4:$V$227,Scores!$B$4:$B$227,$A65,Scores!$S$4:$S$227,$B65))</f>
        <v>0</v>
      </c>
      <c r="H65" s="4">
        <f t="shared" si="6"/>
        <v>0</v>
      </c>
      <c r="I65" s="4">
        <f>IF($D65&lt;&gt;"Active","",SUMIFS(Scores!$F$4:$F$227,Scores!$B$4:$B$227,$A65,Scores!$R$4:$R$227,$B65,Scores!$Q$4:$Q$227,"Complete")+SUMIFS(Scores!$L$4:$L$227,Scores!$B$4:$B$227,$A65,Scores!$S$4:$S$227,$B65,Scores!$Q$4:$Q$227,"Complete"))</f>
        <v>0</v>
      </c>
      <c r="J65" s="4">
        <f>IF($D65&lt;&gt;"Active","",SUMIFS(Scores!$L$4:$L$227,Scores!$B$4:$B$227,$A65,Scores!$R$4:$R$227,$B65,Scores!$Q$4:$Q$227,"Complete")+SUMIFS(Scores!$F$4:$F$227,Scores!$B$4:$B$227,$A65,Scores!$S$4:$S$227,$B65,Scores!$Q$4:$Q$227,"Complete"))</f>
        <v>0</v>
      </c>
      <c r="K65" s="4">
        <f t="shared" si="7"/>
        <v>0</v>
      </c>
      <c r="L65" s="4">
        <f>IF($D65&lt;&gt;"Active","",SUMIFS(Scores!$J$4:$J$227,Scores!$B$4:$B$227,$A65,Scores!$R$4:$R$227,$B65)+SUMIFS(Scores!$P$4:$P$227,Scores!$B$4:$B$227,$A65,Scores!$S$4:$S$227,$B65))</f>
        <v>0</v>
      </c>
      <c r="M65" s="4">
        <f>IF($D65&lt;&gt;"Active","",$F65*Setup!$B$10+$G65*Setup!$B$11+$H65*Setup!$B$12)</f>
        <v>0</v>
      </c>
      <c r="N65" s="4">
        <f t="shared" si="8"/>
        <v>0</v>
      </c>
      <c r="O65" s="4">
        <f t="shared" si="9"/>
        <v>10000000.029999999</v>
      </c>
      <c r="P65" s="4">
        <f t="shared" si="10"/>
        <v>6</v>
      </c>
      <c r="Q65" s="4" t="str">
        <f t="shared" si="11"/>
        <v>H-6</v>
      </c>
    </row>
    <row r="66" spans="1:17">
      <c r="A66" s="4" t="s">
        <v>60</v>
      </c>
      <c r="B66" s="4">
        <v>7</v>
      </c>
      <c r="C66" s="4" t="str">
        <f>IF($D66="Active",IFERROR(INDEX(Teams!$D$4:$D$67,MATCH($A66&amp;"-"&amp;$B66,Teams!$E$4:$E$67,0)),""),"")</f>
        <v>Team H7</v>
      </c>
      <c r="D66" s="4" t="str">
        <f>IFERROR(INDEX(Teams!$F$4:$F$67,MATCH($A66&amp;"-"&amp;$B66,Teams!$E$4:$E$67,0)),0)</f>
        <v>Active</v>
      </c>
      <c r="E66" s="4">
        <f>IF($D66&lt;&gt;"Active","",COUNTIFS(Scores!$B$4:$B$227,$A66,Scores!$R$4:$R$227,$B66,Scores!$Q$4:$Q$227,"Complete")+COUNTIFS(Scores!$B$4:$B$227,$A66,Scores!$S$4:$S$227,$B66,Scores!$Q$4:$Q$227,"Complete"))</f>
        <v>0</v>
      </c>
      <c r="F66" s="4">
        <f>IF($D66&lt;&gt;"Active","",SUMIFS(Scores!$T$4:$T$227,Scores!$B$4:$B$227,$A66,Scores!$R$4:$R$227,$B66)+SUMIFS(Scores!$U$4:$U$227,Scores!$B$4:$B$227,$A66,Scores!$S$4:$S$227,$B66))</f>
        <v>0</v>
      </c>
      <c r="G66" s="4">
        <f>IF($D66&lt;&gt;"Active","",SUMIFS(Scores!$V$4:$V$227,Scores!$B$4:$B$227,$A66,Scores!$R$4:$R$227,$B66)+SUMIFS(Scores!$V$4:$V$227,Scores!$B$4:$B$227,$A66,Scores!$S$4:$S$227,$B66))</f>
        <v>0</v>
      </c>
      <c r="H66" s="4">
        <f t="shared" si="6"/>
        <v>0</v>
      </c>
      <c r="I66" s="4">
        <f>IF($D66&lt;&gt;"Active","",SUMIFS(Scores!$F$4:$F$227,Scores!$B$4:$B$227,$A66,Scores!$R$4:$R$227,$B66,Scores!$Q$4:$Q$227,"Complete")+SUMIFS(Scores!$L$4:$L$227,Scores!$B$4:$B$227,$A66,Scores!$S$4:$S$227,$B66,Scores!$Q$4:$Q$227,"Complete"))</f>
        <v>0</v>
      </c>
      <c r="J66" s="4">
        <f>IF($D66&lt;&gt;"Active","",SUMIFS(Scores!$L$4:$L$227,Scores!$B$4:$B$227,$A66,Scores!$R$4:$R$227,$B66,Scores!$Q$4:$Q$227,"Complete")+SUMIFS(Scores!$F$4:$F$227,Scores!$B$4:$B$227,$A66,Scores!$S$4:$S$227,$B66,Scores!$Q$4:$Q$227,"Complete"))</f>
        <v>0</v>
      </c>
      <c r="K66" s="4">
        <f t="shared" si="7"/>
        <v>0</v>
      </c>
      <c r="L66" s="4">
        <f>IF($D66&lt;&gt;"Active","",SUMIFS(Scores!$J$4:$J$227,Scores!$B$4:$B$227,$A66,Scores!$R$4:$R$227,$B66)+SUMIFS(Scores!$P$4:$P$227,Scores!$B$4:$B$227,$A66,Scores!$S$4:$S$227,$B66))</f>
        <v>0</v>
      </c>
      <c r="M66" s="4">
        <f>IF($D66&lt;&gt;"Active","",$F66*Setup!$B$10+$G66*Setup!$B$11+$H66*Setup!$B$12)</f>
        <v>0</v>
      </c>
      <c r="N66" s="4">
        <f t="shared" si="8"/>
        <v>0</v>
      </c>
      <c r="O66" s="4">
        <f t="shared" si="9"/>
        <v>10000000.02</v>
      </c>
      <c r="P66" s="4">
        <f t="shared" si="10"/>
        <v>7</v>
      </c>
      <c r="Q66" s="4" t="str">
        <f t="shared" si="11"/>
        <v>H-7</v>
      </c>
    </row>
    <row r="67" spans="1:17">
      <c r="A67" s="4" t="s">
        <v>60</v>
      </c>
      <c r="B67" s="4">
        <v>8</v>
      </c>
      <c r="C67" s="4" t="str">
        <f>IF($D67="Active",IFERROR(INDEX(Teams!$D$4:$D$67,MATCH($A67&amp;"-"&amp;$B67,Teams!$E$4:$E$67,0)),""),"")</f>
        <v>Team H8</v>
      </c>
      <c r="D67" s="4" t="str">
        <f>IFERROR(INDEX(Teams!$F$4:$F$67,MATCH($A67&amp;"-"&amp;$B67,Teams!$E$4:$E$67,0)),0)</f>
        <v>Active</v>
      </c>
      <c r="E67" s="4">
        <f>IF($D67&lt;&gt;"Active","",COUNTIFS(Scores!$B$4:$B$227,$A67,Scores!$R$4:$R$227,$B67,Scores!$Q$4:$Q$227,"Complete")+COUNTIFS(Scores!$B$4:$B$227,$A67,Scores!$S$4:$S$227,$B67,Scores!$Q$4:$Q$227,"Complete"))</f>
        <v>0</v>
      </c>
      <c r="F67" s="4">
        <f>IF($D67&lt;&gt;"Active","",SUMIFS(Scores!$T$4:$T$227,Scores!$B$4:$B$227,$A67,Scores!$R$4:$R$227,$B67)+SUMIFS(Scores!$U$4:$U$227,Scores!$B$4:$B$227,$A67,Scores!$S$4:$S$227,$B67))</f>
        <v>0</v>
      </c>
      <c r="G67" s="4">
        <f>IF($D67&lt;&gt;"Active","",SUMIFS(Scores!$V$4:$V$227,Scores!$B$4:$B$227,$A67,Scores!$R$4:$R$227,$B67)+SUMIFS(Scores!$V$4:$V$227,Scores!$B$4:$B$227,$A67,Scores!$S$4:$S$227,$B67))</f>
        <v>0</v>
      </c>
      <c r="H67" s="4">
        <f t="shared" si="6"/>
        <v>0</v>
      </c>
      <c r="I67" s="4">
        <f>IF($D67&lt;&gt;"Active","",SUMIFS(Scores!$F$4:$F$227,Scores!$B$4:$B$227,$A67,Scores!$R$4:$R$227,$B67,Scores!$Q$4:$Q$227,"Complete")+SUMIFS(Scores!$L$4:$L$227,Scores!$B$4:$B$227,$A67,Scores!$S$4:$S$227,$B67,Scores!$Q$4:$Q$227,"Complete"))</f>
        <v>0</v>
      </c>
      <c r="J67" s="4">
        <f>IF($D67&lt;&gt;"Active","",SUMIFS(Scores!$L$4:$L$227,Scores!$B$4:$B$227,$A67,Scores!$R$4:$R$227,$B67,Scores!$Q$4:$Q$227,"Complete")+SUMIFS(Scores!$F$4:$F$227,Scores!$B$4:$B$227,$A67,Scores!$S$4:$S$227,$B67,Scores!$Q$4:$Q$227,"Complete"))</f>
        <v>0</v>
      </c>
      <c r="K67" s="4">
        <f t="shared" si="7"/>
        <v>0</v>
      </c>
      <c r="L67" s="4">
        <f>IF($D67&lt;&gt;"Active","",SUMIFS(Scores!$J$4:$J$227,Scores!$B$4:$B$227,$A67,Scores!$R$4:$R$227,$B67)+SUMIFS(Scores!$P$4:$P$227,Scores!$B$4:$B$227,$A67,Scores!$S$4:$S$227,$B67))</f>
        <v>0</v>
      </c>
      <c r="M67" s="4">
        <f>IF($D67&lt;&gt;"Active","",$F67*Setup!$B$10+$G67*Setup!$B$11+$H67*Setup!$B$12)</f>
        <v>0</v>
      </c>
      <c r="N67" s="4">
        <f t="shared" si="8"/>
        <v>0</v>
      </c>
      <c r="O67" s="4">
        <f t="shared" si="9"/>
        <v>10000000.01</v>
      </c>
      <c r="P67" s="4">
        <f t="shared" si="10"/>
        <v>8</v>
      </c>
      <c r="Q67" s="4" t="str">
        <f t="shared" si="11"/>
        <v>H-8</v>
      </c>
    </row>
  </sheetData>
  <mergeCells count="1">
    <mergeCell ref="A1:Q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90"/>
  <sheetViews>
    <sheetView tabSelected="1" topLeftCell="A86" workbookViewId="0">
      <selection activeCell="G104" sqref="G104"/>
    </sheetView>
  </sheetViews>
  <sheetFormatPr defaultRowHeight="14.25"/>
  <cols>
    <col min="1" max="1" width="6" style="6" customWidth="1"/>
    <col min="2" max="2" width="22" style="6" customWidth="1"/>
    <col min="3" max="6" width="6" style="8" customWidth="1"/>
    <col min="7" max="9" width="9" style="8" customWidth="1"/>
    <col min="10" max="10" width="7" style="8" customWidth="1"/>
    <col min="11" max="11" width="8" style="8" customWidth="1"/>
  </cols>
  <sheetData>
    <row r="1" spans="1:11" ht="20.25">
      <c r="A1" s="76">
        <f>Setup!$B$3</f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ht="15">
      <c r="A2" s="77" t="str">
        <f>"LIVE POOL TABLES — "&amp;COUNTIF(Scores!$Q$4:$Q$227,"Complete")&amp;" of "&amp;Setup!$B$15*Setup!$B$5&amp;" pool matches complete"</f>
        <v>LIVE POOL TABLES — 0 of 224 pool matches complete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4" spans="1:11" ht="15">
      <c r="A4" s="77" t="str">
        <f>IF(1&lt;=Setup!$B$5,"Pool A","")</f>
        <v>Pool A</v>
      </c>
      <c r="B4" s="77"/>
      <c r="C4" s="77"/>
      <c r="D4" s="77"/>
      <c r="E4" s="77"/>
      <c r="F4" s="77"/>
      <c r="G4" s="77"/>
      <c r="H4" s="77"/>
      <c r="I4" s="77"/>
      <c r="J4" s="77"/>
      <c r="K4" s="77"/>
    </row>
    <row r="5" spans="1:11" ht="15">
      <c r="A5" s="3" t="s">
        <v>300</v>
      </c>
      <c r="B5" s="3" t="s">
        <v>286</v>
      </c>
      <c r="C5" s="3" t="s">
        <v>288</v>
      </c>
      <c r="D5" s="3" t="s">
        <v>289</v>
      </c>
      <c r="E5" s="3" t="s">
        <v>56</v>
      </c>
      <c r="F5" s="3" t="s">
        <v>290</v>
      </c>
      <c r="G5" s="3" t="s">
        <v>291</v>
      </c>
      <c r="H5" s="3" t="s">
        <v>301</v>
      </c>
      <c r="I5" s="3" t="s">
        <v>293</v>
      </c>
      <c r="J5" s="3" t="s">
        <v>294</v>
      </c>
      <c r="K5" s="3" t="s">
        <v>296</v>
      </c>
    </row>
    <row r="6" spans="1:11">
      <c r="A6" s="6">
        <f>IF(B6="","",1)</f>
        <v>1</v>
      </c>
      <c r="B6" s="6" t="str">
        <f>IFERROR(INDEX(Calculations!$C$4:$C$67,MATCH("A-1",Calculations!$Q$4:$Q$67,0)),"")</f>
        <v>Team A1</v>
      </c>
      <c r="C6" s="8">
        <f>IF(B6="","",IFERROR(INDEX(Calculations!$E$4:$E$67,MATCH("A-1",Calculations!$Q$4:$Q$67,0)),""))</f>
        <v>0</v>
      </c>
      <c r="D6" s="8">
        <f>IF(B6="","",IFERROR(INDEX(Calculations!$F$4:$F$67,MATCH("A-1",Calculations!$Q$4:$Q$67,0)),""))</f>
        <v>0</v>
      </c>
      <c r="E6" s="8">
        <f>IF(B6="","",IFERROR(INDEX(Calculations!$G$4:$G$67,MATCH("A-1",Calculations!$Q$4:$Q$67,0)),""))</f>
        <v>0</v>
      </c>
      <c r="F6" s="8">
        <f>IF(B6="","",IFERROR(INDEX(Calculations!$H$4:$H$67,MATCH("A-1",Calculations!$Q$4:$Q$67,0)),""))</f>
        <v>0</v>
      </c>
      <c r="G6" s="8">
        <f>IF(B6="","",IFERROR(INDEX(Calculations!$I$4:$I$67,MATCH("A-1",Calculations!$Q$4:$Q$67,0)),""))</f>
        <v>0</v>
      </c>
      <c r="H6" s="8">
        <f>IF(B6="","",IFERROR(INDEX(Calculations!$J$4:$J$67,MATCH("A-1",Calculations!$Q$4:$Q$67,0)),""))</f>
        <v>0</v>
      </c>
      <c r="I6" s="8">
        <f>IF(B6="","",IFERROR(INDEX(Calculations!$K$4:$K$67,MATCH("A-1",Calculations!$Q$4:$Q$67,0)),""))</f>
        <v>0</v>
      </c>
      <c r="J6" s="8">
        <f>IF(B6="","",IFERROR(INDEX(Calculations!$L$4:$L$67,MATCH("A-1",Calculations!$Q$4:$Q$67,0)),""))</f>
        <v>0</v>
      </c>
      <c r="K6" s="8">
        <f>IF(B6="","",IFERROR(INDEX(Calculations!$N$4:$N$67,MATCH("A-1",Calculations!$Q$4:$Q$67,0)),""))</f>
        <v>0</v>
      </c>
    </row>
    <row r="7" spans="1:11">
      <c r="A7" s="6">
        <f>IF(B7="","",2)</f>
        <v>2</v>
      </c>
      <c r="B7" s="6" t="str">
        <f>IFERROR(INDEX(Calculations!$C$4:$C$67,MATCH("A-2",Calculations!$Q$4:$Q$67,0)),"")</f>
        <v>Team A2</v>
      </c>
      <c r="C7" s="8">
        <f>IF(B7="","",IFERROR(INDEX(Calculations!$E$4:$E$67,MATCH("A-2",Calculations!$Q$4:$Q$67,0)),""))</f>
        <v>0</v>
      </c>
      <c r="D7" s="8">
        <f>IF(B7="","",IFERROR(INDEX(Calculations!$F$4:$F$67,MATCH("A-2",Calculations!$Q$4:$Q$67,0)),""))</f>
        <v>0</v>
      </c>
      <c r="E7" s="8">
        <f>IF(B7="","",IFERROR(INDEX(Calculations!$G$4:$G$67,MATCH("A-2",Calculations!$Q$4:$Q$67,0)),""))</f>
        <v>0</v>
      </c>
      <c r="F7" s="8">
        <f>IF(B7="","",IFERROR(INDEX(Calculations!$H$4:$H$67,MATCH("A-2",Calculations!$Q$4:$Q$67,0)),""))</f>
        <v>0</v>
      </c>
      <c r="G7" s="8">
        <f>IF(B7="","",IFERROR(INDEX(Calculations!$I$4:$I$67,MATCH("A-2",Calculations!$Q$4:$Q$67,0)),""))</f>
        <v>0</v>
      </c>
      <c r="H7" s="8">
        <f>IF(B7="","",IFERROR(INDEX(Calculations!$J$4:$J$67,MATCH("A-2",Calculations!$Q$4:$Q$67,0)),""))</f>
        <v>0</v>
      </c>
      <c r="I7" s="8">
        <f>IF(B7="","",IFERROR(INDEX(Calculations!$K$4:$K$67,MATCH("A-2",Calculations!$Q$4:$Q$67,0)),""))</f>
        <v>0</v>
      </c>
      <c r="J7" s="8">
        <f>IF(B7="","",IFERROR(INDEX(Calculations!$L$4:$L$67,MATCH("A-2",Calculations!$Q$4:$Q$67,0)),""))</f>
        <v>0</v>
      </c>
      <c r="K7" s="8">
        <f>IF(B7="","",IFERROR(INDEX(Calculations!$N$4:$N$67,MATCH("A-2",Calculations!$Q$4:$Q$67,0)),""))</f>
        <v>0</v>
      </c>
    </row>
    <row r="8" spans="1:11">
      <c r="A8" s="6">
        <f>IF(B8="","",3)</f>
        <v>3</v>
      </c>
      <c r="B8" s="6" t="str">
        <f>IFERROR(INDEX(Calculations!$C$4:$C$67,MATCH("A-3",Calculations!$Q$4:$Q$67,0)),"")</f>
        <v>Team A3</v>
      </c>
      <c r="C8" s="8">
        <f>IF(B8="","",IFERROR(INDEX(Calculations!$E$4:$E$67,MATCH("A-3",Calculations!$Q$4:$Q$67,0)),""))</f>
        <v>0</v>
      </c>
      <c r="D8" s="8">
        <f>IF(B8="","",IFERROR(INDEX(Calculations!$F$4:$F$67,MATCH("A-3",Calculations!$Q$4:$Q$67,0)),""))</f>
        <v>0</v>
      </c>
      <c r="E8" s="8">
        <f>IF(B8="","",IFERROR(INDEX(Calculations!$G$4:$G$67,MATCH("A-3",Calculations!$Q$4:$Q$67,0)),""))</f>
        <v>0</v>
      </c>
      <c r="F8" s="8">
        <f>IF(B8="","",IFERROR(INDEX(Calculations!$H$4:$H$67,MATCH("A-3",Calculations!$Q$4:$Q$67,0)),""))</f>
        <v>0</v>
      </c>
      <c r="G8" s="8">
        <f>IF(B8="","",IFERROR(INDEX(Calculations!$I$4:$I$67,MATCH("A-3",Calculations!$Q$4:$Q$67,0)),""))</f>
        <v>0</v>
      </c>
      <c r="H8" s="8">
        <f>IF(B8="","",IFERROR(INDEX(Calculations!$J$4:$J$67,MATCH("A-3",Calculations!$Q$4:$Q$67,0)),""))</f>
        <v>0</v>
      </c>
      <c r="I8" s="8">
        <f>IF(B8="","",IFERROR(INDEX(Calculations!$K$4:$K$67,MATCH("A-3",Calculations!$Q$4:$Q$67,0)),""))</f>
        <v>0</v>
      </c>
      <c r="J8" s="8">
        <f>IF(B8="","",IFERROR(INDEX(Calculations!$L$4:$L$67,MATCH("A-3",Calculations!$Q$4:$Q$67,0)),""))</f>
        <v>0</v>
      </c>
      <c r="K8" s="8">
        <f>IF(B8="","",IFERROR(INDEX(Calculations!$N$4:$N$67,MATCH("A-3",Calculations!$Q$4:$Q$67,0)),""))</f>
        <v>0</v>
      </c>
    </row>
    <row r="9" spans="1:11">
      <c r="A9" s="6">
        <f>IF(B9="","",4)</f>
        <v>4</v>
      </c>
      <c r="B9" s="6" t="str">
        <f>IFERROR(INDEX(Calculations!$C$4:$C$67,MATCH("A-4",Calculations!$Q$4:$Q$67,0)),"")</f>
        <v>Team A4</v>
      </c>
      <c r="C9" s="8">
        <f>IF(B9="","",IFERROR(INDEX(Calculations!$E$4:$E$67,MATCH("A-4",Calculations!$Q$4:$Q$67,0)),""))</f>
        <v>0</v>
      </c>
      <c r="D9" s="8">
        <f>IF(B9="","",IFERROR(INDEX(Calculations!$F$4:$F$67,MATCH("A-4",Calculations!$Q$4:$Q$67,0)),""))</f>
        <v>0</v>
      </c>
      <c r="E9" s="8">
        <f>IF(B9="","",IFERROR(INDEX(Calculations!$G$4:$G$67,MATCH("A-4",Calculations!$Q$4:$Q$67,0)),""))</f>
        <v>0</v>
      </c>
      <c r="F9" s="8">
        <f>IF(B9="","",IFERROR(INDEX(Calculations!$H$4:$H$67,MATCH("A-4",Calculations!$Q$4:$Q$67,0)),""))</f>
        <v>0</v>
      </c>
      <c r="G9" s="8">
        <f>IF(B9="","",IFERROR(INDEX(Calculations!$I$4:$I$67,MATCH("A-4",Calculations!$Q$4:$Q$67,0)),""))</f>
        <v>0</v>
      </c>
      <c r="H9" s="8">
        <f>IF(B9="","",IFERROR(INDEX(Calculations!$J$4:$J$67,MATCH("A-4",Calculations!$Q$4:$Q$67,0)),""))</f>
        <v>0</v>
      </c>
      <c r="I9" s="8">
        <f>IF(B9="","",IFERROR(INDEX(Calculations!$K$4:$K$67,MATCH("A-4",Calculations!$Q$4:$Q$67,0)),""))</f>
        <v>0</v>
      </c>
      <c r="J9" s="8">
        <f>IF(B9="","",IFERROR(INDEX(Calculations!$L$4:$L$67,MATCH("A-4",Calculations!$Q$4:$Q$67,0)),""))</f>
        <v>0</v>
      </c>
      <c r="K9" s="8">
        <f>IF(B9="","",IFERROR(INDEX(Calculations!$N$4:$N$67,MATCH("A-4",Calculations!$Q$4:$Q$67,0)),""))</f>
        <v>0</v>
      </c>
    </row>
    <row r="10" spans="1:11">
      <c r="A10" s="6">
        <f>IF(B10="","",5)</f>
        <v>5</v>
      </c>
      <c r="B10" s="6" t="str">
        <f>IFERROR(INDEX(Calculations!$C$4:$C$67,MATCH("A-5",Calculations!$Q$4:$Q$67,0)),"")</f>
        <v>Team A5</v>
      </c>
      <c r="C10" s="8">
        <f>IF(B10="","",IFERROR(INDEX(Calculations!$E$4:$E$67,MATCH("A-5",Calculations!$Q$4:$Q$67,0)),""))</f>
        <v>0</v>
      </c>
      <c r="D10" s="8">
        <f>IF(B10="","",IFERROR(INDEX(Calculations!$F$4:$F$67,MATCH("A-5",Calculations!$Q$4:$Q$67,0)),""))</f>
        <v>0</v>
      </c>
      <c r="E10" s="8">
        <f>IF(B10="","",IFERROR(INDEX(Calculations!$G$4:$G$67,MATCH("A-5",Calculations!$Q$4:$Q$67,0)),""))</f>
        <v>0</v>
      </c>
      <c r="F10" s="8">
        <f>IF(B10="","",IFERROR(INDEX(Calculations!$H$4:$H$67,MATCH("A-5",Calculations!$Q$4:$Q$67,0)),""))</f>
        <v>0</v>
      </c>
      <c r="G10" s="8">
        <f>IF(B10="","",IFERROR(INDEX(Calculations!$I$4:$I$67,MATCH("A-5",Calculations!$Q$4:$Q$67,0)),""))</f>
        <v>0</v>
      </c>
      <c r="H10" s="8">
        <f>IF(B10="","",IFERROR(INDEX(Calculations!$J$4:$J$67,MATCH("A-5",Calculations!$Q$4:$Q$67,0)),""))</f>
        <v>0</v>
      </c>
      <c r="I10" s="8">
        <f>IF(B10="","",IFERROR(INDEX(Calculations!$K$4:$K$67,MATCH("A-5",Calculations!$Q$4:$Q$67,0)),""))</f>
        <v>0</v>
      </c>
      <c r="J10" s="8">
        <f>IF(B10="","",IFERROR(INDEX(Calculations!$L$4:$L$67,MATCH("A-5",Calculations!$Q$4:$Q$67,0)),""))</f>
        <v>0</v>
      </c>
      <c r="K10" s="8">
        <f>IF(B10="","",IFERROR(INDEX(Calculations!$N$4:$N$67,MATCH("A-5",Calculations!$Q$4:$Q$67,0)),""))</f>
        <v>0</v>
      </c>
    </row>
    <row r="11" spans="1:11">
      <c r="A11" s="6">
        <f>IF(B11="","",6)</f>
        <v>6</v>
      </c>
      <c r="B11" s="6" t="str">
        <f>IFERROR(INDEX(Calculations!$C$4:$C$67,MATCH("A-6",Calculations!$Q$4:$Q$67,0)),"")</f>
        <v>Team A6</v>
      </c>
      <c r="C11" s="8">
        <f>IF(B11="","",IFERROR(INDEX(Calculations!$E$4:$E$67,MATCH("A-6",Calculations!$Q$4:$Q$67,0)),""))</f>
        <v>0</v>
      </c>
      <c r="D11" s="8">
        <f>IF(B11="","",IFERROR(INDEX(Calculations!$F$4:$F$67,MATCH("A-6",Calculations!$Q$4:$Q$67,0)),""))</f>
        <v>0</v>
      </c>
      <c r="E11" s="8">
        <f>IF(B11="","",IFERROR(INDEX(Calculations!$G$4:$G$67,MATCH("A-6",Calculations!$Q$4:$Q$67,0)),""))</f>
        <v>0</v>
      </c>
      <c r="F11" s="8">
        <f>IF(B11="","",IFERROR(INDEX(Calculations!$H$4:$H$67,MATCH("A-6",Calculations!$Q$4:$Q$67,0)),""))</f>
        <v>0</v>
      </c>
      <c r="G11" s="8">
        <f>IF(B11="","",IFERROR(INDEX(Calculations!$I$4:$I$67,MATCH("A-6",Calculations!$Q$4:$Q$67,0)),""))</f>
        <v>0</v>
      </c>
      <c r="H11" s="8">
        <f>IF(B11="","",IFERROR(INDEX(Calculations!$J$4:$J$67,MATCH("A-6",Calculations!$Q$4:$Q$67,0)),""))</f>
        <v>0</v>
      </c>
      <c r="I11" s="8">
        <f>IF(B11="","",IFERROR(INDEX(Calculations!$K$4:$K$67,MATCH("A-6",Calculations!$Q$4:$Q$67,0)),""))</f>
        <v>0</v>
      </c>
      <c r="J11" s="8">
        <f>IF(B11="","",IFERROR(INDEX(Calculations!$L$4:$L$67,MATCH("A-6",Calculations!$Q$4:$Q$67,0)),""))</f>
        <v>0</v>
      </c>
      <c r="K11" s="8">
        <f>IF(B11="","",IFERROR(INDEX(Calculations!$N$4:$N$67,MATCH("A-6",Calculations!$Q$4:$Q$67,0)),""))</f>
        <v>0</v>
      </c>
    </row>
    <row r="12" spans="1:11">
      <c r="A12" s="6">
        <f>IF(B12="","",7)</f>
        <v>7</v>
      </c>
      <c r="B12" s="6" t="str">
        <f>IFERROR(INDEX(Calculations!$C$4:$C$67,MATCH("A-7",Calculations!$Q$4:$Q$67,0)),"")</f>
        <v>Team A7</v>
      </c>
      <c r="C12" s="8">
        <f>IF(B12="","",IFERROR(INDEX(Calculations!$E$4:$E$67,MATCH("A-7",Calculations!$Q$4:$Q$67,0)),""))</f>
        <v>0</v>
      </c>
      <c r="D12" s="8">
        <f>IF(B12="","",IFERROR(INDEX(Calculations!$F$4:$F$67,MATCH("A-7",Calculations!$Q$4:$Q$67,0)),""))</f>
        <v>0</v>
      </c>
      <c r="E12" s="8">
        <f>IF(B12="","",IFERROR(INDEX(Calculations!$G$4:$G$67,MATCH("A-7",Calculations!$Q$4:$Q$67,0)),""))</f>
        <v>0</v>
      </c>
      <c r="F12" s="8">
        <f>IF(B12="","",IFERROR(INDEX(Calculations!$H$4:$H$67,MATCH("A-7",Calculations!$Q$4:$Q$67,0)),""))</f>
        <v>0</v>
      </c>
      <c r="G12" s="8">
        <f>IF(B12="","",IFERROR(INDEX(Calculations!$I$4:$I$67,MATCH("A-7",Calculations!$Q$4:$Q$67,0)),""))</f>
        <v>0</v>
      </c>
      <c r="H12" s="8">
        <f>IF(B12="","",IFERROR(INDEX(Calculations!$J$4:$J$67,MATCH("A-7",Calculations!$Q$4:$Q$67,0)),""))</f>
        <v>0</v>
      </c>
      <c r="I12" s="8">
        <f>IF(B12="","",IFERROR(INDEX(Calculations!$K$4:$K$67,MATCH("A-7",Calculations!$Q$4:$Q$67,0)),""))</f>
        <v>0</v>
      </c>
      <c r="J12" s="8">
        <f>IF(B12="","",IFERROR(INDEX(Calculations!$L$4:$L$67,MATCH("A-7",Calculations!$Q$4:$Q$67,0)),""))</f>
        <v>0</v>
      </c>
      <c r="K12" s="8">
        <f>IF(B12="","",IFERROR(INDEX(Calculations!$N$4:$N$67,MATCH("A-7",Calculations!$Q$4:$Q$67,0)),""))</f>
        <v>0</v>
      </c>
    </row>
    <row r="13" spans="1:11">
      <c r="A13" s="6">
        <f>IF(B13="","",8)</f>
        <v>8</v>
      </c>
      <c r="B13" s="6" t="str">
        <f>IFERROR(INDEX(Calculations!$C$4:$C$67,MATCH("A-8",Calculations!$Q$4:$Q$67,0)),"")</f>
        <v>Team A8</v>
      </c>
      <c r="C13" s="8">
        <f>IF(B13="","",IFERROR(INDEX(Calculations!$E$4:$E$67,MATCH("A-8",Calculations!$Q$4:$Q$67,0)),""))</f>
        <v>0</v>
      </c>
      <c r="D13" s="8">
        <f>IF(B13="","",IFERROR(INDEX(Calculations!$F$4:$F$67,MATCH("A-8",Calculations!$Q$4:$Q$67,0)),""))</f>
        <v>0</v>
      </c>
      <c r="E13" s="8">
        <f>IF(B13="","",IFERROR(INDEX(Calculations!$G$4:$G$67,MATCH("A-8",Calculations!$Q$4:$Q$67,0)),""))</f>
        <v>0</v>
      </c>
      <c r="F13" s="8">
        <f>IF(B13="","",IFERROR(INDEX(Calculations!$H$4:$H$67,MATCH("A-8",Calculations!$Q$4:$Q$67,0)),""))</f>
        <v>0</v>
      </c>
      <c r="G13" s="8">
        <f>IF(B13="","",IFERROR(INDEX(Calculations!$I$4:$I$67,MATCH("A-8",Calculations!$Q$4:$Q$67,0)),""))</f>
        <v>0</v>
      </c>
      <c r="H13" s="8">
        <f>IF(B13="","",IFERROR(INDEX(Calculations!$J$4:$J$67,MATCH("A-8",Calculations!$Q$4:$Q$67,0)),""))</f>
        <v>0</v>
      </c>
      <c r="I13" s="8">
        <f>IF(B13="","",IFERROR(INDEX(Calculations!$K$4:$K$67,MATCH("A-8",Calculations!$Q$4:$Q$67,0)),""))</f>
        <v>0</v>
      </c>
      <c r="J13" s="8">
        <f>IF(B13="","",IFERROR(INDEX(Calculations!$L$4:$L$67,MATCH("A-8",Calculations!$Q$4:$Q$67,0)),""))</f>
        <v>0</v>
      </c>
      <c r="K13" s="8">
        <f>IF(B13="","",IFERROR(INDEX(Calculations!$N$4:$N$67,MATCH("A-8",Calculations!$Q$4:$Q$67,0)),""))</f>
        <v>0</v>
      </c>
    </row>
    <row r="15" spans="1:11" ht="15">
      <c r="A15" s="77" t="str">
        <f>IF(2&lt;=Setup!$B$5,"Pool B","")</f>
        <v>Pool B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</row>
    <row r="16" spans="1:11" ht="15">
      <c r="A16" s="3" t="s">
        <v>300</v>
      </c>
      <c r="B16" s="3" t="s">
        <v>286</v>
      </c>
      <c r="C16" s="3" t="s">
        <v>288</v>
      </c>
      <c r="D16" s="3" t="s">
        <v>289</v>
      </c>
      <c r="E16" s="3" t="s">
        <v>56</v>
      </c>
      <c r="F16" s="3" t="s">
        <v>290</v>
      </c>
      <c r="G16" s="3" t="s">
        <v>291</v>
      </c>
      <c r="H16" s="3" t="s">
        <v>301</v>
      </c>
      <c r="I16" s="3" t="s">
        <v>293</v>
      </c>
      <c r="J16" s="3" t="s">
        <v>294</v>
      </c>
      <c r="K16" s="3" t="s">
        <v>296</v>
      </c>
    </row>
    <row r="17" spans="1:11">
      <c r="A17" s="6">
        <f>IF(B17="","",1)</f>
        <v>1</v>
      </c>
      <c r="B17" s="6" t="str">
        <f>IFERROR(INDEX(Calculations!$C$4:$C$67,MATCH("B-1",Calculations!$Q$4:$Q$67,0)),"")</f>
        <v>Team B1</v>
      </c>
      <c r="C17" s="8">
        <f>IF(B17="","",IFERROR(INDEX(Calculations!$E$4:$E$67,MATCH("B-1",Calculations!$Q$4:$Q$67,0)),""))</f>
        <v>0</v>
      </c>
      <c r="D17" s="8">
        <f>IF(B17="","",IFERROR(INDEX(Calculations!$F$4:$F$67,MATCH("B-1",Calculations!$Q$4:$Q$67,0)),""))</f>
        <v>0</v>
      </c>
      <c r="E17" s="8">
        <f>IF(B17="","",IFERROR(INDEX(Calculations!$G$4:$G$67,MATCH("B-1",Calculations!$Q$4:$Q$67,0)),""))</f>
        <v>0</v>
      </c>
      <c r="F17" s="8">
        <f>IF(B17="","",IFERROR(INDEX(Calculations!$H$4:$H$67,MATCH("B-1",Calculations!$Q$4:$Q$67,0)),""))</f>
        <v>0</v>
      </c>
      <c r="G17" s="8">
        <f>IF(B17="","",IFERROR(INDEX(Calculations!$I$4:$I$67,MATCH("B-1",Calculations!$Q$4:$Q$67,0)),""))</f>
        <v>0</v>
      </c>
      <c r="H17" s="8">
        <f>IF(B17="","",IFERROR(INDEX(Calculations!$J$4:$J$67,MATCH("B-1",Calculations!$Q$4:$Q$67,0)),""))</f>
        <v>0</v>
      </c>
      <c r="I17" s="8">
        <f>IF(B17="","",IFERROR(INDEX(Calculations!$K$4:$K$67,MATCH("B-1",Calculations!$Q$4:$Q$67,0)),""))</f>
        <v>0</v>
      </c>
      <c r="J17" s="8">
        <f>IF(B17="","",IFERROR(INDEX(Calculations!$L$4:$L$67,MATCH("B-1",Calculations!$Q$4:$Q$67,0)),""))</f>
        <v>0</v>
      </c>
      <c r="K17" s="8">
        <f>IF(B17="","",IFERROR(INDEX(Calculations!$N$4:$N$67,MATCH("B-1",Calculations!$Q$4:$Q$67,0)),""))</f>
        <v>0</v>
      </c>
    </row>
    <row r="18" spans="1:11">
      <c r="A18" s="6">
        <f>IF(B18="","",2)</f>
        <v>2</v>
      </c>
      <c r="B18" s="6" t="str">
        <f>IFERROR(INDEX(Calculations!$C$4:$C$67,MATCH("B-2",Calculations!$Q$4:$Q$67,0)),"")</f>
        <v>Team B2</v>
      </c>
      <c r="C18" s="8">
        <f>IF(B18="","",IFERROR(INDEX(Calculations!$E$4:$E$67,MATCH("B-2",Calculations!$Q$4:$Q$67,0)),""))</f>
        <v>0</v>
      </c>
      <c r="D18" s="8">
        <f>IF(B18="","",IFERROR(INDEX(Calculations!$F$4:$F$67,MATCH("B-2",Calculations!$Q$4:$Q$67,0)),""))</f>
        <v>0</v>
      </c>
      <c r="E18" s="8">
        <f>IF(B18="","",IFERROR(INDEX(Calculations!$G$4:$G$67,MATCH("B-2",Calculations!$Q$4:$Q$67,0)),""))</f>
        <v>0</v>
      </c>
      <c r="F18" s="8">
        <f>IF(B18="","",IFERROR(INDEX(Calculations!$H$4:$H$67,MATCH("B-2",Calculations!$Q$4:$Q$67,0)),""))</f>
        <v>0</v>
      </c>
      <c r="G18" s="8">
        <f>IF(B18="","",IFERROR(INDEX(Calculations!$I$4:$I$67,MATCH("B-2",Calculations!$Q$4:$Q$67,0)),""))</f>
        <v>0</v>
      </c>
      <c r="H18" s="8">
        <f>IF(B18="","",IFERROR(INDEX(Calculations!$J$4:$J$67,MATCH("B-2",Calculations!$Q$4:$Q$67,0)),""))</f>
        <v>0</v>
      </c>
      <c r="I18" s="8">
        <f>IF(B18="","",IFERROR(INDEX(Calculations!$K$4:$K$67,MATCH("B-2",Calculations!$Q$4:$Q$67,0)),""))</f>
        <v>0</v>
      </c>
      <c r="J18" s="8">
        <f>IF(B18="","",IFERROR(INDEX(Calculations!$L$4:$L$67,MATCH("B-2",Calculations!$Q$4:$Q$67,0)),""))</f>
        <v>0</v>
      </c>
      <c r="K18" s="8">
        <f>IF(B18="","",IFERROR(INDEX(Calculations!$N$4:$N$67,MATCH("B-2",Calculations!$Q$4:$Q$67,0)),""))</f>
        <v>0</v>
      </c>
    </row>
    <row r="19" spans="1:11">
      <c r="A19" s="6">
        <f>IF(B19="","",3)</f>
        <v>3</v>
      </c>
      <c r="B19" s="6" t="str">
        <f>IFERROR(INDEX(Calculations!$C$4:$C$67,MATCH("B-3",Calculations!$Q$4:$Q$67,0)),"")</f>
        <v>Team B3</v>
      </c>
      <c r="C19" s="8">
        <f>IF(B19="","",IFERROR(INDEX(Calculations!$E$4:$E$67,MATCH("B-3",Calculations!$Q$4:$Q$67,0)),""))</f>
        <v>0</v>
      </c>
      <c r="D19" s="8">
        <f>IF(B19="","",IFERROR(INDEX(Calculations!$F$4:$F$67,MATCH("B-3",Calculations!$Q$4:$Q$67,0)),""))</f>
        <v>0</v>
      </c>
      <c r="E19" s="8">
        <f>IF(B19="","",IFERROR(INDEX(Calculations!$G$4:$G$67,MATCH("B-3",Calculations!$Q$4:$Q$67,0)),""))</f>
        <v>0</v>
      </c>
      <c r="F19" s="8">
        <f>IF(B19="","",IFERROR(INDEX(Calculations!$H$4:$H$67,MATCH("B-3",Calculations!$Q$4:$Q$67,0)),""))</f>
        <v>0</v>
      </c>
      <c r="G19" s="8">
        <f>IF(B19="","",IFERROR(INDEX(Calculations!$I$4:$I$67,MATCH("B-3",Calculations!$Q$4:$Q$67,0)),""))</f>
        <v>0</v>
      </c>
      <c r="H19" s="8">
        <f>IF(B19="","",IFERROR(INDEX(Calculations!$J$4:$J$67,MATCH("B-3",Calculations!$Q$4:$Q$67,0)),""))</f>
        <v>0</v>
      </c>
      <c r="I19" s="8">
        <f>IF(B19="","",IFERROR(INDEX(Calculations!$K$4:$K$67,MATCH("B-3",Calculations!$Q$4:$Q$67,0)),""))</f>
        <v>0</v>
      </c>
      <c r="J19" s="8">
        <f>IF(B19="","",IFERROR(INDEX(Calculations!$L$4:$L$67,MATCH("B-3",Calculations!$Q$4:$Q$67,0)),""))</f>
        <v>0</v>
      </c>
      <c r="K19" s="8">
        <f>IF(B19="","",IFERROR(INDEX(Calculations!$N$4:$N$67,MATCH("B-3",Calculations!$Q$4:$Q$67,0)),""))</f>
        <v>0</v>
      </c>
    </row>
    <row r="20" spans="1:11">
      <c r="A20" s="6">
        <f>IF(B20="","",4)</f>
        <v>4</v>
      </c>
      <c r="B20" s="6" t="str">
        <f>IFERROR(INDEX(Calculations!$C$4:$C$67,MATCH("B-4",Calculations!$Q$4:$Q$67,0)),"")</f>
        <v>Team B4</v>
      </c>
      <c r="C20" s="8">
        <f>IF(B20="","",IFERROR(INDEX(Calculations!$E$4:$E$67,MATCH("B-4",Calculations!$Q$4:$Q$67,0)),""))</f>
        <v>0</v>
      </c>
      <c r="D20" s="8">
        <f>IF(B20="","",IFERROR(INDEX(Calculations!$F$4:$F$67,MATCH("B-4",Calculations!$Q$4:$Q$67,0)),""))</f>
        <v>0</v>
      </c>
      <c r="E20" s="8">
        <f>IF(B20="","",IFERROR(INDEX(Calculations!$G$4:$G$67,MATCH("B-4",Calculations!$Q$4:$Q$67,0)),""))</f>
        <v>0</v>
      </c>
      <c r="F20" s="8">
        <f>IF(B20="","",IFERROR(INDEX(Calculations!$H$4:$H$67,MATCH("B-4",Calculations!$Q$4:$Q$67,0)),""))</f>
        <v>0</v>
      </c>
      <c r="G20" s="8">
        <f>IF(B20="","",IFERROR(INDEX(Calculations!$I$4:$I$67,MATCH("B-4",Calculations!$Q$4:$Q$67,0)),""))</f>
        <v>0</v>
      </c>
      <c r="H20" s="8">
        <f>IF(B20="","",IFERROR(INDEX(Calculations!$J$4:$J$67,MATCH("B-4",Calculations!$Q$4:$Q$67,0)),""))</f>
        <v>0</v>
      </c>
      <c r="I20" s="8">
        <f>IF(B20="","",IFERROR(INDEX(Calculations!$K$4:$K$67,MATCH("B-4",Calculations!$Q$4:$Q$67,0)),""))</f>
        <v>0</v>
      </c>
      <c r="J20" s="8">
        <f>IF(B20="","",IFERROR(INDEX(Calculations!$L$4:$L$67,MATCH("B-4",Calculations!$Q$4:$Q$67,0)),""))</f>
        <v>0</v>
      </c>
      <c r="K20" s="8">
        <f>IF(B20="","",IFERROR(INDEX(Calculations!$N$4:$N$67,MATCH("B-4",Calculations!$Q$4:$Q$67,0)),""))</f>
        <v>0</v>
      </c>
    </row>
    <row r="21" spans="1:11">
      <c r="A21" s="6">
        <f>IF(B21="","",5)</f>
        <v>5</v>
      </c>
      <c r="B21" s="6" t="str">
        <f>IFERROR(INDEX(Calculations!$C$4:$C$67,MATCH("B-5",Calculations!$Q$4:$Q$67,0)),"")</f>
        <v>Team B5</v>
      </c>
      <c r="C21" s="8">
        <f>IF(B21="","",IFERROR(INDEX(Calculations!$E$4:$E$67,MATCH("B-5",Calculations!$Q$4:$Q$67,0)),""))</f>
        <v>0</v>
      </c>
      <c r="D21" s="8">
        <f>IF(B21="","",IFERROR(INDEX(Calculations!$F$4:$F$67,MATCH("B-5",Calculations!$Q$4:$Q$67,0)),""))</f>
        <v>0</v>
      </c>
      <c r="E21" s="8">
        <f>IF(B21="","",IFERROR(INDEX(Calculations!$G$4:$G$67,MATCH("B-5",Calculations!$Q$4:$Q$67,0)),""))</f>
        <v>0</v>
      </c>
      <c r="F21" s="8">
        <f>IF(B21="","",IFERROR(INDEX(Calculations!$H$4:$H$67,MATCH("B-5",Calculations!$Q$4:$Q$67,0)),""))</f>
        <v>0</v>
      </c>
      <c r="G21" s="8">
        <f>IF(B21="","",IFERROR(INDEX(Calculations!$I$4:$I$67,MATCH("B-5",Calculations!$Q$4:$Q$67,0)),""))</f>
        <v>0</v>
      </c>
      <c r="H21" s="8">
        <f>IF(B21="","",IFERROR(INDEX(Calculations!$J$4:$J$67,MATCH("B-5",Calculations!$Q$4:$Q$67,0)),""))</f>
        <v>0</v>
      </c>
      <c r="I21" s="8">
        <f>IF(B21="","",IFERROR(INDEX(Calculations!$K$4:$K$67,MATCH("B-5",Calculations!$Q$4:$Q$67,0)),""))</f>
        <v>0</v>
      </c>
      <c r="J21" s="8">
        <f>IF(B21="","",IFERROR(INDEX(Calculations!$L$4:$L$67,MATCH("B-5",Calculations!$Q$4:$Q$67,0)),""))</f>
        <v>0</v>
      </c>
      <c r="K21" s="8">
        <f>IF(B21="","",IFERROR(INDEX(Calculations!$N$4:$N$67,MATCH("B-5",Calculations!$Q$4:$Q$67,0)),""))</f>
        <v>0</v>
      </c>
    </row>
    <row r="22" spans="1:11">
      <c r="A22" s="6">
        <f>IF(B22="","",6)</f>
        <v>6</v>
      </c>
      <c r="B22" s="6" t="str">
        <f>IFERROR(INDEX(Calculations!$C$4:$C$67,MATCH("B-6",Calculations!$Q$4:$Q$67,0)),"")</f>
        <v>Team B6</v>
      </c>
      <c r="C22" s="8">
        <f>IF(B22="","",IFERROR(INDEX(Calculations!$E$4:$E$67,MATCH("B-6",Calculations!$Q$4:$Q$67,0)),""))</f>
        <v>0</v>
      </c>
      <c r="D22" s="8">
        <f>IF(B22="","",IFERROR(INDEX(Calculations!$F$4:$F$67,MATCH("B-6",Calculations!$Q$4:$Q$67,0)),""))</f>
        <v>0</v>
      </c>
      <c r="E22" s="8">
        <f>IF(B22="","",IFERROR(INDEX(Calculations!$G$4:$G$67,MATCH("B-6",Calculations!$Q$4:$Q$67,0)),""))</f>
        <v>0</v>
      </c>
      <c r="F22" s="8">
        <f>IF(B22="","",IFERROR(INDEX(Calculations!$H$4:$H$67,MATCH("B-6",Calculations!$Q$4:$Q$67,0)),""))</f>
        <v>0</v>
      </c>
      <c r="G22" s="8">
        <f>IF(B22="","",IFERROR(INDEX(Calculations!$I$4:$I$67,MATCH("B-6",Calculations!$Q$4:$Q$67,0)),""))</f>
        <v>0</v>
      </c>
      <c r="H22" s="8">
        <f>IF(B22="","",IFERROR(INDEX(Calculations!$J$4:$J$67,MATCH("B-6",Calculations!$Q$4:$Q$67,0)),""))</f>
        <v>0</v>
      </c>
      <c r="I22" s="8">
        <f>IF(B22="","",IFERROR(INDEX(Calculations!$K$4:$K$67,MATCH("B-6",Calculations!$Q$4:$Q$67,0)),""))</f>
        <v>0</v>
      </c>
      <c r="J22" s="8">
        <f>IF(B22="","",IFERROR(INDEX(Calculations!$L$4:$L$67,MATCH("B-6",Calculations!$Q$4:$Q$67,0)),""))</f>
        <v>0</v>
      </c>
      <c r="K22" s="8">
        <f>IF(B22="","",IFERROR(INDEX(Calculations!$N$4:$N$67,MATCH("B-6",Calculations!$Q$4:$Q$67,0)),""))</f>
        <v>0</v>
      </c>
    </row>
    <row r="23" spans="1:11">
      <c r="A23" s="6">
        <f>IF(B23="","",7)</f>
        <v>7</v>
      </c>
      <c r="B23" s="6" t="str">
        <f>IFERROR(INDEX(Calculations!$C$4:$C$67,MATCH("B-7",Calculations!$Q$4:$Q$67,0)),"")</f>
        <v>Team B7</v>
      </c>
      <c r="C23" s="8">
        <f>IF(B23="","",IFERROR(INDEX(Calculations!$E$4:$E$67,MATCH("B-7",Calculations!$Q$4:$Q$67,0)),""))</f>
        <v>0</v>
      </c>
      <c r="D23" s="8">
        <f>IF(B23="","",IFERROR(INDEX(Calculations!$F$4:$F$67,MATCH("B-7",Calculations!$Q$4:$Q$67,0)),""))</f>
        <v>0</v>
      </c>
      <c r="E23" s="8">
        <f>IF(B23="","",IFERROR(INDEX(Calculations!$G$4:$G$67,MATCH("B-7",Calculations!$Q$4:$Q$67,0)),""))</f>
        <v>0</v>
      </c>
      <c r="F23" s="8">
        <f>IF(B23="","",IFERROR(INDEX(Calculations!$H$4:$H$67,MATCH("B-7",Calculations!$Q$4:$Q$67,0)),""))</f>
        <v>0</v>
      </c>
      <c r="G23" s="8">
        <f>IF(B23="","",IFERROR(INDEX(Calculations!$I$4:$I$67,MATCH("B-7",Calculations!$Q$4:$Q$67,0)),""))</f>
        <v>0</v>
      </c>
      <c r="H23" s="8">
        <f>IF(B23="","",IFERROR(INDEX(Calculations!$J$4:$J$67,MATCH("B-7",Calculations!$Q$4:$Q$67,0)),""))</f>
        <v>0</v>
      </c>
      <c r="I23" s="8">
        <f>IF(B23="","",IFERROR(INDEX(Calculations!$K$4:$K$67,MATCH("B-7",Calculations!$Q$4:$Q$67,0)),""))</f>
        <v>0</v>
      </c>
      <c r="J23" s="8">
        <f>IF(B23="","",IFERROR(INDEX(Calculations!$L$4:$L$67,MATCH("B-7",Calculations!$Q$4:$Q$67,0)),""))</f>
        <v>0</v>
      </c>
      <c r="K23" s="8">
        <f>IF(B23="","",IFERROR(INDEX(Calculations!$N$4:$N$67,MATCH("B-7",Calculations!$Q$4:$Q$67,0)),""))</f>
        <v>0</v>
      </c>
    </row>
    <row r="24" spans="1:11">
      <c r="A24" s="6">
        <f>IF(B24="","",8)</f>
        <v>8</v>
      </c>
      <c r="B24" s="6" t="str">
        <f>IFERROR(INDEX(Calculations!$C$4:$C$67,MATCH("B-8",Calculations!$Q$4:$Q$67,0)),"")</f>
        <v>Team B8</v>
      </c>
      <c r="C24" s="8">
        <f>IF(B24="","",IFERROR(INDEX(Calculations!$E$4:$E$67,MATCH("B-8",Calculations!$Q$4:$Q$67,0)),""))</f>
        <v>0</v>
      </c>
      <c r="D24" s="8">
        <f>IF(B24="","",IFERROR(INDEX(Calculations!$F$4:$F$67,MATCH("B-8",Calculations!$Q$4:$Q$67,0)),""))</f>
        <v>0</v>
      </c>
      <c r="E24" s="8">
        <f>IF(B24="","",IFERROR(INDEX(Calculations!$G$4:$G$67,MATCH("B-8",Calculations!$Q$4:$Q$67,0)),""))</f>
        <v>0</v>
      </c>
      <c r="F24" s="8">
        <f>IF(B24="","",IFERROR(INDEX(Calculations!$H$4:$H$67,MATCH("B-8",Calculations!$Q$4:$Q$67,0)),""))</f>
        <v>0</v>
      </c>
      <c r="G24" s="8">
        <f>IF(B24="","",IFERROR(INDEX(Calculations!$I$4:$I$67,MATCH("B-8",Calculations!$Q$4:$Q$67,0)),""))</f>
        <v>0</v>
      </c>
      <c r="H24" s="8">
        <f>IF(B24="","",IFERROR(INDEX(Calculations!$J$4:$J$67,MATCH("B-8",Calculations!$Q$4:$Q$67,0)),""))</f>
        <v>0</v>
      </c>
      <c r="I24" s="8">
        <f>IF(B24="","",IFERROR(INDEX(Calculations!$K$4:$K$67,MATCH("B-8",Calculations!$Q$4:$Q$67,0)),""))</f>
        <v>0</v>
      </c>
      <c r="J24" s="8">
        <f>IF(B24="","",IFERROR(INDEX(Calculations!$L$4:$L$67,MATCH("B-8",Calculations!$Q$4:$Q$67,0)),""))</f>
        <v>0</v>
      </c>
      <c r="K24" s="8">
        <f>IF(B24="","",IFERROR(INDEX(Calculations!$N$4:$N$67,MATCH("B-8",Calculations!$Q$4:$Q$67,0)),""))</f>
        <v>0</v>
      </c>
    </row>
    <row r="26" spans="1:11" ht="15">
      <c r="A26" s="77" t="str">
        <f>IF(3&lt;=Setup!$B$5,"Pool C","")</f>
        <v>Pool C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</row>
    <row r="27" spans="1:11" ht="15">
      <c r="A27" s="3" t="s">
        <v>300</v>
      </c>
      <c r="B27" s="3" t="s">
        <v>286</v>
      </c>
      <c r="C27" s="3" t="s">
        <v>288</v>
      </c>
      <c r="D27" s="3" t="s">
        <v>289</v>
      </c>
      <c r="E27" s="3" t="s">
        <v>56</v>
      </c>
      <c r="F27" s="3" t="s">
        <v>290</v>
      </c>
      <c r="G27" s="3" t="s">
        <v>291</v>
      </c>
      <c r="H27" s="3" t="s">
        <v>301</v>
      </c>
      <c r="I27" s="3" t="s">
        <v>293</v>
      </c>
      <c r="J27" s="3" t="s">
        <v>294</v>
      </c>
      <c r="K27" s="3" t="s">
        <v>296</v>
      </c>
    </row>
    <row r="28" spans="1:11">
      <c r="A28" s="6">
        <f>IF(B28="","",1)</f>
        <v>1</v>
      </c>
      <c r="B28" s="6" t="str">
        <f>IFERROR(INDEX(Calculations!$C$4:$C$67,MATCH("C-1",Calculations!$Q$4:$Q$67,0)),"")</f>
        <v>Team C1</v>
      </c>
      <c r="C28" s="8">
        <f>IF(B28="","",IFERROR(INDEX(Calculations!$E$4:$E$67,MATCH("C-1",Calculations!$Q$4:$Q$67,0)),""))</f>
        <v>0</v>
      </c>
      <c r="D28" s="8">
        <f>IF(B28="","",IFERROR(INDEX(Calculations!$F$4:$F$67,MATCH("C-1",Calculations!$Q$4:$Q$67,0)),""))</f>
        <v>0</v>
      </c>
      <c r="E28" s="8">
        <f>IF(B28="","",IFERROR(INDEX(Calculations!$G$4:$G$67,MATCH("C-1",Calculations!$Q$4:$Q$67,0)),""))</f>
        <v>0</v>
      </c>
      <c r="F28" s="8">
        <f>IF(B28="","",IFERROR(INDEX(Calculations!$H$4:$H$67,MATCH("C-1",Calculations!$Q$4:$Q$67,0)),""))</f>
        <v>0</v>
      </c>
      <c r="G28" s="8">
        <f>IF(B28="","",IFERROR(INDEX(Calculations!$I$4:$I$67,MATCH("C-1",Calculations!$Q$4:$Q$67,0)),""))</f>
        <v>0</v>
      </c>
      <c r="H28" s="8">
        <f>IF(B28="","",IFERROR(INDEX(Calculations!$J$4:$J$67,MATCH("C-1",Calculations!$Q$4:$Q$67,0)),""))</f>
        <v>0</v>
      </c>
      <c r="I28" s="8">
        <f>IF(B28="","",IFERROR(INDEX(Calculations!$K$4:$K$67,MATCH("C-1",Calculations!$Q$4:$Q$67,0)),""))</f>
        <v>0</v>
      </c>
      <c r="J28" s="8">
        <f>IF(B28="","",IFERROR(INDEX(Calculations!$L$4:$L$67,MATCH("C-1",Calculations!$Q$4:$Q$67,0)),""))</f>
        <v>0</v>
      </c>
      <c r="K28" s="8">
        <f>IF(B28="","",IFERROR(INDEX(Calculations!$N$4:$N$67,MATCH("C-1",Calculations!$Q$4:$Q$67,0)),""))</f>
        <v>0</v>
      </c>
    </row>
    <row r="29" spans="1:11">
      <c r="A29" s="6">
        <f>IF(B29="","",2)</f>
        <v>2</v>
      </c>
      <c r="B29" s="6" t="str">
        <f>IFERROR(INDEX(Calculations!$C$4:$C$67,MATCH("C-2",Calculations!$Q$4:$Q$67,0)),"")</f>
        <v>Team C2</v>
      </c>
      <c r="C29" s="8">
        <f>IF(B29="","",IFERROR(INDEX(Calculations!$E$4:$E$67,MATCH("C-2",Calculations!$Q$4:$Q$67,0)),""))</f>
        <v>0</v>
      </c>
      <c r="D29" s="8">
        <f>IF(B29="","",IFERROR(INDEX(Calculations!$F$4:$F$67,MATCH("C-2",Calculations!$Q$4:$Q$67,0)),""))</f>
        <v>0</v>
      </c>
      <c r="E29" s="8">
        <f>IF(B29="","",IFERROR(INDEX(Calculations!$G$4:$G$67,MATCH("C-2",Calculations!$Q$4:$Q$67,0)),""))</f>
        <v>0</v>
      </c>
      <c r="F29" s="8">
        <f>IF(B29="","",IFERROR(INDEX(Calculations!$H$4:$H$67,MATCH("C-2",Calculations!$Q$4:$Q$67,0)),""))</f>
        <v>0</v>
      </c>
      <c r="G29" s="8">
        <f>IF(B29="","",IFERROR(INDEX(Calculations!$I$4:$I$67,MATCH("C-2",Calculations!$Q$4:$Q$67,0)),""))</f>
        <v>0</v>
      </c>
      <c r="H29" s="8">
        <f>IF(B29="","",IFERROR(INDEX(Calculations!$J$4:$J$67,MATCH("C-2",Calculations!$Q$4:$Q$67,0)),""))</f>
        <v>0</v>
      </c>
      <c r="I29" s="8">
        <f>IF(B29="","",IFERROR(INDEX(Calculations!$K$4:$K$67,MATCH("C-2",Calculations!$Q$4:$Q$67,0)),""))</f>
        <v>0</v>
      </c>
      <c r="J29" s="8">
        <f>IF(B29="","",IFERROR(INDEX(Calculations!$L$4:$L$67,MATCH("C-2",Calculations!$Q$4:$Q$67,0)),""))</f>
        <v>0</v>
      </c>
      <c r="K29" s="8">
        <f>IF(B29="","",IFERROR(INDEX(Calculations!$N$4:$N$67,MATCH("C-2",Calculations!$Q$4:$Q$67,0)),""))</f>
        <v>0</v>
      </c>
    </row>
    <row r="30" spans="1:11">
      <c r="A30" s="6">
        <f>IF(B30="","",3)</f>
        <v>3</v>
      </c>
      <c r="B30" s="6" t="str">
        <f>IFERROR(INDEX(Calculations!$C$4:$C$67,MATCH("C-3",Calculations!$Q$4:$Q$67,0)),"")</f>
        <v>Team C3</v>
      </c>
      <c r="C30" s="8">
        <f>IF(B30="","",IFERROR(INDEX(Calculations!$E$4:$E$67,MATCH("C-3",Calculations!$Q$4:$Q$67,0)),""))</f>
        <v>0</v>
      </c>
      <c r="D30" s="8">
        <f>IF(B30="","",IFERROR(INDEX(Calculations!$F$4:$F$67,MATCH("C-3",Calculations!$Q$4:$Q$67,0)),""))</f>
        <v>0</v>
      </c>
      <c r="E30" s="8">
        <f>IF(B30="","",IFERROR(INDEX(Calculations!$G$4:$G$67,MATCH("C-3",Calculations!$Q$4:$Q$67,0)),""))</f>
        <v>0</v>
      </c>
      <c r="F30" s="8">
        <f>IF(B30="","",IFERROR(INDEX(Calculations!$H$4:$H$67,MATCH("C-3",Calculations!$Q$4:$Q$67,0)),""))</f>
        <v>0</v>
      </c>
      <c r="G30" s="8">
        <f>IF(B30="","",IFERROR(INDEX(Calculations!$I$4:$I$67,MATCH("C-3",Calculations!$Q$4:$Q$67,0)),""))</f>
        <v>0</v>
      </c>
      <c r="H30" s="8">
        <f>IF(B30="","",IFERROR(INDEX(Calculations!$J$4:$J$67,MATCH("C-3",Calculations!$Q$4:$Q$67,0)),""))</f>
        <v>0</v>
      </c>
      <c r="I30" s="8">
        <f>IF(B30="","",IFERROR(INDEX(Calculations!$K$4:$K$67,MATCH("C-3",Calculations!$Q$4:$Q$67,0)),""))</f>
        <v>0</v>
      </c>
      <c r="J30" s="8">
        <f>IF(B30="","",IFERROR(INDEX(Calculations!$L$4:$L$67,MATCH("C-3",Calculations!$Q$4:$Q$67,0)),""))</f>
        <v>0</v>
      </c>
      <c r="K30" s="8">
        <f>IF(B30="","",IFERROR(INDEX(Calculations!$N$4:$N$67,MATCH("C-3",Calculations!$Q$4:$Q$67,0)),""))</f>
        <v>0</v>
      </c>
    </row>
    <row r="31" spans="1:11">
      <c r="A31" s="6">
        <f>IF(B31="","",4)</f>
        <v>4</v>
      </c>
      <c r="B31" s="6" t="str">
        <f>IFERROR(INDEX(Calculations!$C$4:$C$67,MATCH("C-4",Calculations!$Q$4:$Q$67,0)),"")</f>
        <v>Team C4</v>
      </c>
      <c r="C31" s="8">
        <f>IF(B31="","",IFERROR(INDEX(Calculations!$E$4:$E$67,MATCH("C-4",Calculations!$Q$4:$Q$67,0)),""))</f>
        <v>0</v>
      </c>
      <c r="D31" s="8">
        <f>IF(B31="","",IFERROR(INDEX(Calculations!$F$4:$F$67,MATCH("C-4",Calculations!$Q$4:$Q$67,0)),""))</f>
        <v>0</v>
      </c>
      <c r="E31" s="8">
        <f>IF(B31="","",IFERROR(INDEX(Calculations!$G$4:$G$67,MATCH("C-4",Calculations!$Q$4:$Q$67,0)),""))</f>
        <v>0</v>
      </c>
      <c r="F31" s="8">
        <f>IF(B31="","",IFERROR(INDEX(Calculations!$H$4:$H$67,MATCH("C-4",Calculations!$Q$4:$Q$67,0)),""))</f>
        <v>0</v>
      </c>
      <c r="G31" s="8">
        <f>IF(B31="","",IFERROR(INDEX(Calculations!$I$4:$I$67,MATCH("C-4",Calculations!$Q$4:$Q$67,0)),""))</f>
        <v>0</v>
      </c>
      <c r="H31" s="8">
        <f>IF(B31="","",IFERROR(INDEX(Calculations!$J$4:$J$67,MATCH("C-4",Calculations!$Q$4:$Q$67,0)),""))</f>
        <v>0</v>
      </c>
      <c r="I31" s="8">
        <f>IF(B31="","",IFERROR(INDEX(Calculations!$K$4:$K$67,MATCH("C-4",Calculations!$Q$4:$Q$67,0)),""))</f>
        <v>0</v>
      </c>
      <c r="J31" s="8">
        <f>IF(B31="","",IFERROR(INDEX(Calculations!$L$4:$L$67,MATCH("C-4",Calculations!$Q$4:$Q$67,0)),""))</f>
        <v>0</v>
      </c>
      <c r="K31" s="8">
        <f>IF(B31="","",IFERROR(INDEX(Calculations!$N$4:$N$67,MATCH("C-4",Calculations!$Q$4:$Q$67,0)),""))</f>
        <v>0</v>
      </c>
    </row>
    <row r="32" spans="1:11">
      <c r="A32" s="6">
        <f>IF(B32="","",5)</f>
        <v>5</v>
      </c>
      <c r="B32" s="6" t="str">
        <f>IFERROR(INDEX(Calculations!$C$4:$C$67,MATCH("C-5",Calculations!$Q$4:$Q$67,0)),"")</f>
        <v>Team C5</v>
      </c>
      <c r="C32" s="8">
        <f>IF(B32="","",IFERROR(INDEX(Calculations!$E$4:$E$67,MATCH("C-5",Calculations!$Q$4:$Q$67,0)),""))</f>
        <v>0</v>
      </c>
      <c r="D32" s="8">
        <f>IF(B32="","",IFERROR(INDEX(Calculations!$F$4:$F$67,MATCH("C-5",Calculations!$Q$4:$Q$67,0)),""))</f>
        <v>0</v>
      </c>
      <c r="E32" s="8">
        <f>IF(B32="","",IFERROR(INDEX(Calculations!$G$4:$G$67,MATCH("C-5",Calculations!$Q$4:$Q$67,0)),""))</f>
        <v>0</v>
      </c>
      <c r="F32" s="8">
        <f>IF(B32="","",IFERROR(INDEX(Calculations!$H$4:$H$67,MATCH("C-5",Calculations!$Q$4:$Q$67,0)),""))</f>
        <v>0</v>
      </c>
      <c r="G32" s="8">
        <f>IF(B32="","",IFERROR(INDEX(Calculations!$I$4:$I$67,MATCH("C-5",Calculations!$Q$4:$Q$67,0)),""))</f>
        <v>0</v>
      </c>
      <c r="H32" s="8">
        <f>IF(B32="","",IFERROR(INDEX(Calculations!$J$4:$J$67,MATCH("C-5",Calculations!$Q$4:$Q$67,0)),""))</f>
        <v>0</v>
      </c>
      <c r="I32" s="8">
        <f>IF(B32="","",IFERROR(INDEX(Calculations!$K$4:$K$67,MATCH("C-5",Calculations!$Q$4:$Q$67,0)),""))</f>
        <v>0</v>
      </c>
      <c r="J32" s="8">
        <f>IF(B32="","",IFERROR(INDEX(Calculations!$L$4:$L$67,MATCH("C-5",Calculations!$Q$4:$Q$67,0)),""))</f>
        <v>0</v>
      </c>
      <c r="K32" s="8">
        <f>IF(B32="","",IFERROR(INDEX(Calculations!$N$4:$N$67,MATCH("C-5",Calculations!$Q$4:$Q$67,0)),""))</f>
        <v>0</v>
      </c>
    </row>
    <row r="33" spans="1:11">
      <c r="A33" s="6">
        <f>IF(B33="","",6)</f>
        <v>6</v>
      </c>
      <c r="B33" s="6" t="str">
        <f>IFERROR(INDEX(Calculations!$C$4:$C$67,MATCH("C-6",Calculations!$Q$4:$Q$67,0)),"")</f>
        <v>Team C6</v>
      </c>
      <c r="C33" s="8">
        <f>IF(B33="","",IFERROR(INDEX(Calculations!$E$4:$E$67,MATCH("C-6",Calculations!$Q$4:$Q$67,0)),""))</f>
        <v>0</v>
      </c>
      <c r="D33" s="8">
        <f>IF(B33="","",IFERROR(INDEX(Calculations!$F$4:$F$67,MATCH("C-6",Calculations!$Q$4:$Q$67,0)),""))</f>
        <v>0</v>
      </c>
      <c r="E33" s="8">
        <f>IF(B33="","",IFERROR(INDEX(Calculations!$G$4:$G$67,MATCH("C-6",Calculations!$Q$4:$Q$67,0)),""))</f>
        <v>0</v>
      </c>
      <c r="F33" s="8">
        <f>IF(B33="","",IFERROR(INDEX(Calculations!$H$4:$H$67,MATCH("C-6",Calculations!$Q$4:$Q$67,0)),""))</f>
        <v>0</v>
      </c>
      <c r="G33" s="8">
        <f>IF(B33="","",IFERROR(INDEX(Calculations!$I$4:$I$67,MATCH("C-6",Calculations!$Q$4:$Q$67,0)),""))</f>
        <v>0</v>
      </c>
      <c r="H33" s="8">
        <f>IF(B33="","",IFERROR(INDEX(Calculations!$J$4:$J$67,MATCH("C-6",Calculations!$Q$4:$Q$67,0)),""))</f>
        <v>0</v>
      </c>
      <c r="I33" s="8">
        <f>IF(B33="","",IFERROR(INDEX(Calculations!$K$4:$K$67,MATCH("C-6",Calculations!$Q$4:$Q$67,0)),""))</f>
        <v>0</v>
      </c>
      <c r="J33" s="8">
        <f>IF(B33="","",IFERROR(INDEX(Calculations!$L$4:$L$67,MATCH("C-6",Calculations!$Q$4:$Q$67,0)),""))</f>
        <v>0</v>
      </c>
      <c r="K33" s="8">
        <f>IF(B33="","",IFERROR(INDEX(Calculations!$N$4:$N$67,MATCH("C-6",Calculations!$Q$4:$Q$67,0)),""))</f>
        <v>0</v>
      </c>
    </row>
    <row r="34" spans="1:11">
      <c r="A34" s="6">
        <f>IF(B34="","",7)</f>
        <v>7</v>
      </c>
      <c r="B34" s="6" t="str">
        <f>IFERROR(INDEX(Calculations!$C$4:$C$67,MATCH("C-7",Calculations!$Q$4:$Q$67,0)),"")</f>
        <v>Team C7</v>
      </c>
      <c r="C34" s="8">
        <f>IF(B34="","",IFERROR(INDEX(Calculations!$E$4:$E$67,MATCH("C-7",Calculations!$Q$4:$Q$67,0)),""))</f>
        <v>0</v>
      </c>
      <c r="D34" s="8">
        <f>IF(B34="","",IFERROR(INDEX(Calculations!$F$4:$F$67,MATCH("C-7",Calculations!$Q$4:$Q$67,0)),""))</f>
        <v>0</v>
      </c>
      <c r="E34" s="8">
        <f>IF(B34="","",IFERROR(INDEX(Calculations!$G$4:$G$67,MATCH("C-7",Calculations!$Q$4:$Q$67,0)),""))</f>
        <v>0</v>
      </c>
      <c r="F34" s="8">
        <f>IF(B34="","",IFERROR(INDEX(Calculations!$H$4:$H$67,MATCH("C-7",Calculations!$Q$4:$Q$67,0)),""))</f>
        <v>0</v>
      </c>
      <c r="G34" s="8">
        <f>IF(B34="","",IFERROR(INDEX(Calculations!$I$4:$I$67,MATCH("C-7",Calculations!$Q$4:$Q$67,0)),""))</f>
        <v>0</v>
      </c>
      <c r="H34" s="8">
        <f>IF(B34="","",IFERROR(INDEX(Calculations!$J$4:$J$67,MATCH("C-7",Calculations!$Q$4:$Q$67,0)),""))</f>
        <v>0</v>
      </c>
      <c r="I34" s="8">
        <f>IF(B34="","",IFERROR(INDEX(Calculations!$K$4:$K$67,MATCH("C-7",Calculations!$Q$4:$Q$67,0)),""))</f>
        <v>0</v>
      </c>
      <c r="J34" s="8">
        <f>IF(B34="","",IFERROR(INDEX(Calculations!$L$4:$L$67,MATCH("C-7",Calculations!$Q$4:$Q$67,0)),""))</f>
        <v>0</v>
      </c>
      <c r="K34" s="8">
        <f>IF(B34="","",IFERROR(INDEX(Calculations!$N$4:$N$67,MATCH("C-7",Calculations!$Q$4:$Q$67,0)),""))</f>
        <v>0</v>
      </c>
    </row>
    <row r="35" spans="1:11">
      <c r="A35" s="6">
        <f>IF(B35="","",8)</f>
        <v>8</v>
      </c>
      <c r="B35" s="6" t="str">
        <f>IFERROR(INDEX(Calculations!$C$4:$C$67,MATCH("C-8",Calculations!$Q$4:$Q$67,0)),"")</f>
        <v>Team C8</v>
      </c>
      <c r="C35" s="8">
        <f>IF(B35="","",IFERROR(INDEX(Calculations!$E$4:$E$67,MATCH("C-8",Calculations!$Q$4:$Q$67,0)),""))</f>
        <v>0</v>
      </c>
      <c r="D35" s="8">
        <f>IF(B35="","",IFERROR(INDEX(Calculations!$F$4:$F$67,MATCH("C-8",Calculations!$Q$4:$Q$67,0)),""))</f>
        <v>0</v>
      </c>
      <c r="E35" s="8">
        <f>IF(B35="","",IFERROR(INDEX(Calculations!$G$4:$G$67,MATCH("C-8",Calculations!$Q$4:$Q$67,0)),""))</f>
        <v>0</v>
      </c>
      <c r="F35" s="8">
        <f>IF(B35="","",IFERROR(INDEX(Calculations!$H$4:$H$67,MATCH("C-8",Calculations!$Q$4:$Q$67,0)),""))</f>
        <v>0</v>
      </c>
      <c r="G35" s="8">
        <f>IF(B35="","",IFERROR(INDEX(Calculations!$I$4:$I$67,MATCH("C-8",Calculations!$Q$4:$Q$67,0)),""))</f>
        <v>0</v>
      </c>
      <c r="H35" s="8">
        <f>IF(B35="","",IFERROR(INDEX(Calculations!$J$4:$J$67,MATCH("C-8",Calculations!$Q$4:$Q$67,0)),""))</f>
        <v>0</v>
      </c>
      <c r="I35" s="8">
        <f>IF(B35="","",IFERROR(INDEX(Calculations!$K$4:$K$67,MATCH("C-8",Calculations!$Q$4:$Q$67,0)),""))</f>
        <v>0</v>
      </c>
      <c r="J35" s="8">
        <f>IF(B35="","",IFERROR(INDEX(Calculations!$L$4:$L$67,MATCH("C-8",Calculations!$Q$4:$Q$67,0)),""))</f>
        <v>0</v>
      </c>
      <c r="K35" s="8">
        <f>IF(B35="","",IFERROR(INDEX(Calculations!$N$4:$N$67,MATCH("C-8",Calculations!$Q$4:$Q$67,0)),""))</f>
        <v>0</v>
      </c>
    </row>
    <row r="37" spans="1:11" ht="15">
      <c r="A37" s="77" t="str">
        <f>IF(4&lt;=Setup!$B$5,"Pool D","")</f>
        <v>Pool D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</row>
    <row r="38" spans="1:11" ht="15">
      <c r="A38" s="3" t="s">
        <v>300</v>
      </c>
      <c r="B38" s="3" t="s">
        <v>286</v>
      </c>
      <c r="C38" s="3" t="s">
        <v>288</v>
      </c>
      <c r="D38" s="3" t="s">
        <v>289</v>
      </c>
      <c r="E38" s="3" t="s">
        <v>56</v>
      </c>
      <c r="F38" s="3" t="s">
        <v>290</v>
      </c>
      <c r="G38" s="3" t="s">
        <v>291</v>
      </c>
      <c r="H38" s="3" t="s">
        <v>301</v>
      </c>
      <c r="I38" s="3" t="s">
        <v>293</v>
      </c>
      <c r="J38" s="3" t="s">
        <v>294</v>
      </c>
      <c r="K38" s="3" t="s">
        <v>296</v>
      </c>
    </row>
    <row r="39" spans="1:11">
      <c r="A39" s="6">
        <f>IF(B39="","",1)</f>
        <v>1</v>
      </c>
      <c r="B39" s="6" t="str">
        <f>IFERROR(INDEX(Calculations!$C$4:$C$67,MATCH("D-1",Calculations!$Q$4:$Q$67,0)),"")</f>
        <v>Team D1</v>
      </c>
      <c r="C39" s="8">
        <f>IF(B39="","",IFERROR(INDEX(Calculations!$E$4:$E$67,MATCH("D-1",Calculations!$Q$4:$Q$67,0)),""))</f>
        <v>0</v>
      </c>
      <c r="D39" s="8">
        <f>IF(B39="","",IFERROR(INDEX(Calculations!$F$4:$F$67,MATCH("D-1",Calculations!$Q$4:$Q$67,0)),""))</f>
        <v>0</v>
      </c>
      <c r="E39" s="8">
        <f>IF(B39="","",IFERROR(INDEX(Calculations!$G$4:$G$67,MATCH("D-1",Calculations!$Q$4:$Q$67,0)),""))</f>
        <v>0</v>
      </c>
      <c r="F39" s="8">
        <f>IF(B39="","",IFERROR(INDEX(Calculations!$H$4:$H$67,MATCH("D-1",Calculations!$Q$4:$Q$67,0)),""))</f>
        <v>0</v>
      </c>
      <c r="G39" s="8">
        <f>IF(B39="","",IFERROR(INDEX(Calculations!$I$4:$I$67,MATCH("D-1",Calculations!$Q$4:$Q$67,0)),""))</f>
        <v>0</v>
      </c>
      <c r="H39" s="8">
        <f>IF(B39="","",IFERROR(INDEX(Calculations!$J$4:$J$67,MATCH("D-1",Calculations!$Q$4:$Q$67,0)),""))</f>
        <v>0</v>
      </c>
      <c r="I39" s="8">
        <f>IF(B39="","",IFERROR(INDEX(Calculations!$K$4:$K$67,MATCH("D-1",Calculations!$Q$4:$Q$67,0)),""))</f>
        <v>0</v>
      </c>
      <c r="J39" s="8">
        <f>IF(B39="","",IFERROR(INDEX(Calculations!$L$4:$L$67,MATCH("D-1",Calculations!$Q$4:$Q$67,0)),""))</f>
        <v>0</v>
      </c>
      <c r="K39" s="8">
        <f>IF(B39="","",IFERROR(INDEX(Calculations!$N$4:$N$67,MATCH("D-1",Calculations!$Q$4:$Q$67,0)),""))</f>
        <v>0</v>
      </c>
    </row>
    <row r="40" spans="1:11">
      <c r="A40" s="6">
        <f>IF(B40="","",2)</f>
        <v>2</v>
      </c>
      <c r="B40" s="6" t="str">
        <f>IFERROR(INDEX(Calculations!$C$4:$C$67,MATCH("D-2",Calculations!$Q$4:$Q$67,0)),"")</f>
        <v>Team D2</v>
      </c>
      <c r="C40" s="8">
        <f>IF(B40="","",IFERROR(INDEX(Calculations!$E$4:$E$67,MATCH("D-2",Calculations!$Q$4:$Q$67,0)),""))</f>
        <v>0</v>
      </c>
      <c r="D40" s="8">
        <f>IF(B40="","",IFERROR(INDEX(Calculations!$F$4:$F$67,MATCH("D-2",Calculations!$Q$4:$Q$67,0)),""))</f>
        <v>0</v>
      </c>
      <c r="E40" s="8">
        <f>IF(B40="","",IFERROR(INDEX(Calculations!$G$4:$G$67,MATCH("D-2",Calculations!$Q$4:$Q$67,0)),""))</f>
        <v>0</v>
      </c>
      <c r="F40" s="8">
        <f>IF(B40="","",IFERROR(INDEX(Calculations!$H$4:$H$67,MATCH("D-2",Calculations!$Q$4:$Q$67,0)),""))</f>
        <v>0</v>
      </c>
      <c r="G40" s="8">
        <f>IF(B40="","",IFERROR(INDEX(Calculations!$I$4:$I$67,MATCH("D-2",Calculations!$Q$4:$Q$67,0)),""))</f>
        <v>0</v>
      </c>
      <c r="H40" s="8">
        <f>IF(B40="","",IFERROR(INDEX(Calculations!$J$4:$J$67,MATCH("D-2",Calculations!$Q$4:$Q$67,0)),""))</f>
        <v>0</v>
      </c>
      <c r="I40" s="8">
        <f>IF(B40="","",IFERROR(INDEX(Calculations!$K$4:$K$67,MATCH("D-2",Calculations!$Q$4:$Q$67,0)),""))</f>
        <v>0</v>
      </c>
      <c r="J40" s="8">
        <f>IF(B40="","",IFERROR(INDEX(Calculations!$L$4:$L$67,MATCH("D-2",Calculations!$Q$4:$Q$67,0)),""))</f>
        <v>0</v>
      </c>
      <c r="K40" s="8">
        <f>IF(B40="","",IFERROR(INDEX(Calculations!$N$4:$N$67,MATCH("D-2",Calculations!$Q$4:$Q$67,0)),""))</f>
        <v>0</v>
      </c>
    </row>
    <row r="41" spans="1:11">
      <c r="A41" s="6">
        <f>IF(B41="","",3)</f>
        <v>3</v>
      </c>
      <c r="B41" s="6" t="str">
        <f>IFERROR(INDEX(Calculations!$C$4:$C$67,MATCH("D-3",Calculations!$Q$4:$Q$67,0)),"")</f>
        <v>Team D3</v>
      </c>
      <c r="C41" s="8">
        <f>IF(B41="","",IFERROR(INDEX(Calculations!$E$4:$E$67,MATCH("D-3",Calculations!$Q$4:$Q$67,0)),""))</f>
        <v>0</v>
      </c>
      <c r="D41" s="8">
        <f>IF(B41="","",IFERROR(INDEX(Calculations!$F$4:$F$67,MATCH("D-3",Calculations!$Q$4:$Q$67,0)),""))</f>
        <v>0</v>
      </c>
      <c r="E41" s="8">
        <f>IF(B41="","",IFERROR(INDEX(Calculations!$G$4:$G$67,MATCH("D-3",Calculations!$Q$4:$Q$67,0)),""))</f>
        <v>0</v>
      </c>
      <c r="F41" s="8">
        <f>IF(B41="","",IFERROR(INDEX(Calculations!$H$4:$H$67,MATCH("D-3",Calculations!$Q$4:$Q$67,0)),""))</f>
        <v>0</v>
      </c>
      <c r="G41" s="8">
        <f>IF(B41="","",IFERROR(INDEX(Calculations!$I$4:$I$67,MATCH("D-3",Calculations!$Q$4:$Q$67,0)),""))</f>
        <v>0</v>
      </c>
      <c r="H41" s="8">
        <f>IF(B41="","",IFERROR(INDEX(Calculations!$J$4:$J$67,MATCH("D-3",Calculations!$Q$4:$Q$67,0)),""))</f>
        <v>0</v>
      </c>
      <c r="I41" s="8">
        <f>IF(B41="","",IFERROR(INDEX(Calculations!$K$4:$K$67,MATCH("D-3",Calculations!$Q$4:$Q$67,0)),""))</f>
        <v>0</v>
      </c>
      <c r="J41" s="8">
        <f>IF(B41="","",IFERROR(INDEX(Calculations!$L$4:$L$67,MATCH("D-3",Calculations!$Q$4:$Q$67,0)),""))</f>
        <v>0</v>
      </c>
      <c r="K41" s="8">
        <f>IF(B41="","",IFERROR(INDEX(Calculations!$N$4:$N$67,MATCH("D-3",Calculations!$Q$4:$Q$67,0)),""))</f>
        <v>0</v>
      </c>
    </row>
    <row r="42" spans="1:11">
      <c r="A42" s="6">
        <f>IF(B42="","",4)</f>
        <v>4</v>
      </c>
      <c r="B42" s="6" t="str">
        <f>IFERROR(INDEX(Calculations!$C$4:$C$67,MATCH("D-4",Calculations!$Q$4:$Q$67,0)),"")</f>
        <v>Team D4</v>
      </c>
      <c r="C42" s="8">
        <f>IF(B42="","",IFERROR(INDEX(Calculations!$E$4:$E$67,MATCH("D-4",Calculations!$Q$4:$Q$67,0)),""))</f>
        <v>0</v>
      </c>
      <c r="D42" s="8">
        <f>IF(B42="","",IFERROR(INDEX(Calculations!$F$4:$F$67,MATCH("D-4",Calculations!$Q$4:$Q$67,0)),""))</f>
        <v>0</v>
      </c>
      <c r="E42" s="8">
        <f>IF(B42="","",IFERROR(INDEX(Calculations!$G$4:$G$67,MATCH("D-4",Calculations!$Q$4:$Q$67,0)),""))</f>
        <v>0</v>
      </c>
      <c r="F42" s="8">
        <f>IF(B42="","",IFERROR(INDEX(Calculations!$H$4:$H$67,MATCH("D-4",Calculations!$Q$4:$Q$67,0)),""))</f>
        <v>0</v>
      </c>
      <c r="G42" s="8">
        <f>IF(B42="","",IFERROR(INDEX(Calculations!$I$4:$I$67,MATCH("D-4",Calculations!$Q$4:$Q$67,0)),""))</f>
        <v>0</v>
      </c>
      <c r="H42" s="8">
        <f>IF(B42="","",IFERROR(INDEX(Calculations!$J$4:$J$67,MATCH("D-4",Calculations!$Q$4:$Q$67,0)),""))</f>
        <v>0</v>
      </c>
      <c r="I42" s="8">
        <f>IF(B42="","",IFERROR(INDEX(Calculations!$K$4:$K$67,MATCH("D-4",Calculations!$Q$4:$Q$67,0)),""))</f>
        <v>0</v>
      </c>
      <c r="J42" s="8">
        <f>IF(B42="","",IFERROR(INDEX(Calculations!$L$4:$L$67,MATCH("D-4",Calculations!$Q$4:$Q$67,0)),""))</f>
        <v>0</v>
      </c>
      <c r="K42" s="8">
        <f>IF(B42="","",IFERROR(INDEX(Calculations!$N$4:$N$67,MATCH("D-4",Calculations!$Q$4:$Q$67,0)),""))</f>
        <v>0</v>
      </c>
    </row>
    <row r="43" spans="1:11">
      <c r="A43" s="6">
        <f>IF(B43="","",5)</f>
        <v>5</v>
      </c>
      <c r="B43" s="6" t="str">
        <f>IFERROR(INDEX(Calculations!$C$4:$C$67,MATCH("D-5",Calculations!$Q$4:$Q$67,0)),"")</f>
        <v>Team D5</v>
      </c>
      <c r="C43" s="8">
        <f>IF(B43="","",IFERROR(INDEX(Calculations!$E$4:$E$67,MATCH("D-5",Calculations!$Q$4:$Q$67,0)),""))</f>
        <v>0</v>
      </c>
      <c r="D43" s="8">
        <f>IF(B43="","",IFERROR(INDEX(Calculations!$F$4:$F$67,MATCH("D-5",Calculations!$Q$4:$Q$67,0)),""))</f>
        <v>0</v>
      </c>
      <c r="E43" s="8">
        <f>IF(B43="","",IFERROR(INDEX(Calculations!$G$4:$G$67,MATCH("D-5",Calculations!$Q$4:$Q$67,0)),""))</f>
        <v>0</v>
      </c>
      <c r="F43" s="8">
        <f>IF(B43="","",IFERROR(INDEX(Calculations!$H$4:$H$67,MATCH("D-5",Calculations!$Q$4:$Q$67,0)),""))</f>
        <v>0</v>
      </c>
      <c r="G43" s="8">
        <f>IF(B43="","",IFERROR(INDEX(Calculations!$I$4:$I$67,MATCH("D-5",Calculations!$Q$4:$Q$67,0)),""))</f>
        <v>0</v>
      </c>
      <c r="H43" s="8">
        <f>IF(B43="","",IFERROR(INDEX(Calculations!$J$4:$J$67,MATCH("D-5",Calculations!$Q$4:$Q$67,0)),""))</f>
        <v>0</v>
      </c>
      <c r="I43" s="8">
        <f>IF(B43="","",IFERROR(INDEX(Calculations!$K$4:$K$67,MATCH("D-5",Calculations!$Q$4:$Q$67,0)),""))</f>
        <v>0</v>
      </c>
      <c r="J43" s="8">
        <f>IF(B43="","",IFERROR(INDEX(Calculations!$L$4:$L$67,MATCH("D-5",Calculations!$Q$4:$Q$67,0)),""))</f>
        <v>0</v>
      </c>
      <c r="K43" s="8">
        <f>IF(B43="","",IFERROR(INDEX(Calculations!$N$4:$N$67,MATCH("D-5",Calculations!$Q$4:$Q$67,0)),""))</f>
        <v>0</v>
      </c>
    </row>
    <row r="44" spans="1:11">
      <c r="A44" s="6">
        <f>IF(B44="","",6)</f>
        <v>6</v>
      </c>
      <c r="B44" s="6" t="str">
        <f>IFERROR(INDEX(Calculations!$C$4:$C$67,MATCH("D-6",Calculations!$Q$4:$Q$67,0)),"")</f>
        <v>Team D6</v>
      </c>
      <c r="C44" s="8">
        <f>IF(B44="","",IFERROR(INDEX(Calculations!$E$4:$E$67,MATCH("D-6",Calculations!$Q$4:$Q$67,0)),""))</f>
        <v>0</v>
      </c>
      <c r="D44" s="8">
        <f>IF(B44="","",IFERROR(INDEX(Calculations!$F$4:$F$67,MATCH("D-6",Calculations!$Q$4:$Q$67,0)),""))</f>
        <v>0</v>
      </c>
      <c r="E44" s="8">
        <f>IF(B44="","",IFERROR(INDEX(Calculations!$G$4:$G$67,MATCH("D-6",Calculations!$Q$4:$Q$67,0)),""))</f>
        <v>0</v>
      </c>
      <c r="F44" s="8">
        <f>IF(B44="","",IFERROR(INDEX(Calculations!$H$4:$H$67,MATCH("D-6",Calculations!$Q$4:$Q$67,0)),""))</f>
        <v>0</v>
      </c>
      <c r="G44" s="8">
        <f>IF(B44="","",IFERROR(INDEX(Calculations!$I$4:$I$67,MATCH("D-6",Calculations!$Q$4:$Q$67,0)),""))</f>
        <v>0</v>
      </c>
      <c r="H44" s="8">
        <f>IF(B44="","",IFERROR(INDEX(Calculations!$J$4:$J$67,MATCH("D-6",Calculations!$Q$4:$Q$67,0)),""))</f>
        <v>0</v>
      </c>
      <c r="I44" s="8">
        <f>IF(B44="","",IFERROR(INDEX(Calculations!$K$4:$K$67,MATCH("D-6",Calculations!$Q$4:$Q$67,0)),""))</f>
        <v>0</v>
      </c>
      <c r="J44" s="8">
        <f>IF(B44="","",IFERROR(INDEX(Calculations!$L$4:$L$67,MATCH("D-6",Calculations!$Q$4:$Q$67,0)),""))</f>
        <v>0</v>
      </c>
      <c r="K44" s="8">
        <f>IF(B44="","",IFERROR(INDEX(Calculations!$N$4:$N$67,MATCH("D-6",Calculations!$Q$4:$Q$67,0)),""))</f>
        <v>0</v>
      </c>
    </row>
    <row r="45" spans="1:11">
      <c r="A45" s="6">
        <f>IF(B45="","",7)</f>
        <v>7</v>
      </c>
      <c r="B45" s="6" t="str">
        <f>IFERROR(INDEX(Calculations!$C$4:$C$67,MATCH("D-7",Calculations!$Q$4:$Q$67,0)),"")</f>
        <v>Team D7</v>
      </c>
      <c r="C45" s="8">
        <f>IF(B45="","",IFERROR(INDEX(Calculations!$E$4:$E$67,MATCH("D-7",Calculations!$Q$4:$Q$67,0)),""))</f>
        <v>0</v>
      </c>
      <c r="D45" s="8">
        <f>IF(B45="","",IFERROR(INDEX(Calculations!$F$4:$F$67,MATCH("D-7",Calculations!$Q$4:$Q$67,0)),""))</f>
        <v>0</v>
      </c>
      <c r="E45" s="8">
        <f>IF(B45="","",IFERROR(INDEX(Calculations!$G$4:$G$67,MATCH("D-7",Calculations!$Q$4:$Q$67,0)),""))</f>
        <v>0</v>
      </c>
      <c r="F45" s="8">
        <f>IF(B45="","",IFERROR(INDEX(Calculations!$H$4:$H$67,MATCH("D-7",Calculations!$Q$4:$Q$67,0)),""))</f>
        <v>0</v>
      </c>
      <c r="G45" s="8">
        <f>IF(B45="","",IFERROR(INDEX(Calculations!$I$4:$I$67,MATCH("D-7",Calculations!$Q$4:$Q$67,0)),""))</f>
        <v>0</v>
      </c>
      <c r="H45" s="8">
        <f>IF(B45="","",IFERROR(INDEX(Calculations!$J$4:$J$67,MATCH("D-7",Calculations!$Q$4:$Q$67,0)),""))</f>
        <v>0</v>
      </c>
      <c r="I45" s="8">
        <f>IF(B45="","",IFERROR(INDEX(Calculations!$K$4:$K$67,MATCH("D-7",Calculations!$Q$4:$Q$67,0)),""))</f>
        <v>0</v>
      </c>
      <c r="J45" s="8">
        <f>IF(B45="","",IFERROR(INDEX(Calculations!$L$4:$L$67,MATCH("D-7",Calculations!$Q$4:$Q$67,0)),""))</f>
        <v>0</v>
      </c>
      <c r="K45" s="8">
        <f>IF(B45="","",IFERROR(INDEX(Calculations!$N$4:$N$67,MATCH("D-7",Calculations!$Q$4:$Q$67,0)),""))</f>
        <v>0</v>
      </c>
    </row>
    <row r="46" spans="1:11">
      <c r="A46" s="6">
        <f>IF(B46="","",8)</f>
        <v>8</v>
      </c>
      <c r="B46" s="6" t="str">
        <f>IFERROR(INDEX(Calculations!$C$4:$C$67,MATCH("D-8",Calculations!$Q$4:$Q$67,0)),"")</f>
        <v>Team D8</v>
      </c>
      <c r="C46" s="8">
        <f>IF(B46="","",IFERROR(INDEX(Calculations!$E$4:$E$67,MATCH("D-8",Calculations!$Q$4:$Q$67,0)),""))</f>
        <v>0</v>
      </c>
      <c r="D46" s="8">
        <f>IF(B46="","",IFERROR(INDEX(Calculations!$F$4:$F$67,MATCH("D-8",Calculations!$Q$4:$Q$67,0)),""))</f>
        <v>0</v>
      </c>
      <c r="E46" s="8">
        <f>IF(B46="","",IFERROR(INDEX(Calculations!$G$4:$G$67,MATCH("D-8",Calculations!$Q$4:$Q$67,0)),""))</f>
        <v>0</v>
      </c>
      <c r="F46" s="8">
        <f>IF(B46="","",IFERROR(INDEX(Calculations!$H$4:$H$67,MATCH("D-8",Calculations!$Q$4:$Q$67,0)),""))</f>
        <v>0</v>
      </c>
      <c r="G46" s="8">
        <f>IF(B46="","",IFERROR(INDEX(Calculations!$I$4:$I$67,MATCH("D-8",Calculations!$Q$4:$Q$67,0)),""))</f>
        <v>0</v>
      </c>
      <c r="H46" s="8">
        <f>IF(B46="","",IFERROR(INDEX(Calculations!$J$4:$J$67,MATCH("D-8",Calculations!$Q$4:$Q$67,0)),""))</f>
        <v>0</v>
      </c>
      <c r="I46" s="8">
        <f>IF(B46="","",IFERROR(INDEX(Calculations!$K$4:$K$67,MATCH("D-8",Calculations!$Q$4:$Q$67,0)),""))</f>
        <v>0</v>
      </c>
      <c r="J46" s="8">
        <f>IF(B46="","",IFERROR(INDEX(Calculations!$L$4:$L$67,MATCH("D-8",Calculations!$Q$4:$Q$67,0)),""))</f>
        <v>0</v>
      </c>
      <c r="K46" s="8">
        <f>IF(B46="","",IFERROR(INDEX(Calculations!$N$4:$N$67,MATCH("D-8",Calculations!$Q$4:$Q$67,0)),""))</f>
        <v>0</v>
      </c>
    </row>
    <row r="48" spans="1:11" ht="15">
      <c r="A48" s="77" t="str">
        <f>IF(5&lt;=Setup!$B$5,"Pool E","")</f>
        <v>Pool E</v>
      </c>
      <c r="B48" s="77"/>
      <c r="C48" s="77"/>
      <c r="D48" s="77"/>
      <c r="E48" s="77"/>
      <c r="F48" s="77"/>
      <c r="G48" s="77"/>
      <c r="H48" s="77"/>
      <c r="I48" s="77"/>
      <c r="J48" s="77"/>
      <c r="K48" s="77"/>
    </row>
    <row r="49" spans="1:11" ht="15">
      <c r="A49" s="3" t="s">
        <v>300</v>
      </c>
      <c r="B49" s="3" t="s">
        <v>286</v>
      </c>
      <c r="C49" s="3" t="s">
        <v>288</v>
      </c>
      <c r="D49" s="3" t="s">
        <v>289</v>
      </c>
      <c r="E49" s="3" t="s">
        <v>56</v>
      </c>
      <c r="F49" s="3" t="s">
        <v>290</v>
      </c>
      <c r="G49" s="3" t="s">
        <v>291</v>
      </c>
      <c r="H49" s="3" t="s">
        <v>301</v>
      </c>
      <c r="I49" s="3" t="s">
        <v>293</v>
      </c>
      <c r="J49" s="3" t="s">
        <v>294</v>
      </c>
      <c r="K49" s="3" t="s">
        <v>296</v>
      </c>
    </row>
    <row r="50" spans="1:11">
      <c r="A50" s="6">
        <f>IF(B50="","",1)</f>
        <v>1</v>
      </c>
      <c r="B50" s="6" t="str">
        <f>IFERROR(INDEX(Calculations!$C$4:$C$67,MATCH("E-1",Calculations!$Q$4:$Q$67,0)),"")</f>
        <v>Team E1</v>
      </c>
      <c r="C50" s="8">
        <f>IF(B50="","",IFERROR(INDEX(Calculations!$E$4:$E$67,MATCH("E-1",Calculations!$Q$4:$Q$67,0)),""))</f>
        <v>0</v>
      </c>
      <c r="D50" s="8">
        <f>IF(B50="","",IFERROR(INDEX(Calculations!$F$4:$F$67,MATCH("E-1",Calculations!$Q$4:$Q$67,0)),""))</f>
        <v>0</v>
      </c>
      <c r="E50" s="8">
        <f>IF(B50="","",IFERROR(INDEX(Calculations!$G$4:$G$67,MATCH("E-1",Calculations!$Q$4:$Q$67,0)),""))</f>
        <v>0</v>
      </c>
      <c r="F50" s="8">
        <f>IF(B50="","",IFERROR(INDEX(Calculations!$H$4:$H$67,MATCH("E-1",Calculations!$Q$4:$Q$67,0)),""))</f>
        <v>0</v>
      </c>
      <c r="G50" s="8">
        <f>IF(B50="","",IFERROR(INDEX(Calculations!$I$4:$I$67,MATCH("E-1",Calculations!$Q$4:$Q$67,0)),""))</f>
        <v>0</v>
      </c>
      <c r="H50" s="8">
        <f>IF(B50="","",IFERROR(INDEX(Calculations!$J$4:$J$67,MATCH("E-1",Calculations!$Q$4:$Q$67,0)),""))</f>
        <v>0</v>
      </c>
      <c r="I50" s="8">
        <f>IF(B50="","",IFERROR(INDEX(Calculations!$K$4:$K$67,MATCH("E-1",Calculations!$Q$4:$Q$67,0)),""))</f>
        <v>0</v>
      </c>
      <c r="J50" s="8">
        <f>IF(B50="","",IFERROR(INDEX(Calculations!$L$4:$L$67,MATCH("E-1",Calculations!$Q$4:$Q$67,0)),""))</f>
        <v>0</v>
      </c>
      <c r="K50" s="8">
        <f>IF(B50="","",IFERROR(INDEX(Calculations!$N$4:$N$67,MATCH("E-1",Calculations!$Q$4:$Q$67,0)),""))</f>
        <v>0</v>
      </c>
    </row>
    <row r="51" spans="1:11">
      <c r="A51" s="6">
        <f>IF(B51="","",2)</f>
        <v>2</v>
      </c>
      <c r="B51" s="6" t="str">
        <f>IFERROR(INDEX(Calculations!$C$4:$C$67,MATCH("E-2",Calculations!$Q$4:$Q$67,0)),"")</f>
        <v>Team E2</v>
      </c>
      <c r="C51" s="8">
        <f>IF(B51="","",IFERROR(INDEX(Calculations!$E$4:$E$67,MATCH("E-2",Calculations!$Q$4:$Q$67,0)),""))</f>
        <v>0</v>
      </c>
      <c r="D51" s="8">
        <f>IF(B51="","",IFERROR(INDEX(Calculations!$F$4:$F$67,MATCH("E-2",Calculations!$Q$4:$Q$67,0)),""))</f>
        <v>0</v>
      </c>
      <c r="E51" s="8">
        <f>IF(B51="","",IFERROR(INDEX(Calculations!$G$4:$G$67,MATCH("E-2",Calculations!$Q$4:$Q$67,0)),""))</f>
        <v>0</v>
      </c>
      <c r="F51" s="8">
        <f>IF(B51="","",IFERROR(INDEX(Calculations!$H$4:$H$67,MATCH("E-2",Calculations!$Q$4:$Q$67,0)),""))</f>
        <v>0</v>
      </c>
      <c r="G51" s="8">
        <f>IF(B51="","",IFERROR(INDEX(Calculations!$I$4:$I$67,MATCH("E-2",Calculations!$Q$4:$Q$67,0)),""))</f>
        <v>0</v>
      </c>
      <c r="H51" s="8">
        <f>IF(B51="","",IFERROR(INDEX(Calculations!$J$4:$J$67,MATCH("E-2",Calculations!$Q$4:$Q$67,0)),""))</f>
        <v>0</v>
      </c>
      <c r="I51" s="8">
        <f>IF(B51="","",IFERROR(INDEX(Calculations!$K$4:$K$67,MATCH("E-2",Calculations!$Q$4:$Q$67,0)),""))</f>
        <v>0</v>
      </c>
      <c r="J51" s="8">
        <f>IF(B51="","",IFERROR(INDEX(Calculations!$L$4:$L$67,MATCH("E-2",Calculations!$Q$4:$Q$67,0)),""))</f>
        <v>0</v>
      </c>
      <c r="K51" s="8">
        <f>IF(B51="","",IFERROR(INDEX(Calculations!$N$4:$N$67,MATCH("E-2",Calculations!$Q$4:$Q$67,0)),""))</f>
        <v>0</v>
      </c>
    </row>
    <row r="52" spans="1:11">
      <c r="A52" s="6">
        <f>IF(B52="","",3)</f>
        <v>3</v>
      </c>
      <c r="B52" s="6" t="str">
        <f>IFERROR(INDEX(Calculations!$C$4:$C$67,MATCH("E-3",Calculations!$Q$4:$Q$67,0)),"")</f>
        <v>Team E3</v>
      </c>
      <c r="C52" s="8">
        <f>IF(B52="","",IFERROR(INDEX(Calculations!$E$4:$E$67,MATCH("E-3",Calculations!$Q$4:$Q$67,0)),""))</f>
        <v>0</v>
      </c>
      <c r="D52" s="8">
        <f>IF(B52="","",IFERROR(INDEX(Calculations!$F$4:$F$67,MATCH("E-3",Calculations!$Q$4:$Q$67,0)),""))</f>
        <v>0</v>
      </c>
      <c r="E52" s="8">
        <f>IF(B52="","",IFERROR(INDEX(Calculations!$G$4:$G$67,MATCH("E-3",Calculations!$Q$4:$Q$67,0)),""))</f>
        <v>0</v>
      </c>
      <c r="F52" s="8">
        <f>IF(B52="","",IFERROR(INDEX(Calculations!$H$4:$H$67,MATCH("E-3",Calculations!$Q$4:$Q$67,0)),""))</f>
        <v>0</v>
      </c>
      <c r="G52" s="8">
        <f>IF(B52="","",IFERROR(INDEX(Calculations!$I$4:$I$67,MATCH("E-3",Calculations!$Q$4:$Q$67,0)),""))</f>
        <v>0</v>
      </c>
      <c r="H52" s="8">
        <f>IF(B52="","",IFERROR(INDEX(Calculations!$J$4:$J$67,MATCH("E-3",Calculations!$Q$4:$Q$67,0)),""))</f>
        <v>0</v>
      </c>
      <c r="I52" s="8">
        <f>IF(B52="","",IFERROR(INDEX(Calculations!$K$4:$K$67,MATCH("E-3",Calculations!$Q$4:$Q$67,0)),""))</f>
        <v>0</v>
      </c>
      <c r="J52" s="8">
        <f>IF(B52="","",IFERROR(INDEX(Calculations!$L$4:$L$67,MATCH("E-3",Calculations!$Q$4:$Q$67,0)),""))</f>
        <v>0</v>
      </c>
      <c r="K52" s="8">
        <f>IF(B52="","",IFERROR(INDEX(Calculations!$N$4:$N$67,MATCH("E-3",Calculations!$Q$4:$Q$67,0)),""))</f>
        <v>0</v>
      </c>
    </row>
    <row r="53" spans="1:11">
      <c r="A53" s="6">
        <f>IF(B53="","",4)</f>
        <v>4</v>
      </c>
      <c r="B53" s="6" t="str">
        <f>IFERROR(INDEX(Calculations!$C$4:$C$67,MATCH("E-4",Calculations!$Q$4:$Q$67,0)),"")</f>
        <v>Team E4</v>
      </c>
      <c r="C53" s="8">
        <f>IF(B53="","",IFERROR(INDEX(Calculations!$E$4:$E$67,MATCH("E-4",Calculations!$Q$4:$Q$67,0)),""))</f>
        <v>0</v>
      </c>
      <c r="D53" s="8">
        <f>IF(B53="","",IFERROR(INDEX(Calculations!$F$4:$F$67,MATCH("E-4",Calculations!$Q$4:$Q$67,0)),""))</f>
        <v>0</v>
      </c>
      <c r="E53" s="8">
        <f>IF(B53="","",IFERROR(INDEX(Calculations!$G$4:$G$67,MATCH("E-4",Calculations!$Q$4:$Q$67,0)),""))</f>
        <v>0</v>
      </c>
      <c r="F53" s="8">
        <f>IF(B53="","",IFERROR(INDEX(Calculations!$H$4:$H$67,MATCH("E-4",Calculations!$Q$4:$Q$67,0)),""))</f>
        <v>0</v>
      </c>
      <c r="G53" s="8">
        <f>IF(B53="","",IFERROR(INDEX(Calculations!$I$4:$I$67,MATCH("E-4",Calculations!$Q$4:$Q$67,0)),""))</f>
        <v>0</v>
      </c>
      <c r="H53" s="8">
        <f>IF(B53="","",IFERROR(INDEX(Calculations!$J$4:$J$67,MATCH("E-4",Calculations!$Q$4:$Q$67,0)),""))</f>
        <v>0</v>
      </c>
      <c r="I53" s="8">
        <f>IF(B53="","",IFERROR(INDEX(Calculations!$K$4:$K$67,MATCH("E-4",Calculations!$Q$4:$Q$67,0)),""))</f>
        <v>0</v>
      </c>
      <c r="J53" s="8">
        <f>IF(B53="","",IFERROR(INDEX(Calculations!$L$4:$L$67,MATCH("E-4",Calculations!$Q$4:$Q$67,0)),""))</f>
        <v>0</v>
      </c>
      <c r="K53" s="8">
        <f>IF(B53="","",IFERROR(INDEX(Calculations!$N$4:$N$67,MATCH("E-4",Calculations!$Q$4:$Q$67,0)),""))</f>
        <v>0</v>
      </c>
    </row>
    <row r="54" spans="1:11">
      <c r="A54" s="6">
        <f>IF(B54="","",5)</f>
        <v>5</v>
      </c>
      <c r="B54" s="6" t="str">
        <f>IFERROR(INDEX(Calculations!$C$4:$C$67,MATCH("E-5",Calculations!$Q$4:$Q$67,0)),"")</f>
        <v>Team E5</v>
      </c>
      <c r="C54" s="8">
        <f>IF(B54="","",IFERROR(INDEX(Calculations!$E$4:$E$67,MATCH("E-5",Calculations!$Q$4:$Q$67,0)),""))</f>
        <v>0</v>
      </c>
      <c r="D54" s="8">
        <f>IF(B54="","",IFERROR(INDEX(Calculations!$F$4:$F$67,MATCH("E-5",Calculations!$Q$4:$Q$67,0)),""))</f>
        <v>0</v>
      </c>
      <c r="E54" s="8">
        <f>IF(B54="","",IFERROR(INDEX(Calculations!$G$4:$G$67,MATCH("E-5",Calculations!$Q$4:$Q$67,0)),""))</f>
        <v>0</v>
      </c>
      <c r="F54" s="8">
        <f>IF(B54="","",IFERROR(INDEX(Calculations!$H$4:$H$67,MATCH("E-5",Calculations!$Q$4:$Q$67,0)),""))</f>
        <v>0</v>
      </c>
      <c r="G54" s="8">
        <f>IF(B54="","",IFERROR(INDEX(Calculations!$I$4:$I$67,MATCH("E-5",Calculations!$Q$4:$Q$67,0)),""))</f>
        <v>0</v>
      </c>
      <c r="H54" s="8">
        <f>IF(B54="","",IFERROR(INDEX(Calculations!$J$4:$J$67,MATCH("E-5",Calculations!$Q$4:$Q$67,0)),""))</f>
        <v>0</v>
      </c>
      <c r="I54" s="8">
        <f>IF(B54="","",IFERROR(INDEX(Calculations!$K$4:$K$67,MATCH("E-5",Calculations!$Q$4:$Q$67,0)),""))</f>
        <v>0</v>
      </c>
      <c r="J54" s="8">
        <f>IF(B54="","",IFERROR(INDEX(Calculations!$L$4:$L$67,MATCH("E-5",Calculations!$Q$4:$Q$67,0)),""))</f>
        <v>0</v>
      </c>
      <c r="K54" s="8">
        <f>IF(B54="","",IFERROR(INDEX(Calculations!$N$4:$N$67,MATCH("E-5",Calculations!$Q$4:$Q$67,0)),""))</f>
        <v>0</v>
      </c>
    </row>
    <row r="55" spans="1:11">
      <c r="A55" s="6">
        <f>IF(B55="","",6)</f>
        <v>6</v>
      </c>
      <c r="B55" s="6" t="str">
        <f>IFERROR(INDEX(Calculations!$C$4:$C$67,MATCH("E-6",Calculations!$Q$4:$Q$67,0)),"")</f>
        <v>Team E6</v>
      </c>
      <c r="C55" s="8">
        <f>IF(B55="","",IFERROR(INDEX(Calculations!$E$4:$E$67,MATCH("E-6",Calculations!$Q$4:$Q$67,0)),""))</f>
        <v>0</v>
      </c>
      <c r="D55" s="8">
        <f>IF(B55="","",IFERROR(INDEX(Calculations!$F$4:$F$67,MATCH("E-6",Calculations!$Q$4:$Q$67,0)),""))</f>
        <v>0</v>
      </c>
      <c r="E55" s="8">
        <f>IF(B55="","",IFERROR(INDEX(Calculations!$G$4:$G$67,MATCH("E-6",Calculations!$Q$4:$Q$67,0)),""))</f>
        <v>0</v>
      </c>
      <c r="F55" s="8">
        <f>IF(B55="","",IFERROR(INDEX(Calculations!$H$4:$H$67,MATCH("E-6",Calculations!$Q$4:$Q$67,0)),""))</f>
        <v>0</v>
      </c>
      <c r="G55" s="8">
        <f>IF(B55="","",IFERROR(INDEX(Calculations!$I$4:$I$67,MATCH("E-6",Calculations!$Q$4:$Q$67,0)),""))</f>
        <v>0</v>
      </c>
      <c r="H55" s="8">
        <f>IF(B55="","",IFERROR(INDEX(Calculations!$J$4:$J$67,MATCH("E-6",Calculations!$Q$4:$Q$67,0)),""))</f>
        <v>0</v>
      </c>
      <c r="I55" s="8">
        <f>IF(B55="","",IFERROR(INDEX(Calculations!$K$4:$K$67,MATCH("E-6",Calculations!$Q$4:$Q$67,0)),""))</f>
        <v>0</v>
      </c>
      <c r="J55" s="8">
        <f>IF(B55="","",IFERROR(INDEX(Calculations!$L$4:$L$67,MATCH("E-6",Calculations!$Q$4:$Q$67,0)),""))</f>
        <v>0</v>
      </c>
      <c r="K55" s="8">
        <f>IF(B55="","",IFERROR(INDEX(Calculations!$N$4:$N$67,MATCH("E-6",Calculations!$Q$4:$Q$67,0)),""))</f>
        <v>0</v>
      </c>
    </row>
    <row r="56" spans="1:11">
      <c r="A56" s="6">
        <f>IF(B56="","",7)</f>
        <v>7</v>
      </c>
      <c r="B56" s="6" t="str">
        <f>IFERROR(INDEX(Calculations!$C$4:$C$67,MATCH("E-7",Calculations!$Q$4:$Q$67,0)),"")</f>
        <v>Team E7</v>
      </c>
      <c r="C56" s="8">
        <f>IF(B56="","",IFERROR(INDEX(Calculations!$E$4:$E$67,MATCH("E-7",Calculations!$Q$4:$Q$67,0)),""))</f>
        <v>0</v>
      </c>
      <c r="D56" s="8">
        <f>IF(B56="","",IFERROR(INDEX(Calculations!$F$4:$F$67,MATCH("E-7",Calculations!$Q$4:$Q$67,0)),""))</f>
        <v>0</v>
      </c>
      <c r="E56" s="8">
        <f>IF(B56="","",IFERROR(INDEX(Calculations!$G$4:$G$67,MATCH("E-7",Calculations!$Q$4:$Q$67,0)),""))</f>
        <v>0</v>
      </c>
      <c r="F56" s="8">
        <f>IF(B56="","",IFERROR(INDEX(Calculations!$H$4:$H$67,MATCH("E-7",Calculations!$Q$4:$Q$67,0)),""))</f>
        <v>0</v>
      </c>
      <c r="G56" s="8">
        <f>IF(B56="","",IFERROR(INDEX(Calculations!$I$4:$I$67,MATCH("E-7",Calculations!$Q$4:$Q$67,0)),""))</f>
        <v>0</v>
      </c>
      <c r="H56" s="8">
        <f>IF(B56="","",IFERROR(INDEX(Calculations!$J$4:$J$67,MATCH("E-7",Calculations!$Q$4:$Q$67,0)),""))</f>
        <v>0</v>
      </c>
      <c r="I56" s="8">
        <f>IF(B56="","",IFERROR(INDEX(Calculations!$K$4:$K$67,MATCH("E-7",Calculations!$Q$4:$Q$67,0)),""))</f>
        <v>0</v>
      </c>
      <c r="J56" s="8">
        <f>IF(B56="","",IFERROR(INDEX(Calculations!$L$4:$L$67,MATCH("E-7",Calculations!$Q$4:$Q$67,0)),""))</f>
        <v>0</v>
      </c>
      <c r="K56" s="8">
        <f>IF(B56="","",IFERROR(INDEX(Calculations!$N$4:$N$67,MATCH("E-7",Calculations!$Q$4:$Q$67,0)),""))</f>
        <v>0</v>
      </c>
    </row>
    <row r="57" spans="1:11">
      <c r="A57" s="6">
        <f>IF(B57="","",8)</f>
        <v>8</v>
      </c>
      <c r="B57" s="6" t="str">
        <f>IFERROR(INDEX(Calculations!$C$4:$C$67,MATCH("E-8",Calculations!$Q$4:$Q$67,0)),"")</f>
        <v>Team E8</v>
      </c>
      <c r="C57" s="8">
        <f>IF(B57="","",IFERROR(INDEX(Calculations!$E$4:$E$67,MATCH("E-8",Calculations!$Q$4:$Q$67,0)),""))</f>
        <v>0</v>
      </c>
      <c r="D57" s="8">
        <f>IF(B57="","",IFERROR(INDEX(Calculations!$F$4:$F$67,MATCH("E-8",Calculations!$Q$4:$Q$67,0)),""))</f>
        <v>0</v>
      </c>
      <c r="E57" s="8">
        <f>IF(B57="","",IFERROR(INDEX(Calculations!$G$4:$G$67,MATCH("E-8",Calculations!$Q$4:$Q$67,0)),""))</f>
        <v>0</v>
      </c>
      <c r="F57" s="8">
        <f>IF(B57="","",IFERROR(INDEX(Calculations!$H$4:$H$67,MATCH("E-8",Calculations!$Q$4:$Q$67,0)),""))</f>
        <v>0</v>
      </c>
      <c r="G57" s="8">
        <f>IF(B57="","",IFERROR(INDEX(Calculations!$I$4:$I$67,MATCH("E-8",Calculations!$Q$4:$Q$67,0)),""))</f>
        <v>0</v>
      </c>
      <c r="H57" s="8">
        <f>IF(B57="","",IFERROR(INDEX(Calculations!$J$4:$J$67,MATCH("E-8",Calculations!$Q$4:$Q$67,0)),""))</f>
        <v>0</v>
      </c>
      <c r="I57" s="8">
        <f>IF(B57="","",IFERROR(INDEX(Calculations!$K$4:$K$67,MATCH("E-8",Calculations!$Q$4:$Q$67,0)),""))</f>
        <v>0</v>
      </c>
      <c r="J57" s="8">
        <f>IF(B57="","",IFERROR(INDEX(Calculations!$L$4:$L$67,MATCH("E-8",Calculations!$Q$4:$Q$67,0)),""))</f>
        <v>0</v>
      </c>
      <c r="K57" s="8">
        <f>IF(B57="","",IFERROR(INDEX(Calculations!$N$4:$N$67,MATCH("E-8",Calculations!$Q$4:$Q$67,0)),""))</f>
        <v>0</v>
      </c>
    </row>
    <row r="59" spans="1:11" ht="15">
      <c r="A59" s="77" t="str">
        <f>IF(6&lt;=Setup!$B$5,"Pool F","")</f>
        <v>Pool F</v>
      </c>
      <c r="B59" s="77"/>
      <c r="C59" s="77"/>
      <c r="D59" s="77"/>
      <c r="E59" s="77"/>
      <c r="F59" s="77"/>
      <c r="G59" s="77"/>
      <c r="H59" s="77"/>
      <c r="I59" s="77"/>
      <c r="J59" s="77"/>
      <c r="K59" s="77"/>
    </row>
    <row r="60" spans="1:11" ht="15">
      <c r="A60" s="3" t="s">
        <v>300</v>
      </c>
      <c r="B60" s="3" t="s">
        <v>286</v>
      </c>
      <c r="C60" s="3" t="s">
        <v>288</v>
      </c>
      <c r="D60" s="3" t="s">
        <v>289</v>
      </c>
      <c r="E60" s="3" t="s">
        <v>56</v>
      </c>
      <c r="F60" s="3" t="s">
        <v>290</v>
      </c>
      <c r="G60" s="3" t="s">
        <v>291</v>
      </c>
      <c r="H60" s="3" t="s">
        <v>301</v>
      </c>
      <c r="I60" s="3" t="s">
        <v>293</v>
      </c>
      <c r="J60" s="3" t="s">
        <v>294</v>
      </c>
      <c r="K60" s="3" t="s">
        <v>296</v>
      </c>
    </row>
    <row r="61" spans="1:11">
      <c r="A61" s="6">
        <f>IF(B61="","",1)</f>
        <v>1</v>
      </c>
      <c r="B61" s="6" t="str">
        <f>IFERROR(INDEX(Calculations!$C$4:$C$67,MATCH("F-1",Calculations!$Q$4:$Q$67,0)),"")</f>
        <v>Team F1</v>
      </c>
      <c r="C61" s="8">
        <f>IF(B61="","",IFERROR(INDEX(Calculations!$E$4:$E$67,MATCH("F-1",Calculations!$Q$4:$Q$67,0)),""))</f>
        <v>0</v>
      </c>
      <c r="D61" s="8">
        <f>IF(B61="","",IFERROR(INDEX(Calculations!$F$4:$F$67,MATCH("F-1",Calculations!$Q$4:$Q$67,0)),""))</f>
        <v>0</v>
      </c>
      <c r="E61" s="8">
        <f>IF(B61="","",IFERROR(INDEX(Calculations!$G$4:$G$67,MATCH("F-1",Calculations!$Q$4:$Q$67,0)),""))</f>
        <v>0</v>
      </c>
      <c r="F61" s="8">
        <f>IF(B61="","",IFERROR(INDEX(Calculations!$H$4:$H$67,MATCH("F-1",Calculations!$Q$4:$Q$67,0)),""))</f>
        <v>0</v>
      </c>
      <c r="G61" s="8">
        <f>IF(B61="","",IFERROR(INDEX(Calculations!$I$4:$I$67,MATCH("F-1",Calculations!$Q$4:$Q$67,0)),""))</f>
        <v>0</v>
      </c>
      <c r="H61" s="8">
        <f>IF(B61="","",IFERROR(INDEX(Calculations!$J$4:$J$67,MATCH("F-1",Calculations!$Q$4:$Q$67,0)),""))</f>
        <v>0</v>
      </c>
      <c r="I61" s="8">
        <f>IF(B61="","",IFERROR(INDEX(Calculations!$K$4:$K$67,MATCH("F-1",Calculations!$Q$4:$Q$67,0)),""))</f>
        <v>0</v>
      </c>
      <c r="J61" s="8">
        <f>IF(B61="","",IFERROR(INDEX(Calculations!$L$4:$L$67,MATCH("F-1",Calculations!$Q$4:$Q$67,0)),""))</f>
        <v>0</v>
      </c>
      <c r="K61" s="8">
        <f>IF(B61="","",IFERROR(INDEX(Calculations!$N$4:$N$67,MATCH("F-1",Calculations!$Q$4:$Q$67,0)),""))</f>
        <v>0</v>
      </c>
    </row>
    <row r="62" spans="1:11">
      <c r="A62" s="6">
        <f>IF(B62="","",2)</f>
        <v>2</v>
      </c>
      <c r="B62" s="6" t="str">
        <f>IFERROR(INDEX(Calculations!$C$4:$C$67,MATCH("F-2",Calculations!$Q$4:$Q$67,0)),"")</f>
        <v>Team F2</v>
      </c>
      <c r="C62" s="8">
        <f>IF(B62="","",IFERROR(INDEX(Calculations!$E$4:$E$67,MATCH("F-2",Calculations!$Q$4:$Q$67,0)),""))</f>
        <v>0</v>
      </c>
      <c r="D62" s="8">
        <f>IF(B62="","",IFERROR(INDEX(Calculations!$F$4:$F$67,MATCH("F-2",Calculations!$Q$4:$Q$67,0)),""))</f>
        <v>0</v>
      </c>
      <c r="E62" s="8">
        <f>IF(B62="","",IFERROR(INDEX(Calculations!$G$4:$G$67,MATCH("F-2",Calculations!$Q$4:$Q$67,0)),""))</f>
        <v>0</v>
      </c>
      <c r="F62" s="8">
        <f>IF(B62="","",IFERROR(INDEX(Calculations!$H$4:$H$67,MATCH("F-2",Calculations!$Q$4:$Q$67,0)),""))</f>
        <v>0</v>
      </c>
      <c r="G62" s="8">
        <f>IF(B62="","",IFERROR(INDEX(Calculations!$I$4:$I$67,MATCH("F-2",Calculations!$Q$4:$Q$67,0)),""))</f>
        <v>0</v>
      </c>
      <c r="H62" s="8">
        <f>IF(B62="","",IFERROR(INDEX(Calculations!$J$4:$J$67,MATCH("F-2",Calculations!$Q$4:$Q$67,0)),""))</f>
        <v>0</v>
      </c>
      <c r="I62" s="8">
        <f>IF(B62="","",IFERROR(INDEX(Calculations!$K$4:$K$67,MATCH("F-2",Calculations!$Q$4:$Q$67,0)),""))</f>
        <v>0</v>
      </c>
      <c r="J62" s="8">
        <f>IF(B62="","",IFERROR(INDEX(Calculations!$L$4:$L$67,MATCH("F-2",Calculations!$Q$4:$Q$67,0)),""))</f>
        <v>0</v>
      </c>
      <c r="K62" s="8">
        <f>IF(B62="","",IFERROR(INDEX(Calculations!$N$4:$N$67,MATCH("F-2",Calculations!$Q$4:$Q$67,0)),""))</f>
        <v>0</v>
      </c>
    </row>
    <row r="63" spans="1:11">
      <c r="A63" s="6">
        <f>IF(B63="","",3)</f>
        <v>3</v>
      </c>
      <c r="B63" s="6" t="str">
        <f>IFERROR(INDEX(Calculations!$C$4:$C$67,MATCH("F-3",Calculations!$Q$4:$Q$67,0)),"")</f>
        <v>Team F3</v>
      </c>
      <c r="C63" s="8">
        <f>IF(B63="","",IFERROR(INDEX(Calculations!$E$4:$E$67,MATCH("F-3",Calculations!$Q$4:$Q$67,0)),""))</f>
        <v>0</v>
      </c>
      <c r="D63" s="8">
        <f>IF(B63="","",IFERROR(INDEX(Calculations!$F$4:$F$67,MATCH("F-3",Calculations!$Q$4:$Q$67,0)),""))</f>
        <v>0</v>
      </c>
      <c r="E63" s="8">
        <f>IF(B63="","",IFERROR(INDEX(Calculations!$G$4:$G$67,MATCH("F-3",Calculations!$Q$4:$Q$67,0)),""))</f>
        <v>0</v>
      </c>
      <c r="F63" s="8">
        <f>IF(B63="","",IFERROR(INDEX(Calculations!$H$4:$H$67,MATCH("F-3",Calculations!$Q$4:$Q$67,0)),""))</f>
        <v>0</v>
      </c>
      <c r="G63" s="8">
        <f>IF(B63="","",IFERROR(INDEX(Calculations!$I$4:$I$67,MATCH("F-3",Calculations!$Q$4:$Q$67,0)),""))</f>
        <v>0</v>
      </c>
      <c r="H63" s="8">
        <f>IF(B63="","",IFERROR(INDEX(Calculations!$J$4:$J$67,MATCH("F-3",Calculations!$Q$4:$Q$67,0)),""))</f>
        <v>0</v>
      </c>
      <c r="I63" s="8">
        <f>IF(B63="","",IFERROR(INDEX(Calculations!$K$4:$K$67,MATCH("F-3",Calculations!$Q$4:$Q$67,0)),""))</f>
        <v>0</v>
      </c>
      <c r="J63" s="8">
        <f>IF(B63="","",IFERROR(INDEX(Calculations!$L$4:$L$67,MATCH("F-3",Calculations!$Q$4:$Q$67,0)),""))</f>
        <v>0</v>
      </c>
      <c r="K63" s="8">
        <f>IF(B63="","",IFERROR(INDEX(Calculations!$N$4:$N$67,MATCH("F-3",Calculations!$Q$4:$Q$67,0)),""))</f>
        <v>0</v>
      </c>
    </row>
    <row r="64" spans="1:11">
      <c r="A64" s="6">
        <f>IF(B64="","",4)</f>
        <v>4</v>
      </c>
      <c r="B64" s="6" t="str">
        <f>IFERROR(INDEX(Calculations!$C$4:$C$67,MATCH("F-4",Calculations!$Q$4:$Q$67,0)),"")</f>
        <v>Team F4</v>
      </c>
      <c r="C64" s="8">
        <f>IF(B64="","",IFERROR(INDEX(Calculations!$E$4:$E$67,MATCH("F-4",Calculations!$Q$4:$Q$67,0)),""))</f>
        <v>0</v>
      </c>
      <c r="D64" s="8">
        <f>IF(B64="","",IFERROR(INDEX(Calculations!$F$4:$F$67,MATCH("F-4",Calculations!$Q$4:$Q$67,0)),""))</f>
        <v>0</v>
      </c>
      <c r="E64" s="8">
        <f>IF(B64="","",IFERROR(INDEX(Calculations!$G$4:$G$67,MATCH("F-4",Calculations!$Q$4:$Q$67,0)),""))</f>
        <v>0</v>
      </c>
      <c r="F64" s="8">
        <f>IF(B64="","",IFERROR(INDEX(Calculations!$H$4:$H$67,MATCH("F-4",Calculations!$Q$4:$Q$67,0)),""))</f>
        <v>0</v>
      </c>
      <c r="G64" s="8">
        <f>IF(B64="","",IFERROR(INDEX(Calculations!$I$4:$I$67,MATCH("F-4",Calculations!$Q$4:$Q$67,0)),""))</f>
        <v>0</v>
      </c>
      <c r="H64" s="8">
        <f>IF(B64="","",IFERROR(INDEX(Calculations!$J$4:$J$67,MATCH("F-4",Calculations!$Q$4:$Q$67,0)),""))</f>
        <v>0</v>
      </c>
      <c r="I64" s="8">
        <f>IF(B64="","",IFERROR(INDEX(Calculations!$K$4:$K$67,MATCH("F-4",Calculations!$Q$4:$Q$67,0)),""))</f>
        <v>0</v>
      </c>
      <c r="J64" s="8">
        <f>IF(B64="","",IFERROR(INDEX(Calculations!$L$4:$L$67,MATCH("F-4",Calculations!$Q$4:$Q$67,0)),""))</f>
        <v>0</v>
      </c>
      <c r="K64" s="8">
        <f>IF(B64="","",IFERROR(INDEX(Calculations!$N$4:$N$67,MATCH("F-4",Calculations!$Q$4:$Q$67,0)),""))</f>
        <v>0</v>
      </c>
    </row>
    <row r="65" spans="1:11">
      <c r="A65" s="6">
        <f>IF(B65="","",5)</f>
        <v>5</v>
      </c>
      <c r="B65" s="6" t="str">
        <f>IFERROR(INDEX(Calculations!$C$4:$C$67,MATCH("F-5",Calculations!$Q$4:$Q$67,0)),"")</f>
        <v>Team F5</v>
      </c>
      <c r="C65" s="8">
        <f>IF(B65="","",IFERROR(INDEX(Calculations!$E$4:$E$67,MATCH("F-5",Calculations!$Q$4:$Q$67,0)),""))</f>
        <v>0</v>
      </c>
      <c r="D65" s="8">
        <f>IF(B65="","",IFERROR(INDEX(Calculations!$F$4:$F$67,MATCH("F-5",Calculations!$Q$4:$Q$67,0)),""))</f>
        <v>0</v>
      </c>
      <c r="E65" s="8">
        <f>IF(B65="","",IFERROR(INDEX(Calculations!$G$4:$G$67,MATCH("F-5",Calculations!$Q$4:$Q$67,0)),""))</f>
        <v>0</v>
      </c>
      <c r="F65" s="8">
        <f>IF(B65="","",IFERROR(INDEX(Calculations!$H$4:$H$67,MATCH("F-5",Calculations!$Q$4:$Q$67,0)),""))</f>
        <v>0</v>
      </c>
      <c r="G65" s="8">
        <f>IF(B65="","",IFERROR(INDEX(Calculations!$I$4:$I$67,MATCH("F-5",Calculations!$Q$4:$Q$67,0)),""))</f>
        <v>0</v>
      </c>
      <c r="H65" s="8">
        <f>IF(B65="","",IFERROR(INDEX(Calculations!$J$4:$J$67,MATCH("F-5",Calculations!$Q$4:$Q$67,0)),""))</f>
        <v>0</v>
      </c>
      <c r="I65" s="8">
        <f>IF(B65="","",IFERROR(INDEX(Calculations!$K$4:$K$67,MATCH("F-5",Calculations!$Q$4:$Q$67,0)),""))</f>
        <v>0</v>
      </c>
      <c r="J65" s="8">
        <f>IF(B65="","",IFERROR(INDEX(Calculations!$L$4:$L$67,MATCH("F-5",Calculations!$Q$4:$Q$67,0)),""))</f>
        <v>0</v>
      </c>
      <c r="K65" s="8">
        <f>IF(B65="","",IFERROR(INDEX(Calculations!$N$4:$N$67,MATCH("F-5",Calculations!$Q$4:$Q$67,0)),""))</f>
        <v>0</v>
      </c>
    </row>
    <row r="66" spans="1:11">
      <c r="A66" s="6">
        <f>IF(B66="","",6)</f>
        <v>6</v>
      </c>
      <c r="B66" s="6" t="str">
        <f>IFERROR(INDEX(Calculations!$C$4:$C$67,MATCH("F-6",Calculations!$Q$4:$Q$67,0)),"")</f>
        <v>Team F6</v>
      </c>
      <c r="C66" s="8">
        <f>IF(B66="","",IFERROR(INDEX(Calculations!$E$4:$E$67,MATCH("F-6",Calculations!$Q$4:$Q$67,0)),""))</f>
        <v>0</v>
      </c>
      <c r="D66" s="8">
        <f>IF(B66="","",IFERROR(INDEX(Calculations!$F$4:$F$67,MATCH("F-6",Calculations!$Q$4:$Q$67,0)),""))</f>
        <v>0</v>
      </c>
      <c r="E66" s="8">
        <f>IF(B66="","",IFERROR(INDEX(Calculations!$G$4:$G$67,MATCH("F-6",Calculations!$Q$4:$Q$67,0)),""))</f>
        <v>0</v>
      </c>
      <c r="F66" s="8">
        <f>IF(B66="","",IFERROR(INDEX(Calculations!$H$4:$H$67,MATCH("F-6",Calculations!$Q$4:$Q$67,0)),""))</f>
        <v>0</v>
      </c>
      <c r="G66" s="8">
        <f>IF(B66="","",IFERROR(INDEX(Calculations!$I$4:$I$67,MATCH("F-6",Calculations!$Q$4:$Q$67,0)),""))</f>
        <v>0</v>
      </c>
      <c r="H66" s="8">
        <f>IF(B66="","",IFERROR(INDEX(Calculations!$J$4:$J$67,MATCH("F-6",Calculations!$Q$4:$Q$67,0)),""))</f>
        <v>0</v>
      </c>
      <c r="I66" s="8">
        <f>IF(B66="","",IFERROR(INDEX(Calculations!$K$4:$K$67,MATCH("F-6",Calculations!$Q$4:$Q$67,0)),""))</f>
        <v>0</v>
      </c>
      <c r="J66" s="8">
        <f>IF(B66="","",IFERROR(INDEX(Calculations!$L$4:$L$67,MATCH("F-6",Calculations!$Q$4:$Q$67,0)),""))</f>
        <v>0</v>
      </c>
      <c r="K66" s="8">
        <f>IF(B66="","",IFERROR(INDEX(Calculations!$N$4:$N$67,MATCH("F-6",Calculations!$Q$4:$Q$67,0)),""))</f>
        <v>0</v>
      </c>
    </row>
    <row r="67" spans="1:11">
      <c r="A67" s="6">
        <f>IF(B67="","",7)</f>
        <v>7</v>
      </c>
      <c r="B67" s="6" t="str">
        <f>IFERROR(INDEX(Calculations!$C$4:$C$67,MATCH("F-7",Calculations!$Q$4:$Q$67,0)),"")</f>
        <v>Team F7</v>
      </c>
      <c r="C67" s="8">
        <f>IF(B67="","",IFERROR(INDEX(Calculations!$E$4:$E$67,MATCH("F-7",Calculations!$Q$4:$Q$67,0)),""))</f>
        <v>0</v>
      </c>
      <c r="D67" s="8">
        <f>IF(B67="","",IFERROR(INDEX(Calculations!$F$4:$F$67,MATCH("F-7",Calculations!$Q$4:$Q$67,0)),""))</f>
        <v>0</v>
      </c>
      <c r="E67" s="8">
        <f>IF(B67="","",IFERROR(INDEX(Calculations!$G$4:$G$67,MATCH("F-7",Calculations!$Q$4:$Q$67,0)),""))</f>
        <v>0</v>
      </c>
      <c r="F67" s="8">
        <f>IF(B67="","",IFERROR(INDEX(Calculations!$H$4:$H$67,MATCH("F-7",Calculations!$Q$4:$Q$67,0)),""))</f>
        <v>0</v>
      </c>
      <c r="G67" s="8">
        <f>IF(B67="","",IFERROR(INDEX(Calculations!$I$4:$I$67,MATCH("F-7",Calculations!$Q$4:$Q$67,0)),""))</f>
        <v>0</v>
      </c>
      <c r="H67" s="8">
        <f>IF(B67="","",IFERROR(INDEX(Calculations!$J$4:$J$67,MATCH("F-7",Calculations!$Q$4:$Q$67,0)),""))</f>
        <v>0</v>
      </c>
      <c r="I67" s="8">
        <f>IF(B67="","",IFERROR(INDEX(Calculations!$K$4:$K$67,MATCH("F-7",Calculations!$Q$4:$Q$67,0)),""))</f>
        <v>0</v>
      </c>
      <c r="J67" s="8">
        <f>IF(B67="","",IFERROR(INDEX(Calculations!$L$4:$L$67,MATCH("F-7",Calculations!$Q$4:$Q$67,0)),""))</f>
        <v>0</v>
      </c>
      <c r="K67" s="8">
        <f>IF(B67="","",IFERROR(INDEX(Calculations!$N$4:$N$67,MATCH("F-7",Calculations!$Q$4:$Q$67,0)),""))</f>
        <v>0</v>
      </c>
    </row>
    <row r="68" spans="1:11">
      <c r="A68" s="6">
        <f>IF(B68="","",8)</f>
        <v>8</v>
      </c>
      <c r="B68" s="6" t="str">
        <f>IFERROR(INDEX(Calculations!$C$4:$C$67,MATCH("F-8",Calculations!$Q$4:$Q$67,0)),"")</f>
        <v>Team F8</v>
      </c>
      <c r="C68" s="8">
        <f>IF(B68="","",IFERROR(INDEX(Calculations!$E$4:$E$67,MATCH("F-8",Calculations!$Q$4:$Q$67,0)),""))</f>
        <v>0</v>
      </c>
      <c r="D68" s="8">
        <f>IF(B68="","",IFERROR(INDEX(Calculations!$F$4:$F$67,MATCH("F-8",Calculations!$Q$4:$Q$67,0)),""))</f>
        <v>0</v>
      </c>
      <c r="E68" s="8">
        <f>IF(B68="","",IFERROR(INDEX(Calculations!$G$4:$G$67,MATCH("F-8",Calculations!$Q$4:$Q$67,0)),""))</f>
        <v>0</v>
      </c>
      <c r="F68" s="8">
        <f>IF(B68="","",IFERROR(INDEX(Calculations!$H$4:$H$67,MATCH("F-8",Calculations!$Q$4:$Q$67,0)),""))</f>
        <v>0</v>
      </c>
      <c r="G68" s="8">
        <f>IF(B68="","",IFERROR(INDEX(Calculations!$I$4:$I$67,MATCH("F-8",Calculations!$Q$4:$Q$67,0)),""))</f>
        <v>0</v>
      </c>
      <c r="H68" s="8">
        <f>IF(B68="","",IFERROR(INDEX(Calculations!$J$4:$J$67,MATCH("F-8",Calculations!$Q$4:$Q$67,0)),""))</f>
        <v>0</v>
      </c>
      <c r="I68" s="8">
        <f>IF(B68="","",IFERROR(INDEX(Calculations!$K$4:$K$67,MATCH("F-8",Calculations!$Q$4:$Q$67,0)),""))</f>
        <v>0</v>
      </c>
      <c r="J68" s="8">
        <f>IF(B68="","",IFERROR(INDEX(Calculations!$L$4:$L$67,MATCH("F-8",Calculations!$Q$4:$Q$67,0)),""))</f>
        <v>0</v>
      </c>
      <c r="K68" s="8">
        <f>IF(B68="","",IFERROR(INDEX(Calculations!$N$4:$N$67,MATCH("F-8",Calculations!$Q$4:$Q$67,0)),""))</f>
        <v>0</v>
      </c>
    </row>
    <row r="70" spans="1:11" ht="15">
      <c r="A70" s="77" t="str">
        <f>IF(7&lt;=Setup!$B$5,"Pool G","")</f>
        <v>Pool G</v>
      </c>
      <c r="B70" s="77"/>
      <c r="C70" s="77"/>
      <c r="D70" s="77"/>
      <c r="E70" s="77"/>
      <c r="F70" s="77"/>
      <c r="G70" s="77"/>
      <c r="H70" s="77"/>
      <c r="I70" s="77"/>
      <c r="J70" s="77"/>
      <c r="K70" s="77"/>
    </row>
    <row r="71" spans="1:11" ht="15">
      <c r="A71" s="3" t="s">
        <v>300</v>
      </c>
      <c r="B71" s="3" t="s">
        <v>286</v>
      </c>
      <c r="C71" s="3" t="s">
        <v>288</v>
      </c>
      <c r="D71" s="3" t="s">
        <v>289</v>
      </c>
      <c r="E71" s="3" t="s">
        <v>56</v>
      </c>
      <c r="F71" s="3" t="s">
        <v>290</v>
      </c>
      <c r="G71" s="3" t="s">
        <v>291</v>
      </c>
      <c r="H71" s="3" t="s">
        <v>301</v>
      </c>
      <c r="I71" s="3" t="s">
        <v>293</v>
      </c>
      <c r="J71" s="3" t="s">
        <v>294</v>
      </c>
      <c r="K71" s="3" t="s">
        <v>296</v>
      </c>
    </row>
    <row r="72" spans="1:11">
      <c r="A72" s="6">
        <f>IF(B72="","",1)</f>
        <v>1</v>
      </c>
      <c r="B72" s="6" t="str">
        <f>IFERROR(INDEX(Calculations!$C$4:$C$67,MATCH("G-1",Calculations!$Q$4:$Q$67,0)),"")</f>
        <v>Team G1</v>
      </c>
      <c r="C72" s="8">
        <f>IF(B72="","",IFERROR(INDEX(Calculations!$E$4:$E$67,MATCH("G-1",Calculations!$Q$4:$Q$67,0)),""))</f>
        <v>0</v>
      </c>
      <c r="D72" s="8">
        <f>IF(B72="","",IFERROR(INDEX(Calculations!$F$4:$F$67,MATCH("G-1",Calculations!$Q$4:$Q$67,0)),""))</f>
        <v>0</v>
      </c>
      <c r="E72" s="8">
        <f>IF(B72="","",IFERROR(INDEX(Calculations!$G$4:$G$67,MATCH("G-1",Calculations!$Q$4:$Q$67,0)),""))</f>
        <v>0</v>
      </c>
      <c r="F72" s="8">
        <f>IF(B72="","",IFERROR(INDEX(Calculations!$H$4:$H$67,MATCH("G-1",Calculations!$Q$4:$Q$67,0)),""))</f>
        <v>0</v>
      </c>
      <c r="G72" s="8">
        <f>IF(B72="","",IFERROR(INDEX(Calculations!$I$4:$I$67,MATCH("G-1",Calculations!$Q$4:$Q$67,0)),""))</f>
        <v>0</v>
      </c>
      <c r="H72" s="8">
        <f>IF(B72="","",IFERROR(INDEX(Calculations!$J$4:$J$67,MATCH("G-1",Calculations!$Q$4:$Q$67,0)),""))</f>
        <v>0</v>
      </c>
      <c r="I72" s="8">
        <f>IF(B72="","",IFERROR(INDEX(Calculations!$K$4:$K$67,MATCH("G-1",Calculations!$Q$4:$Q$67,0)),""))</f>
        <v>0</v>
      </c>
      <c r="J72" s="8">
        <f>IF(B72="","",IFERROR(INDEX(Calculations!$L$4:$L$67,MATCH("G-1",Calculations!$Q$4:$Q$67,0)),""))</f>
        <v>0</v>
      </c>
      <c r="K72" s="8">
        <f>IF(B72="","",IFERROR(INDEX(Calculations!$N$4:$N$67,MATCH("G-1",Calculations!$Q$4:$Q$67,0)),""))</f>
        <v>0</v>
      </c>
    </row>
    <row r="73" spans="1:11">
      <c r="A73" s="6">
        <f>IF(B73="","",2)</f>
        <v>2</v>
      </c>
      <c r="B73" s="6" t="str">
        <f>IFERROR(INDEX(Calculations!$C$4:$C$67,MATCH("G-2",Calculations!$Q$4:$Q$67,0)),"")</f>
        <v>Team G2</v>
      </c>
      <c r="C73" s="8">
        <f>IF(B73="","",IFERROR(INDEX(Calculations!$E$4:$E$67,MATCH("G-2",Calculations!$Q$4:$Q$67,0)),""))</f>
        <v>0</v>
      </c>
      <c r="D73" s="8">
        <f>IF(B73="","",IFERROR(INDEX(Calculations!$F$4:$F$67,MATCH("G-2",Calculations!$Q$4:$Q$67,0)),""))</f>
        <v>0</v>
      </c>
      <c r="E73" s="8">
        <f>IF(B73="","",IFERROR(INDEX(Calculations!$G$4:$G$67,MATCH("G-2",Calculations!$Q$4:$Q$67,0)),""))</f>
        <v>0</v>
      </c>
      <c r="F73" s="8">
        <f>IF(B73="","",IFERROR(INDEX(Calculations!$H$4:$H$67,MATCH("G-2",Calculations!$Q$4:$Q$67,0)),""))</f>
        <v>0</v>
      </c>
      <c r="G73" s="8">
        <f>IF(B73="","",IFERROR(INDEX(Calculations!$I$4:$I$67,MATCH("G-2",Calculations!$Q$4:$Q$67,0)),""))</f>
        <v>0</v>
      </c>
      <c r="H73" s="8">
        <f>IF(B73="","",IFERROR(INDEX(Calculations!$J$4:$J$67,MATCH("G-2",Calculations!$Q$4:$Q$67,0)),""))</f>
        <v>0</v>
      </c>
      <c r="I73" s="8">
        <f>IF(B73="","",IFERROR(INDEX(Calculations!$K$4:$K$67,MATCH("G-2",Calculations!$Q$4:$Q$67,0)),""))</f>
        <v>0</v>
      </c>
      <c r="J73" s="8">
        <f>IF(B73="","",IFERROR(INDEX(Calculations!$L$4:$L$67,MATCH("G-2",Calculations!$Q$4:$Q$67,0)),""))</f>
        <v>0</v>
      </c>
      <c r="K73" s="8">
        <f>IF(B73="","",IFERROR(INDEX(Calculations!$N$4:$N$67,MATCH("G-2",Calculations!$Q$4:$Q$67,0)),""))</f>
        <v>0</v>
      </c>
    </row>
    <row r="74" spans="1:11">
      <c r="A74" s="6">
        <f>IF(B74="","",3)</f>
        <v>3</v>
      </c>
      <c r="B74" s="6" t="str">
        <f>IFERROR(INDEX(Calculations!$C$4:$C$67,MATCH("G-3",Calculations!$Q$4:$Q$67,0)),"")</f>
        <v>Team G3</v>
      </c>
      <c r="C74" s="8">
        <f>IF(B74="","",IFERROR(INDEX(Calculations!$E$4:$E$67,MATCH("G-3",Calculations!$Q$4:$Q$67,0)),""))</f>
        <v>0</v>
      </c>
      <c r="D74" s="8">
        <f>IF(B74="","",IFERROR(INDEX(Calculations!$F$4:$F$67,MATCH("G-3",Calculations!$Q$4:$Q$67,0)),""))</f>
        <v>0</v>
      </c>
      <c r="E74" s="8">
        <f>IF(B74="","",IFERROR(INDEX(Calculations!$G$4:$G$67,MATCH("G-3",Calculations!$Q$4:$Q$67,0)),""))</f>
        <v>0</v>
      </c>
      <c r="F74" s="8">
        <f>IF(B74="","",IFERROR(INDEX(Calculations!$H$4:$H$67,MATCH("G-3",Calculations!$Q$4:$Q$67,0)),""))</f>
        <v>0</v>
      </c>
      <c r="G74" s="8">
        <f>IF(B74="","",IFERROR(INDEX(Calculations!$I$4:$I$67,MATCH("G-3",Calculations!$Q$4:$Q$67,0)),""))</f>
        <v>0</v>
      </c>
      <c r="H74" s="8">
        <f>IF(B74="","",IFERROR(INDEX(Calculations!$J$4:$J$67,MATCH("G-3",Calculations!$Q$4:$Q$67,0)),""))</f>
        <v>0</v>
      </c>
      <c r="I74" s="8">
        <f>IF(B74="","",IFERROR(INDEX(Calculations!$K$4:$K$67,MATCH("G-3",Calculations!$Q$4:$Q$67,0)),""))</f>
        <v>0</v>
      </c>
      <c r="J74" s="8">
        <f>IF(B74="","",IFERROR(INDEX(Calculations!$L$4:$L$67,MATCH("G-3",Calculations!$Q$4:$Q$67,0)),""))</f>
        <v>0</v>
      </c>
      <c r="K74" s="8">
        <f>IF(B74="","",IFERROR(INDEX(Calculations!$N$4:$N$67,MATCH("G-3",Calculations!$Q$4:$Q$67,0)),""))</f>
        <v>0</v>
      </c>
    </row>
    <row r="75" spans="1:11">
      <c r="A75" s="6">
        <f>IF(B75="","",4)</f>
        <v>4</v>
      </c>
      <c r="B75" s="6" t="str">
        <f>IFERROR(INDEX(Calculations!$C$4:$C$67,MATCH("G-4",Calculations!$Q$4:$Q$67,0)),"")</f>
        <v>Team G4</v>
      </c>
      <c r="C75" s="8">
        <f>IF(B75="","",IFERROR(INDEX(Calculations!$E$4:$E$67,MATCH("G-4",Calculations!$Q$4:$Q$67,0)),""))</f>
        <v>0</v>
      </c>
      <c r="D75" s="8">
        <f>IF(B75="","",IFERROR(INDEX(Calculations!$F$4:$F$67,MATCH("G-4",Calculations!$Q$4:$Q$67,0)),""))</f>
        <v>0</v>
      </c>
      <c r="E75" s="8">
        <f>IF(B75="","",IFERROR(INDEX(Calculations!$G$4:$G$67,MATCH("G-4",Calculations!$Q$4:$Q$67,0)),""))</f>
        <v>0</v>
      </c>
      <c r="F75" s="8">
        <f>IF(B75="","",IFERROR(INDEX(Calculations!$H$4:$H$67,MATCH("G-4",Calculations!$Q$4:$Q$67,0)),""))</f>
        <v>0</v>
      </c>
      <c r="G75" s="8">
        <f>IF(B75="","",IFERROR(INDEX(Calculations!$I$4:$I$67,MATCH("G-4",Calculations!$Q$4:$Q$67,0)),""))</f>
        <v>0</v>
      </c>
      <c r="H75" s="8">
        <f>IF(B75="","",IFERROR(INDEX(Calculations!$J$4:$J$67,MATCH("G-4",Calculations!$Q$4:$Q$67,0)),""))</f>
        <v>0</v>
      </c>
      <c r="I75" s="8">
        <f>IF(B75="","",IFERROR(INDEX(Calculations!$K$4:$K$67,MATCH("G-4",Calculations!$Q$4:$Q$67,0)),""))</f>
        <v>0</v>
      </c>
      <c r="J75" s="8">
        <f>IF(B75="","",IFERROR(INDEX(Calculations!$L$4:$L$67,MATCH("G-4",Calculations!$Q$4:$Q$67,0)),""))</f>
        <v>0</v>
      </c>
      <c r="K75" s="8">
        <f>IF(B75="","",IFERROR(INDEX(Calculations!$N$4:$N$67,MATCH("G-4",Calculations!$Q$4:$Q$67,0)),""))</f>
        <v>0</v>
      </c>
    </row>
    <row r="76" spans="1:11">
      <c r="A76" s="6">
        <f>IF(B76="","",5)</f>
        <v>5</v>
      </c>
      <c r="B76" s="6" t="str">
        <f>IFERROR(INDEX(Calculations!$C$4:$C$67,MATCH("G-5",Calculations!$Q$4:$Q$67,0)),"")</f>
        <v>Team G5</v>
      </c>
      <c r="C76" s="8">
        <f>IF(B76="","",IFERROR(INDEX(Calculations!$E$4:$E$67,MATCH("G-5",Calculations!$Q$4:$Q$67,0)),""))</f>
        <v>0</v>
      </c>
      <c r="D76" s="8">
        <f>IF(B76="","",IFERROR(INDEX(Calculations!$F$4:$F$67,MATCH("G-5",Calculations!$Q$4:$Q$67,0)),""))</f>
        <v>0</v>
      </c>
      <c r="E76" s="8">
        <f>IF(B76="","",IFERROR(INDEX(Calculations!$G$4:$G$67,MATCH("G-5",Calculations!$Q$4:$Q$67,0)),""))</f>
        <v>0</v>
      </c>
      <c r="F76" s="8">
        <f>IF(B76="","",IFERROR(INDEX(Calculations!$H$4:$H$67,MATCH("G-5",Calculations!$Q$4:$Q$67,0)),""))</f>
        <v>0</v>
      </c>
      <c r="G76" s="8">
        <f>IF(B76="","",IFERROR(INDEX(Calculations!$I$4:$I$67,MATCH("G-5",Calculations!$Q$4:$Q$67,0)),""))</f>
        <v>0</v>
      </c>
      <c r="H76" s="8">
        <f>IF(B76="","",IFERROR(INDEX(Calculations!$J$4:$J$67,MATCH("G-5",Calculations!$Q$4:$Q$67,0)),""))</f>
        <v>0</v>
      </c>
      <c r="I76" s="8">
        <f>IF(B76="","",IFERROR(INDEX(Calculations!$K$4:$K$67,MATCH("G-5",Calculations!$Q$4:$Q$67,0)),""))</f>
        <v>0</v>
      </c>
      <c r="J76" s="8">
        <f>IF(B76="","",IFERROR(INDEX(Calculations!$L$4:$L$67,MATCH("G-5",Calculations!$Q$4:$Q$67,0)),""))</f>
        <v>0</v>
      </c>
      <c r="K76" s="8">
        <f>IF(B76="","",IFERROR(INDEX(Calculations!$N$4:$N$67,MATCH("G-5",Calculations!$Q$4:$Q$67,0)),""))</f>
        <v>0</v>
      </c>
    </row>
    <row r="77" spans="1:11">
      <c r="A77" s="6">
        <f>IF(B77="","",6)</f>
        <v>6</v>
      </c>
      <c r="B77" s="6" t="str">
        <f>IFERROR(INDEX(Calculations!$C$4:$C$67,MATCH("G-6",Calculations!$Q$4:$Q$67,0)),"")</f>
        <v>Team G6</v>
      </c>
      <c r="C77" s="8">
        <f>IF(B77="","",IFERROR(INDEX(Calculations!$E$4:$E$67,MATCH("G-6",Calculations!$Q$4:$Q$67,0)),""))</f>
        <v>0</v>
      </c>
      <c r="D77" s="8">
        <f>IF(B77="","",IFERROR(INDEX(Calculations!$F$4:$F$67,MATCH("G-6",Calculations!$Q$4:$Q$67,0)),""))</f>
        <v>0</v>
      </c>
      <c r="E77" s="8">
        <f>IF(B77="","",IFERROR(INDEX(Calculations!$G$4:$G$67,MATCH("G-6",Calculations!$Q$4:$Q$67,0)),""))</f>
        <v>0</v>
      </c>
      <c r="F77" s="8">
        <f>IF(B77="","",IFERROR(INDEX(Calculations!$H$4:$H$67,MATCH("G-6",Calculations!$Q$4:$Q$67,0)),""))</f>
        <v>0</v>
      </c>
      <c r="G77" s="8">
        <f>IF(B77="","",IFERROR(INDEX(Calculations!$I$4:$I$67,MATCH("G-6",Calculations!$Q$4:$Q$67,0)),""))</f>
        <v>0</v>
      </c>
      <c r="H77" s="8">
        <f>IF(B77="","",IFERROR(INDEX(Calculations!$J$4:$J$67,MATCH("G-6",Calculations!$Q$4:$Q$67,0)),""))</f>
        <v>0</v>
      </c>
      <c r="I77" s="8">
        <f>IF(B77="","",IFERROR(INDEX(Calculations!$K$4:$K$67,MATCH("G-6",Calculations!$Q$4:$Q$67,0)),""))</f>
        <v>0</v>
      </c>
      <c r="J77" s="8">
        <f>IF(B77="","",IFERROR(INDEX(Calculations!$L$4:$L$67,MATCH("G-6",Calculations!$Q$4:$Q$67,0)),""))</f>
        <v>0</v>
      </c>
      <c r="K77" s="8">
        <f>IF(B77="","",IFERROR(INDEX(Calculations!$N$4:$N$67,MATCH("G-6",Calculations!$Q$4:$Q$67,0)),""))</f>
        <v>0</v>
      </c>
    </row>
    <row r="78" spans="1:11">
      <c r="A78" s="6">
        <f>IF(B78="","",7)</f>
        <v>7</v>
      </c>
      <c r="B78" s="6" t="str">
        <f>IFERROR(INDEX(Calculations!$C$4:$C$67,MATCH("G-7",Calculations!$Q$4:$Q$67,0)),"")</f>
        <v>Team G7</v>
      </c>
      <c r="C78" s="8">
        <f>IF(B78="","",IFERROR(INDEX(Calculations!$E$4:$E$67,MATCH("G-7",Calculations!$Q$4:$Q$67,0)),""))</f>
        <v>0</v>
      </c>
      <c r="D78" s="8">
        <f>IF(B78="","",IFERROR(INDEX(Calculations!$F$4:$F$67,MATCH("G-7",Calculations!$Q$4:$Q$67,0)),""))</f>
        <v>0</v>
      </c>
      <c r="E78" s="8">
        <f>IF(B78="","",IFERROR(INDEX(Calculations!$G$4:$G$67,MATCH("G-7",Calculations!$Q$4:$Q$67,0)),""))</f>
        <v>0</v>
      </c>
      <c r="F78" s="8">
        <f>IF(B78="","",IFERROR(INDEX(Calculations!$H$4:$H$67,MATCH("G-7",Calculations!$Q$4:$Q$67,0)),""))</f>
        <v>0</v>
      </c>
      <c r="G78" s="8">
        <f>IF(B78="","",IFERROR(INDEX(Calculations!$I$4:$I$67,MATCH("G-7",Calculations!$Q$4:$Q$67,0)),""))</f>
        <v>0</v>
      </c>
      <c r="H78" s="8">
        <f>IF(B78="","",IFERROR(INDEX(Calculations!$J$4:$J$67,MATCH("G-7",Calculations!$Q$4:$Q$67,0)),""))</f>
        <v>0</v>
      </c>
      <c r="I78" s="8">
        <f>IF(B78="","",IFERROR(INDEX(Calculations!$K$4:$K$67,MATCH("G-7",Calculations!$Q$4:$Q$67,0)),""))</f>
        <v>0</v>
      </c>
      <c r="J78" s="8">
        <f>IF(B78="","",IFERROR(INDEX(Calculations!$L$4:$L$67,MATCH("G-7",Calculations!$Q$4:$Q$67,0)),""))</f>
        <v>0</v>
      </c>
      <c r="K78" s="8">
        <f>IF(B78="","",IFERROR(INDEX(Calculations!$N$4:$N$67,MATCH("G-7",Calculations!$Q$4:$Q$67,0)),""))</f>
        <v>0</v>
      </c>
    </row>
    <row r="79" spans="1:11">
      <c r="A79" s="6">
        <f>IF(B79="","",8)</f>
        <v>8</v>
      </c>
      <c r="B79" s="6" t="str">
        <f>IFERROR(INDEX(Calculations!$C$4:$C$67,MATCH("G-8",Calculations!$Q$4:$Q$67,0)),"")</f>
        <v>Team G8</v>
      </c>
      <c r="C79" s="8">
        <f>IF(B79="","",IFERROR(INDEX(Calculations!$E$4:$E$67,MATCH("G-8",Calculations!$Q$4:$Q$67,0)),""))</f>
        <v>0</v>
      </c>
      <c r="D79" s="8">
        <f>IF(B79="","",IFERROR(INDEX(Calculations!$F$4:$F$67,MATCH("G-8",Calculations!$Q$4:$Q$67,0)),""))</f>
        <v>0</v>
      </c>
      <c r="E79" s="8">
        <f>IF(B79="","",IFERROR(INDEX(Calculations!$G$4:$G$67,MATCH("G-8",Calculations!$Q$4:$Q$67,0)),""))</f>
        <v>0</v>
      </c>
      <c r="F79" s="8">
        <f>IF(B79="","",IFERROR(INDEX(Calculations!$H$4:$H$67,MATCH("G-8",Calculations!$Q$4:$Q$67,0)),""))</f>
        <v>0</v>
      </c>
      <c r="G79" s="8">
        <f>IF(B79="","",IFERROR(INDEX(Calculations!$I$4:$I$67,MATCH("G-8",Calculations!$Q$4:$Q$67,0)),""))</f>
        <v>0</v>
      </c>
      <c r="H79" s="8">
        <f>IF(B79="","",IFERROR(INDEX(Calculations!$J$4:$J$67,MATCH("G-8",Calculations!$Q$4:$Q$67,0)),""))</f>
        <v>0</v>
      </c>
      <c r="I79" s="8">
        <f>IF(B79="","",IFERROR(INDEX(Calculations!$K$4:$K$67,MATCH("G-8",Calculations!$Q$4:$Q$67,0)),""))</f>
        <v>0</v>
      </c>
      <c r="J79" s="8">
        <f>IF(B79="","",IFERROR(INDEX(Calculations!$L$4:$L$67,MATCH("G-8",Calculations!$Q$4:$Q$67,0)),""))</f>
        <v>0</v>
      </c>
      <c r="K79" s="8">
        <f>IF(B79="","",IFERROR(INDEX(Calculations!$N$4:$N$67,MATCH("G-8",Calculations!$Q$4:$Q$67,0)),""))</f>
        <v>0</v>
      </c>
    </row>
    <row r="81" spans="1:11" ht="15">
      <c r="A81" s="77" t="str">
        <f>IF(8&lt;=Setup!$B$5,"Pool H","")</f>
        <v>Pool H</v>
      </c>
      <c r="B81" s="77"/>
      <c r="C81" s="77"/>
      <c r="D81" s="77"/>
      <c r="E81" s="77"/>
      <c r="F81" s="77"/>
      <c r="G81" s="77"/>
      <c r="H81" s="77"/>
      <c r="I81" s="77"/>
      <c r="J81" s="77"/>
      <c r="K81" s="77"/>
    </row>
    <row r="82" spans="1:11" ht="15">
      <c r="A82" s="3" t="s">
        <v>300</v>
      </c>
      <c r="B82" s="3" t="s">
        <v>286</v>
      </c>
      <c r="C82" s="3" t="s">
        <v>288</v>
      </c>
      <c r="D82" s="3" t="s">
        <v>289</v>
      </c>
      <c r="E82" s="3" t="s">
        <v>56</v>
      </c>
      <c r="F82" s="3" t="s">
        <v>290</v>
      </c>
      <c r="G82" s="3" t="s">
        <v>291</v>
      </c>
      <c r="H82" s="3" t="s">
        <v>301</v>
      </c>
      <c r="I82" s="3" t="s">
        <v>293</v>
      </c>
      <c r="J82" s="3" t="s">
        <v>294</v>
      </c>
      <c r="K82" s="3" t="s">
        <v>296</v>
      </c>
    </row>
    <row r="83" spans="1:11">
      <c r="A83" s="6">
        <f>IF(B83="","",1)</f>
        <v>1</v>
      </c>
      <c r="B83" s="6" t="str">
        <f>IFERROR(INDEX(Calculations!$C$4:$C$67,MATCH("H-1",Calculations!$Q$4:$Q$67,0)),"")</f>
        <v>Team H1</v>
      </c>
      <c r="C83" s="8">
        <f>IF(B83="","",IFERROR(INDEX(Calculations!$E$4:$E$67,MATCH("H-1",Calculations!$Q$4:$Q$67,0)),""))</f>
        <v>0</v>
      </c>
      <c r="D83" s="8">
        <f>IF(B83="","",IFERROR(INDEX(Calculations!$F$4:$F$67,MATCH("H-1",Calculations!$Q$4:$Q$67,0)),""))</f>
        <v>0</v>
      </c>
      <c r="E83" s="8">
        <f>IF(B83="","",IFERROR(INDEX(Calculations!$G$4:$G$67,MATCH("H-1",Calculations!$Q$4:$Q$67,0)),""))</f>
        <v>0</v>
      </c>
      <c r="F83" s="8">
        <f>IF(B83="","",IFERROR(INDEX(Calculations!$H$4:$H$67,MATCH("H-1",Calculations!$Q$4:$Q$67,0)),""))</f>
        <v>0</v>
      </c>
      <c r="G83" s="8">
        <f>IF(B83="","",IFERROR(INDEX(Calculations!$I$4:$I$67,MATCH("H-1",Calculations!$Q$4:$Q$67,0)),""))</f>
        <v>0</v>
      </c>
      <c r="H83" s="8">
        <f>IF(B83="","",IFERROR(INDEX(Calculations!$J$4:$J$67,MATCH("H-1",Calculations!$Q$4:$Q$67,0)),""))</f>
        <v>0</v>
      </c>
      <c r="I83" s="8">
        <f>IF(B83="","",IFERROR(INDEX(Calculations!$K$4:$K$67,MATCH("H-1",Calculations!$Q$4:$Q$67,0)),""))</f>
        <v>0</v>
      </c>
      <c r="J83" s="8">
        <f>IF(B83="","",IFERROR(INDEX(Calculations!$L$4:$L$67,MATCH("H-1",Calculations!$Q$4:$Q$67,0)),""))</f>
        <v>0</v>
      </c>
      <c r="K83" s="8">
        <f>IF(B83="","",IFERROR(INDEX(Calculations!$N$4:$N$67,MATCH("H-1",Calculations!$Q$4:$Q$67,0)),""))</f>
        <v>0</v>
      </c>
    </row>
    <row r="84" spans="1:11">
      <c r="A84" s="6">
        <f>IF(B84="","",2)</f>
        <v>2</v>
      </c>
      <c r="B84" s="6" t="str">
        <f>IFERROR(INDEX(Calculations!$C$4:$C$67,MATCH("H-2",Calculations!$Q$4:$Q$67,0)),"")</f>
        <v>Team H2</v>
      </c>
      <c r="C84" s="8">
        <f>IF(B84="","",IFERROR(INDEX(Calculations!$E$4:$E$67,MATCH("H-2",Calculations!$Q$4:$Q$67,0)),""))</f>
        <v>0</v>
      </c>
      <c r="D84" s="8">
        <f>IF(B84="","",IFERROR(INDEX(Calculations!$F$4:$F$67,MATCH("H-2",Calculations!$Q$4:$Q$67,0)),""))</f>
        <v>0</v>
      </c>
      <c r="E84" s="8">
        <f>IF(B84="","",IFERROR(INDEX(Calculations!$G$4:$G$67,MATCH("H-2",Calculations!$Q$4:$Q$67,0)),""))</f>
        <v>0</v>
      </c>
      <c r="F84" s="8">
        <f>IF(B84="","",IFERROR(INDEX(Calculations!$H$4:$H$67,MATCH("H-2",Calculations!$Q$4:$Q$67,0)),""))</f>
        <v>0</v>
      </c>
      <c r="G84" s="8">
        <f>IF(B84="","",IFERROR(INDEX(Calculations!$I$4:$I$67,MATCH("H-2",Calculations!$Q$4:$Q$67,0)),""))</f>
        <v>0</v>
      </c>
      <c r="H84" s="8">
        <f>IF(B84="","",IFERROR(INDEX(Calculations!$J$4:$J$67,MATCH("H-2",Calculations!$Q$4:$Q$67,0)),""))</f>
        <v>0</v>
      </c>
      <c r="I84" s="8">
        <f>IF(B84="","",IFERROR(INDEX(Calculations!$K$4:$K$67,MATCH("H-2",Calculations!$Q$4:$Q$67,0)),""))</f>
        <v>0</v>
      </c>
      <c r="J84" s="8">
        <f>IF(B84="","",IFERROR(INDEX(Calculations!$L$4:$L$67,MATCH("H-2",Calculations!$Q$4:$Q$67,0)),""))</f>
        <v>0</v>
      </c>
      <c r="K84" s="8">
        <f>IF(B84="","",IFERROR(INDEX(Calculations!$N$4:$N$67,MATCH("H-2",Calculations!$Q$4:$Q$67,0)),""))</f>
        <v>0</v>
      </c>
    </row>
    <row r="85" spans="1:11">
      <c r="A85" s="6">
        <f>IF(B85="","",3)</f>
        <v>3</v>
      </c>
      <c r="B85" s="6" t="str">
        <f>IFERROR(INDEX(Calculations!$C$4:$C$67,MATCH("H-3",Calculations!$Q$4:$Q$67,0)),"")</f>
        <v>Team H3</v>
      </c>
      <c r="C85" s="8">
        <f>IF(B85="","",IFERROR(INDEX(Calculations!$E$4:$E$67,MATCH("H-3",Calculations!$Q$4:$Q$67,0)),""))</f>
        <v>0</v>
      </c>
      <c r="D85" s="8">
        <f>IF(B85="","",IFERROR(INDEX(Calculations!$F$4:$F$67,MATCH("H-3",Calculations!$Q$4:$Q$67,0)),""))</f>
        <v>0</v>
      </c>
      <c r="E85" s="8">
        <f>IF(B85="","",IFERROR(INDEX(Calculations!$G$4:$G$67,MATCH("H-3",Calculations!$Q$4:$Q$67,0)),""))</f>
        <v>0</v>
      </c>
      <c r="F85" s="8">
        <f>IF(B85="","",IFERROR(INDEX(Calculations!$H$4:$H$67,MATCH("H-3",Calculations!$Q$4:$Q$67,0)),""))</f>
        <v>0</v>
      </c>
      <c r="G85" s="8">
        <f>IF(B85="","",IFERROR(INDEX(Calculations!$I$4:$I$67,MATCH("H-3",Calculations!$Q$4:$Q$67,0)),""))</f>
        <v>0</v>
      </c>
      <c r="H85" s="8">
        <f>IF(B85="","",IFERROR(INDEX(Calculations!$J$4:$J$67,MATCH("H-3",Calculations!$Q$4:$Q$67,0)),""))</f>
        <v>0</v>
      </c>
      <c r="I85" s="8">
        <f>IF(B85="","",IFERROR(INDEX(Calculations!$K$4:$K$67,MATCH("H-3",Calculations!$Q$4:$Q$67,0)),""))</f>
        <v>0</v>
      </c>
      <c r="J85" s="8">
        <f>IF(B85="","",IFERROR(INDEX(Calculations!$L$4:$L$67,MATCH("H-3",Calculations!$Q$4:$Q$67,0)),""))</f>
        <v>0</v>
      </c>
      <c r="K85" s="8">
        <f>IF(B85="","",IFERROR(INDEX(Calculations!$N$4:$N$67,MATCH("H-3",Calculations!$Q$4:$Q$67,0)),""))</f>
        <v>0</v>
      </c>
    </row>
    <row r="86" spans="1:11">
      <c r="A86" s="6">
        <f>IF(B86="","",4)</f>
        <v>4</v>
      </c>
      <c r="B86" s="6" t="str">
        <f>IFERROR(INDEX(Calculations!$C$4:$C$67,MATCH("H-4",Calculations!$Q$4:$Q$67,0)),"")</f>
        <v>Team H4</v>
      </c>
      <c r="C86" s="8">
        <f>IF(B86="","",IFERROR(INDEX(Calculations!$E$4:$E$67,MATCH("H-4",Calculations!$Q$4:$Q$67,0)),""))</f>
        <v>0</v>
      </c>
      <c r="D86" s="8">
        <f>IF(B86="","",IFERROR(INDEX(Calculations!$F$4:$F$67,MATCH("H-4",Calculations!$Q$4:$Q$67,0)),""))</f>
        <v>0</v>
      </c>
      <c r="E86" s="8">
        <f>IF(B86="","",IFERROR(INDEX(Calculations!$G$4:$G$67,MATCH("H-4",Calculations!$Q$4:$Q$67,0)),""))</f>
        <v>0</v>
      </c>
      <c r="F86" s="8">
        <f>IF(B86="","",IFERROR(INDEX(Calculations!$H$4:$H$67,MATCH("H-4",Calculations!$Q$4:$Q$67,0)),""))</f>
        <v>0</v>
      </c>
      <c r="G86" s="8">
        <f>IF(B86="","",IFERROR(INDEX(Calculations!$I$4:$I$67,MATCH("H-4",Calculations!$Q$4:$Q$67,0)),""))</f>
        <v>0</v>
      </c>
      <c r="H86" s="8">
        <f>IF(B86="","",IFERROR(INDEX(Calculations!$J$4:$J$67,MATCH("H-4",Calculations!$Q$4:$Q$67,0)),""))</f>
        <v>0</v>
      </c>
      <c r="I86" s="8">
        <f>IF(B86="","",IFERROR(INDEX(Calculations!$K$4:$K$67,MATCH("H-4",Calculations!$Q$4:$Q$67,0)),""))</f>
        <v>0</v>
      </c>
      <c r="J86" s="8">
        <f>IF(B86="","",IFERROR(INDEX(Calculations!$L$4:$L$67,MATCH("H-4",Calculations!$Q$4:$Q$67,0)),""))</f>
        <v>0</v>
      </c>
      <c r="K86" s="8">
        <f>IF(B86="","",IFERROR(INDEX(Calculations!$N$4:$N$67,MATCH("H-4",Calculations!$Q$4:$Q$67,0)),""))</f>
        <v>0</v>
      </c>
    </row>
    <row r="87" spans="1:11">
      <c r="A87" s="6">
        <f>IF(B87="","",5)</f>
        <v>5</v>
      </c>
      <c r="B87" s="6" t="str">
        <f>IFERROR(INDEX(Calculations!$C$4:$C$67,MATCH("H-5",Calculations!$Q$4:$Q$67,0)),"")</f>
        <v>Team H5</v>
      </c>
      <c r="C87" s="8">
        <f>IF(B87="","",IFERROR(INDEX(Calculations!$E$4:$E$67,MATCH("H-5",Calculations!$Q$4:$Q$67,0)),""))</f>
        <v>0</v>
      </c>
      <c r="D87" s="8">
        <f>IF(B87="","",IFERROR(INDEX(Calculations!$F$4:$F$67,MATCH("H-5",Calculations!$Q$4:$Q$67,0)),""))</f>
        <v>0</v>
      </c>
      <c r="E87" s="8">
        <f>IF(B87="","",IFERROR(INDEX(Calculations!$G$4:$G$67,MATCH("H-5",Calculations!$Q$4:$Q$67,0)),""))</f>
        <v>0</v>
      </c>
      <c r="F87" s="8">
        <f>IF(B87="","",IFERROR(INDEX(Calculations!$H$4:$H$67,MATCH("H-5",Calculations!$Q$4:$Q$67,0)),""))</f>
        <v>0</v>
      </c>
      <c r="G87" s="8">
        <f>IF(B87="","",IFERROR(INDEX(Calculations!$I$4:$I$67,MATCH("H-5",Calculations!$Q$4:$Q$67,0)),""))</f>
        <v>0</v>
      </c>
      <c r="H87" s="8">
        <f>IF(B87="","",IFERROR(INDEX(Calculations!$J$4:$J$67,MATCH("H-5",Calculations!$Q$4:$Q$67,0)),""))</f>
        <v>0</v>
      </c>
      <c r="I87" s="8">
        <f>IF(B87="","",IFERROR(INDEX(Calculations!$K$4:$K$67,MATCH("H-5",Calculations!$Q$4:$Q$67,0)),""))</f>
        <v>0</v>
      </c>
      <c r="J87" s="8">
        <f>IF(B87="","",IFERROR(INDEX(Calculations!$L$4:$L$67,MATCH("H-5",Calculations!$Q$4:$Q$67,0)),""))</f>
        <v>0</v>
      </c>
      <c r="K87" s="8">
        <f>IF(B87="","",IFERROR(INDEX(Calculations!$N$4:$N$67,MATCH("H-5",Calculations!$Q$4:$Q$67,0)),""))</f>
        <v>0</v>
      </c>
    </row>
    <row r="88" spans="1:11">
      <c r="A88" s="6">
        <f>IF(B88="","",6)</f>
        <v>6</v>
      </c>
      <c r="B88" s="6" t="str">
        <f>IFERROR(INDEX(Calculations!$C$4:$C$67,MATCH("H-6",Calculations!$Q$4:$Q$67,0)),"")</f>
        <v>Team H6</v>
      </c>
      <c r="C88" s="8">
        <f>IF(B88="","",IFERROR(INDEX(Calculations!$E$4:$E$67,MATCH("H-6",Calculations!$Q$4:$Q$67,0)),""))</f>
        <v>0</v>
      </c>
      <c r="D88" s="8">
        <f>IF(B88="","",IFERROR(INDEX(Calculations!$F$4:$F$67,MATCH("H-6",Calculations!$Q$4:$Q$67,0)),""))</f>
        <v>0</v>
      </c>
      <c r="E88" s="8">
        <f>IF(B88="","",IFERROR(INDEX(Calculations!$G$4:$G$67,MATCH("H-6",Calculations!$Q$4:$Q$67,0)),""))</f>
        <v>0</v>
      </c>
      <c r="F88" s="8">
        <f>IF(B88="","",IFERROR(INDEX(Calculations!$H$4:$H$67,MATCH("H-6",Calculations!$Q$4:$Q$67,0)),""))</f>
        <v>0</v>
      </c>
      <c r="G88" s="8">
        <f>IF(B88="","",IFERROR(INDEX(Calculations!$I$4:$I$67,MATCH("H-6",Calculations!$Q$4:$Q$67,0)),""))</f>
        <v>0</v>
      </c>
      <c r="H88" s="8">
        <f>IF(B88="","",IFERROR(INDEX(Calculations!$J$4:$J$67,MATCH("H-6",Calculations!$Q$4:$Q$67,0)),""))</f>
        <v>0</v>
      </c>
      <c r="I88" s="8">
        <f>IF(B88="","",IFERROR(INDEX(Calculations!$K$4:$K$67,MATCH("H-6",Calculations!$Q$4:$Q$67,0)),""))</f>
        <v>0</v>
      </c>
      <c r="J88" s="8">
        <f>IF(B88="","",IFERROR(INDEX(Calculations!$L$4:$L$67,MATCH("H-6",Calculations!$Q$4:$Q$67,0)),""))</f>
        <v>0</v>
      </c>
      <c r="K88" s="8">
        <f>IF(B88="","",IFERROR(INDEX(Calculations!$N$4:$N$67,MATCH("H-6",Calculations!$Q$4:$Q$67,0)),""))</f>
        <v>0</v>
      </c>
    </row>
    <row r="89" spans="1:11">
      <c r="A89" s="6">
        <f>IF(B89="","",7)</f>
        <v>7</v>
      </c>
      <c r="B89" s="6" t="str">
        <f>IFERROR(INDEX(Calculations!$C$4:$C$67,MATCH("H-7",Calculations!$Q$4:$Q$67,0)),"")</f>
        <v>Team H7</v>
      </c>
      <c r="C89" s="8">
        <f>IF(B89="","",IFERROR(INDEX(Calculations!$E$4:$E$67,MATCH("H-7",Calculations!$Q$4:$Q$67,0)),""))</f>
        <v>0</v>
      </c>
      <c r="D89" s="8">
        <f>IF(B89="","",IFERROR(INDEX(Calculations!$F$4:$F$67,MATCH("H-7",Calculations!$Q$4:$Q$67,0)),""))</f>
        <v>0</v>
      </c>
      <c r="E89" s="8">
        <f>IF(B89="","",IFERROR(INDEX(Calculations!$G$4:$G$67,MATCH("H-7",Calculations!$Q$4:$Q$67,0)),""))</f>
        <v>0</v>
      </c>
      <c r="F89" s="8">
        <f>IF(B89="","",IFERROR(INDEX(Calculations!$H$4:$H$67,MATCH("H-7",Calculations!$Q$4:$Q$67,0)),""))</f>
        <v>0</v>
      </c>
      <c r="G89" s="8">
        <f>IF(B89="","",IFERROR(INDEX(Calculations!$I$4:$I$67,MATCH("H-7",Calculations!$Q$4:$Q$67,0)),""))</f>
        <v>0</v>
      </c>
      <c r="H89" s="8">
        <f>IF(B89="","",IFERROR(INDEX(Calculations!$J$4:$J$67,MATCH("H-7",Calculations!$Q$4:$Q$67,0)),""))</f>
        <v>0</v>
      </c>
      <c r="I89" s="8">
        <f>IF(B89="","",IFERROR(INDEX(Calculations!$K$4:$K$67,MATCH("H-7",Calculations!$Q$4:$Q$67,0)),""))</f>
        <v>0</v>
      </c>
      <c r="J89" s="8">
        <f>IF(B89="","",IFERROR(INDEX(Calculations!$L$4:$L$67,MATCH("H-7",Calculations!$Q$4:$Q$67,0)),""))</f>
        <v>0</v>
      </c>
      <c r="K89" s="8">
        <f>IF(B89="","",IFERROR(INDEX(Calculations!$N$4:$N$67,MATCH("H-7",Calculations!$Q$4:$Q$67,0)),""))</f>
        <v>0</v>
      </c>
    </row>
    <row r="90" spans="1:11">
      <c r="A90" s="6">
        <f>IF(B90="","",8)</f>
        <v>8</v>
      </c>
      <c r="B90" s="6" t="str">
        <f>IFERROR(INDEX(Calculations!$C$4:$C$67,MATCH("H-8",Calculations!$Q$4:$Q$67,0)),"")</f>
        <v>Team H8</v>
      </c>
      <c r="C90" s="8">
        <f>IF(B90="","",IFERROR(INDEX(Calculations!$E$4:$E$67,MATCH("H-8",Calculations!$Q$4:$Q$67,0)),""))</f>
        <v>0</v>
      </c>
      <c r="D90" s="8">
        <f>IF(B90="","",IFERROR(INDEX(Calculations!$F$4:$F$67,MATCH("H-8",Calculations!$Q$4:$Q$67,0)),""))</f>
        <v>0</v>
      </c>
      <c r="E90" s="8">
        <f>IF(B90="","",IFERROR(INDEX(Calculations!$G$4:$G$67,MATCH("H-8",Calculations!$Q$4:$Q$67,0)),""))</f>
        <v>0</v>
      </c>
      <c r="F90" s="8">
        <f>IF(B90="","",IFERROR(INDEX(Calculations!$H$4:$H$67,MATCH("H-8",Calculations!$Q$4:$Q$67,0)),""))</f>
        <v>0</v>
      </c>
      <c r="G90" s="8">
        <f>IF(B90="","",IFERROR(INDEX(Calculations!$I$4:$I$67,MATCH("H-8",Calculations!$Q$4:$Q$67,0)),""))</f>
        <v>0</v>
      </c>
      <c r="H90" s="8">
        <f>IF(B90="","",IFERROR(INDEX(Calculations!$J$4:$J$67,MATCH("H-8",Calculations!$Q$4:$Q$67,0)),""))</f>
        <v>0</v>
      </c>
      <c r="I90" s="8">
        <f>IF(B90="","",IFERROR(INDEX(Calculations!$K$4:$K$67,MATCH("H-8",Calculations!$Q$4:$Q$67,0)),""))</f>
        <v>0</v>
      </c>
      <c r="J90" s="8">
        <f>IF(B90="","",IFERROR(INDEX(Calculations!$L$4:$L$67,MATCH("H-8",Calculations!$Q$4:$Q$67,0)),""))</f>
        <v>0</v>
      </c>
      <c r="K90" s="8">
        <f>IF(B90="","",IFERROR(INDEX(Calculations!$N$4:$N$67,MATCH("H-8",Calculations!$Q$4:$Q$67,0)),""))</f>
        <v>0</v>
      </c>
    </row>
  </sheetData>
  <mergeCells count="10">
    <mergeCell ref="A1:K1"/>
    <mergeCell ref="A2:K2"/>
    <mergeCell ref="A4:K4"/>
    <mergeCell ref="A15:K15"/>
    <mergeCell ref="A26:K26"/>
    <mergeCell ref="A37:K37"/>
    <mergeCell ref="A48:K48"/>
    <mergeCell ref="A59:K59"/>
    <mergeCell ref="A70:K70"/>
    <mergeCell ref="A81:K8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3"/>
  <sheetViews>
    <sheetView workbookViewId="0">
      <selection activeCell="I15" sqref="I15"/>
    </sheetView>
  </sheetViews>
  <sheetFormatPr defaultRowHeight="14.25"/>
  <cols>
    <col min="1" max="1" width="16" customWidth="1"/>
    <col min="2" max="2" width="14" customWidth="1"/>
    <col min="3" max="3" width="26" customWidth="1"/>
    <col min="4" max="4" width="10" style="8" customWidth="1"/>
    <col min="5" max="5" width="26" customWidth="1"/>
    <col min="6" max="6" width="10" style="92" customWidth="1"/>
    <col min="7" max="7" width="18" customWidth="1"/>
  </cols>
  <sheetData>
    <row r="1" spans="1:7" ht="20.25">
      <c r="A1" s="81" t="s">
        <v>302</v>
      </c>
      <c r="B1" s="81"/>
      <c r="C1" s="81"/>
      <c r="D1" s="81"/>
      <c r="E1" s="81"/>
      <c r="F1" s="81"/>
      <c r="G1" s="14"/>
    </row>
    <row r="2" spans="1:7" ht="15">
      <c r="A2" s="82" t="str">
        <f>"Competition: "&amp;Setup!$B$3&amp;" | "&amp;Setup!$B$5&amp;" pools × "&amp;Setup!$B$6&amp;" teams | "&amp;Setup!$B$7&amp;" qualifier(s) per pool"</f>
        <v>Competition:  | 8 pools × 8 teams | 2 qualifier(s) per pool</v>
      </c>
      <c r="B2" s="82"/>
      <c r="C2" s="82"/>
      <c r="D2" s="82"/>
      <c r="E2" s="82"/>
      <c r="F2" s="82"/>
      <c r="G2" s="15"/>
    </row>
    <row r="3" spans="1:7">
      <c r="A3" s="83" t="str">
        <f>IF(Setup!$E$3="No Finals","Finals disabled in Setup",IF(Setup!$E$5="Manual finals required","⚠ "&amp;Setup!$E$5,"Format: "&amp;Setup!$E$5&amp;" | Pairing: "&amp;Setup!$E$7))</f>
        <v>Format: Round of 16 + Quarter-finals + Semi-finals + Final | Pairing: Adjacent pool crossover</v>
      </c>
      <c r="B3" s="83"/>
      <c r="C3" s="83"/>
      <c r="D3" s="83"/>
      <c r="E3" s="83"/>
      <c r="F3" s="83"/>
      <c r="G3" s="83"/>
    </row>
    <row r="4" spans="1:7" ht="15">
      <c r="A4" s="16" t="s">
        <v>272</v>
      </c>
      <c r="B4" s="16" t="s">
        <v>303</v>
      </c>
      <c r="C4" s="16" t="s">
        <v>273</v>
      </c>
      <c r="D4" s="16" t="s">
        <v>304</v>
      </c>
      <c r="E4" s="16" t="s">
        <v>279</v>
      </c>
      <c r="F4" s="16" t="s">
        <v>305</v>
      </c>
      <c r="G4" s="17" t="s">
        <v>76</v>
      </c>
    </row>
    <row r="5" spans="1:7" ht="15">
      <c r="A5" s="18" t="str">
        <f>IF(Setup!$E$4=16,"Round of 16","")</f>
        <v>Round of 16</v>
      </c>
      <c r="B5" s="18" t="str">
        <f>IF($A5="","","R16 1")</f>
        <v>R16 1</v>
      </c>
      <c r="C5" s="19" t="str">
        <f>IF($A5="","",IFERROR(INDEX(Calculations!$C$4:$C$67,MATCH("A-1",Calculations!$Q$4:$Q$67,0)),""))</f>
        <v>Team A1</v>
      </c>
      <c r="D5" s="89"/>
      <c r="E5" s="19" t="str">
        <f>IF($A5="","",IFERROR(INDEX(Calculations!$C$4:$C$67,MATCH("B-2",Calculations!$Q$4:$Q$67,0)),""))</f>
        <v>Team B2</v>
      </c>
      <c r="F5" s="89"/>
      <c r="G5" s="20" t="str">
        <f t="shared" ref="G5:G12" si="0">IF($A5="","",IF(OR($C5="",$E5=""),"Waiting for teams",IF(OR($D5="",$F5=""),"Waiting",IF($D5=$F5,"TIE - resolve","Complete"))))</f>
        <v>Waiting</v>
      </c>
    </row>
    <row r="6" spans="1:7" ht="15">
      <c r="A6" s="18" t="str">
        <f>IF(Setup!$E$4=16,"Round of 16","")</f>
        <v>Round of 16</v>
      </c>
      <c r="B6" s="18" t="str">
        <f>IF($A6="","","R16 2")</f>
        <v>R16 2</v>
      </c>
      <c r="C6" s="19" t="str">
        <f>IF($A6="","",IFERROR(INDEX(Calculations!$C$4:$C$67,MATCH("B-1",Calculations!$Q$4:$Q$67,0)),""))</f>
        <v>Team B1</v>
      </c>
      <c r="D6" s="89"/>
      <c r="E6" s="19" t="str">
        <f>IF($A6="","",IFERROR(INDEX(Calculations!$C$4:$C$67,MATCH("A-2",Calculations!$Q$4:$Q$67,0)),""))</f>
        <v>Team A2</v>
      </c>
      <c r="F6" s="89"/>
      <c r="G6" s="20" t="str">
        <f t="shared" si="0"/>
        <v>Waiting</v>
      </c>
    </row>
    <row r="7" spans="1:7" ht="15">
      <c r="A7" s="18" t="str">
        <f>IF(Setup!$E$4=16,"Round of 16","")</f>
        <v>Round of 16</v>
      </c>
      <c r="B7" s="18" t="str">
        <f>IF($A7="","","R16 3")</f>
        <v>R16 3</v>
      </c>
      <c r="C7" s="19" t="str">
        <f>IF($A7="","",IFERROR(INDEX(Calculations!$C$4:$C$67,MATCH("C-1",Calculations!$Q$4:$Q$67,0)),""))</f>
        <v>Team C1</v>
      </c>
      <c r="D7" s="89"/>
      <c r="E7" s="19" t="str">
        <f>IF($A7="","",IFERROR(INDEX(Calculations!$C$4:$C$67,MATCH("D-2",Calculations!$Q$4:$Q$67,0)),""))</f>
        <v>Team D2</v>
      </c>
      <c r="F7" s="89"/>
      <c r="G7" s="20" t="str">
        <f t="shared" si="0"/>
        <v>Waiting</v>
      </c>
    </row>
    <row r="8" spans="1:7" ht="15">
      <c r="A8" s="18" t="str">
        <f>IF(Setup!$E$4=16,"Round of 16","")</f>
        <v>Round of 16</v>
      </c>
      <c r="B8" s="18" t="str">
        <f>IF($A8="","","R16 4")</f>
        <v>R16 4</v>
      </c>
      <c r="C8" s="19" t="str">
        <f>IF($A8="","",IFERROR(INDEX(Calculations!$C$4:$C$67,MATCH("D-1",Calculations!$Q$4:$Q$67,0)),""))</f>
        <v>Team D1</v>
      </c>
      <c r="D8" s="89"/>
      <c r="E8" s="19" t="str">
        <f>IF($A8="","",IFERROR(INDEX(Calculations!$C$4:$C$67,MATCH("C-2",Calculations!$Q$4:$Q$67,0)),""))</f>
        <v>Team C2</v>
      </c>
      <c r="F8" s="89"/>
      <c r="G8" s="20" t="str">
        <f t="shared" si="0"/>
        <v>Waiting</v>
      </c>
    </row>
    <row r="9" spans="1:7" ht="15">
      <c r="A9" s="18" t="str">
        <f>IF(Setup!$E$4=16,"Round of 16","")</f>
        <v>Round of 16</v>
      </c>
      <c r="B9" s="18" t="str">
        <f>IF($A9="","","R16 5")</f>
        <v>R16 5</v>
      </c>
      <c r="C9" s="19" t="str">
        <f>IF($A9="","",IFERROR(INDEX(Calculations!$C$4:$C$67,MATCH("E-1",Calculations!$Q$4:$Q$67,0)),""))</f>
        <v>Team E1</v>
      </c>
      <c r="D9" s="89"/>
      <c r="E9" s="19" t="str">
        <f>IF($A9="","",IFERROR(INDEX(Calculations!$C$4:$C$67,MATCH("F-2",Calculations!$Q$4:$Q$67,0)),""))</f>
        <v>Team F2</v>
      </c>
      <c r="F9" s="89"/>
      <c r="G9" s="20" t="str">
        <f t="shared" si="0"/>
        <v>Waiting</v>
      </c>
    </row>
    <row r="10" spans="1:7" ht="15">
      <c r="A10" s="18" t="str">
        <f>IF(Setup!$E$4=16,"Round of 16","")</f>
        <v>Round of 16</v>
      </c>
      <c r="B10" s="18" t="str">
        <f>IF($A10="","","R16 6")</f>
        <v>R16 6</v>
      </c>
      <c r="C10" s="19" t="str">
        <f>IF($A10="","",IFERROR(INDEX(Calculations!$C$4:$C$67,MATCH("F-1",Calculations!$Q$4:$Q$67,0)),""))</f>
        <v>Team F1</v>
      </c>
      <c r="D10" s="89"/>
      <c r="E10" s="19" t="str">
        <f>IF($A10="","",IFERROR(INDEX(Calculations!$C$4:$C$67,MATCH("E-2",Calculations!$Q$4:$Q$67,0)),""))</f>
        <v>Team E2</v>
      </c>
      <c r="F10" s="89"/>
      <c r="G10" s="20" t="str">
        <f t="shared" si="0"/>
        <v>Waiting</v>
      </c>
    </row>
    <row r="11" spans="1:7" ht="15">
      <c r="A11" s="18" t="str">
        <f>IF(Setup!$E$4=16,"Round of 16","")</f>
        <v>Round of 16</v>
      </c>
      <c r="B11" s="18" t="str">
        <f>IF($A11="","","R16 7")</f>
        <v>R16 7</v>
      </c>
      <c r="C11" s="19" t="str">
        <f>IF($A11="","",IFERROR(INDEX(Calculations!$C$4:$C$67,MATCH("G-1",Calculations!$Q$4:$Q$67,0)),""))</f>
        <v>Team G1</v>
      </c>
      <c r="D11" s="89"/>
      <c r="E11" s="19" t="str">
        <f>IF($A11="","",IFERROR(INDEX(Calculations!$C$4:$C$67,MATCH("H-2",Calculations!$Q$4:$Q$67,0)),""))</f>
        <v>Team H2</v>
      </c>
      <c r="F11" s="89"/>
      <c r="G11" s="20" t="str">
        <f t="shared" si="0"/>
        <v>Waiting</v>
      </c>
    </row>
    <row r="12" spans="1:7" ht="15">
      <c r="A12" s="18" t="str">
        <f>IF(Setup!$E$4=16,"Round of 16","")</f>
        <v>Round of 16</v>
      </c>
      <c r="B12" s="18" t="str">
        <f>IF($A12="","","R16 8")</f>
        <v>R16 8</v>
      </c>
      <c r="C12" s="19" t="str">
        <f>IF($A12="","",IFERROR(INDEX(Calculations!$C$4:$C$67,MATCH("H-1",Calculations!$Q$4:$Q$67,0)),""))</f>
        <v>Team H1</v>
      </c>
      <c r="D12" s="89"/>
      <c r="E12" s="19" t="str">
        <f>IF($A12="","",IFERROR(INDEX(Calculations!$C$4:$C$67,MATCH("G-2",Calculations!$Q$4:$Q$67,0)),""))</f>
        <v>Team G2</v>
      </c>
      <c r="F12" s="89"/>
      <c r="G12" s="20" t="str">
        <f t="shared" si="0"/>
        <v>Waiting</v>
      </c>
    </row>
    <row r="13" spans="1:7" ht="8.1" customHeight="1">
      <c r="A13" s="21"/>
      <c r="B13" s="21"/>
      <c r="C13" s="22"/>
      <c r="D13" s="90"/>
      <c r="E13" s="22"/>
      <c r="F13" s="90"/>
      <c r="G13" s="23"/>
    </row>
    <row r="14" spans="1:7" ht="15">
      <c r="A14" s="18" t="str">
        <f>IF(Setup!$E$4&gt;=8,"Quarter-final","")</f>
        <v>Quarter-final</v>
      </c>
      <c r="B14" s="18" t="str">
        <f>IF($A14="","","QF 1")</f>
        <v>QF 1</v>
      </c>
      <c r="C14" s="19" t="str">
        <f>IF($A14="","",IF(Setup!$E$4=16,IF(OR(D5="",F5=""),"Winner R16 1",IF(D5&gt;F5,C5,IF(F5&gt;D5,E5,"TIE - resolve"))),IF(Setup!$B$7=2,IFERROR(INDEX(Calculations!$C$4:$C$67,MATCH("A-1",Calculations!$Q$4:$Q$67,0)),""),IFERROR(INDEX(Calculations!$C$4:$C$67,MATCH("A-1",Calculations!$Q$4:$Q$67,0)),""))))</f>
        <v>Winner R16 1</v>
      </c>
      <c r="D14" s="89"/>
      <c r="E14" s="19" t="str">
        <f>IF($A14="","",IF(Setup!$E$4=16,IF(OR(D7="",F7=""),"Winner R16 3",IF(D7&gt;F7,C7,IF(F7&gt;D7,E7,"TIE - resolve"))),IF(Setup!$B$7=2,IFERROR(INDEX(Calculations!$C$4:$C$67,MATCH("B-2",Calculations!$Q$4:$Q$67,0)),""),IFERROR(INDEX(Calculations!$C$4:$C$67,MATCH("B-1",Calculations!$Q$4:$Q$67,0)),""))))</f>
        <v>Winner R16 3</v>
      </c>
      <c r="F14" s="89"/>
      <c r="G14" s="20" t="str">
        <f>IF($A14="","",IF(OR($C14="",$E14=""),"Waiting for teams",IF(OR($D14="",$F14=""),"Waiting",IF($D14=$F14,"TIE - resolve","Complete"))))</f>
        <v>Waiting</v>
      </c>
    </row>
    <row r="15" spans="1:7" ht="15">
      <c r="A15" s="18" t="str">
        <f>IF(Setup!$E$4&gt;=8,"Quarter-final","")</f>
        <v>Quarter-final</v>
      </c>
      <c r="B15" s="18" t="str">
        <f>IF($A15="","","QF 2")</f>
        <v>QF 2</v>
      </c>
      <c r="C15" s="19" t="str">
        <f>IF($A15="","",IF(Setup!$E$4=16,IF(OR(D6="",F6=""),"Winner R16 2",IF(D6&gt;F6,C6,IF(F6&gt;D6,E6,"TIE - resolve"))),IF(Setup!$B$7=2,IFERROR(INDEX(Calculations!$C$4:$C$67,MATCH("B-1",Calculations!$Q$4:$Q$67,0)),""),IFERROR(INDEX(Calculations!$C$4:$C$67,MATCH("C-1",Calculations!$Q$4:$Q$67,0)),""))))</f>
        <v>Winner R16 2</v>
      </c>
      <c r="D15" s="89"/>
      <c r="E15" s="19" t="str">
        <f>IF($A15="","",IF(Setup!$E$4=16,IF(OR(D8="",F8=""),"Winner R16 4",IF(D8&gt;F8,C8,IF(F8&gt;D8,E8,"TIE - resolve"))),IF(Setup!$B$7=2,IFERROR(INDEX(Calculations!$C$4:$C$67,MATCH("A-2",Calculations!$Q$4:$Q$67,0)),""),IFERROR(INDEX(Calculations!$C$4:$C$67,MATCH("D-1",Calculations!$Q$4:$Q$67,0)),""))))</f>
        <v>Winner R16 4</v>
      </c>
      <c r="F15" s="89"/>
      <c r="G15" s="20" t="str">
        <f>IF($A15="","",IF(OR($C15="",$E15=""),"Waiting for teams",IF(OR($D15="",$F15=""),"Waiting",IF($D15=$F15,"TIE - resolve","Complete"))))</f>
        <v>Waiting</v>
      </c>
    </row>
    <row r="16" spans="1:7" ht="15">
      <c r="A16" s="18" t="str">
        <f>IF(Setup!$E$4&gt;=8,"Quarter-final","")</f>
        <v>Quarter-final</v>
      </c>
      <c r="B16" s="18" t="str">
        <f>IF($A16="","","QF 3")</f>
        <v>QF 3</v>
      </c>
      <c r="C16" s="19" t="str">
        <f>IF($A16="","",IF(Setup!$E$4=16,IF(OR(D9="",F9=""),"Winner R16 5",IF(D9&gt;F9,C9,IF(F9&gt;D9,E9,"TIE - resolve"))),IF(Setup!$B$7=2,IFERROR(INDEX(Calculations!$C$4:$C$67,MATCH("C-1",Calculations!$Q$4:$Q$67,0)),""),IFERROR(INDEX(Calculations!$C$4:$C$67,MATCH("E-1",Calculations!$Q$4:$Q$67,0)),""))))</f>
        <v>Winner R16 5</v>
      </c>
      <c r="D16" s="89"/>
      <c r="E16" s="19" t="str">
        <f>IF($A16="","",IF(Setup!$E$4=16,IF(OR(D11="",F11=""),"Winner R16 7",IF(D11&gt;F11,C11,IF(F11&gt;D11,E11,"TIE - resolve"))),IF(Setup!$B$7=2,IFERROR(INDEX(Calculations!$C$4:$C$67,MATCH("D-2",Calculations!$Q$4:$Q$67,0)),""),IFERROR(INDEX(Calculations!$C$4:$C$67,MATCH("F-1",Calculations!$Q$4:$Q$67,0)),""))))</f>
        <v>Winner R16 7</v>
      </c>
      <c r="F16" s="89"/>
      <c r="G16" s="20" t="str">
        <f>IF($A16="","",IF(OR($C16="",$E16=""),"Waiting for teams",IF(OR($D16="",$F16=""),"Waiting",IF($D16=$F16,"TIE - resolve","Complete"))))</f>
        <v>Waiting</v>
      </c>
    </row>
    <row r="17" spans="1:7" ht="15">
      <c r="A17" s="18" t="str">
        <f>IF(Setup!$E$4&gt;=8,"Quarter-final","")</f>
        <v>Quarter-final</v>
      </c>
      <c r="B17" s="18" t="str">
        <f>IF($A17="","","QF 4")</f>
        <v>QF 4</v>
      </c>
      <c r="C17" s="19" t="str">
        <f>IF($A17="","",IF(Setup!$E$4=16,IF(OR(D10="",F10=""),"Winner R16 6",IF(D10&gt;F10,C10,IF(F10&gt;D10,E10,"TIE - resolve"))),IF(Setup!$B$7=2,IFERROR(INDEX(Calculations!$C$4:$C$67,MATCH("D-1",Calculations!$Q$4:$Q$67,0)),""),IFERROR(INDEX(Calculations!$C$4:$C$67,MATCH("G-1",Calculations!$Q$4:$Q$67,0)),""))))</f>
        <v>Winner R16 6</v>
      </c>
      <c r="D17" s="89"/>
      <c r="E17" s="19" t="str">
        <f>IF($A17="","",IF(Setup!$E$4=16,IF(OR(D12="",F12=""),"Winner R16 8",IF(D12&gt;F12,C12,IF(F12&gt;D12,E12,"TIE - resolve"))),IF(Setup!$B$7=2,IFERROR(INDEX(Calculations!$C$4:$C$67,MATCH("C-2",Calculations!$Q$4:$Q$67,0)),""),IFERROR(INDEX(Calculations!$C$4:$C$67,MATCH("H-1",Calculations!$Q$4:$Q$67,0)),""))))</f>
        <v>Winner R16 8</v>
      </c>
      <c r="F17" s="89"/>
      <c r="G17" s="20" t="str">
        <f>IF($A17="","",IF(OR($C17="",$E17=""),"Waiting for teams",IF(OR($D17="",$F17=""),"Waiting",IF($D17=$F17,"TIE - resolve","Complete"))))</f>
        <v>Waiting</v>
      </c>
    </row>
    <row r="18" spans="1:7" ht="8.1" customHeight="1">
      <c r="A18" s="21"/>
      <c r="B18" s="21"/>
      <c r="C18" s="22"/>
      <c r="D18" s="90"/>
      <c r="E18" s="22"/>
      <c r="F18" s="90"/>
      <c r="G18" s="23"/>
    </row>
    <row r="19" spans="1:7" ht="15">
      <c r="A19" s="18" t="str">
        <f>IF(Setup!$E$4&gt;=4,"Semi-final","")</f>
        <v>Semi-final</v>
      </c>
      <c r="B19" s="18" t="str">
        <f>IF($A19="","","SF 1")</f>
        <v>SF 1</v>
      </c>
      <c r="C19" s="19" t="str">
        <f>IF($A19="","",IF(Setup!$E$4&gt;=8,IF(OR(D14="",F14=""),"Winner QF 1",IF(D14&gt;F14,C14,IF(F14&gt;D14,E14,"TIE - resolve"))),IF(Setup!$B$7=2,IFERROR(INDEX(Calculations!$C$4:$C$67,MATCH("A-1",Calculations!$Q$4:$Q$67,0)),""),IFERROR(INDEX(Calculations!$C$4:$C$67,MATCH("A-1",Calculations!$Q$4:$Q$67,0)),""))))</f>
        <v>Winner QF 1</v>
      </c>
      <c r="D19" s="89"/>
      <c r="E19" s="19" t="str">
        <f>IF($A19="","",IF(Setup!$E$4&gt;=8,IF(OR(D16="",F16=""),"Winner QF 3",IF(D16&gt;F16,C16,IF(F16&gt;D16,E16,"TIE - resolve"))),IF(Setup!$B$7=2,IFERROR(INDEX(Calculations!$C$4:$C$67,MATCH("B-2",Calculations!$Q$4:$Q$67,0)),""),IFERROR(INDEX(Calculations!$C$4:$C$67,MATCH("B-1",Calculations!$Q$4:$Q$67,0)),""))))</f>
        <v>Winner QF 3</v>
      </c>
      <c r="F19" s="89"/>
      <c r="G19" s="20" t="str">
        <f>IF($A19="","",IF(OR($C19="",$E19=""),"Waiting for teams",IF(OR($D19="",$F19=""),"Waiting",IF($D19=$F19,"TIE - resolve","Complete"))))</f>
        <v>Waiting</v>
      </c>
    </row>
    <row r="20" spans="1:7" ht="15">
      <c r="A20" s="18" t="str">
        <f>IF(Setup!$E$4&gt;=4,"Semi-final","")</f>
        <v>Semi-final</v>
      </c>
      <c r="B20" s="18" t="str">
        <f>IF($A20="","","SF 2")</f>
        <v>SF 2</v>
      </c>
      <c r="C20" s="19" t="str">
        <f>IF($A20="","",IF(Setup!$E$4&gt;=8,IF(OR(D15="",F15=""),"Winner QF 2",IF(D15&gt;F15,C15,IF(F15&gt;D15,E15,"TIE - resolve"))),IF(Setup!$B$7=2,IFERROR(INDEX(Calculations!$C$4:$C$67,MATCH("B-1",Calculations!$Q$4:$Q$67,0)),""),IFERROR(INDEX(Calculations!$C$4:$C$67,MATCH("C-1",Calculations!$Q$4:$Q$67,0)),""))))</f>
        <v>Winner QF 2</v>
      </c>
      <c r="D20" s="89"/>
      <c r="E20" s="19" t="str">
        <f>IF($A20="","",IF(Setup!$E$4&gt;=8,IF(OR(D17="",F17=""),"Winner QF 4",IF(D17&gt;F17,C17,IF(F17&gt;D17,E17,"TIE - resolve"))),IF(Setup!$B$7=2,IFERROR(INDEX(Calculations!$C$4:$C$67,MATCH("A-2",Calculations!$Q$4:$Q$67,0)),""),IFERROR(INDEX(Calculations!$C$4:$C$67,MATCH("D-1",Calculations!$Q$4:$Q$67,0)),""))))</f>
        <v>Winner QF 4</v>
      </c>
      <c r="F20" s="89"/>
      <c r="G20" s="20" t="str">
        <f>IF($A20="","",IF(OR($C20="",$E20=""),"Waiting for teams",IF(OR($D20="",$F20=""),"Waiting",IF($D20=$F20,"TIE - resolve","Complete"))))</f>
        <v>Waiting</v>
      </c>
    </row>
    <row r="21" spans="1:7" ht="8.1" customHeight="1">
      <c r="A21" s="21"/>
      <c r="B21" s="21"/>
      <c r="C21" s="22"/>
      <c r="D21" s="90"/>
      <c r="E21" s="22"/>
      <c r="F21" s="90"/>
      <c r="G21" s="23"/>
    </row>
    <row r="22" spans="1:7" ht="15">
      <c r="A22" s="18" t="str">
        <f>IF(Setup!$E$4&gt;=2,"Final","")</f>
        <v>Final</v>
      </c>
      <c r="B22" s="18" t="str">
        <f>IF($A22="","","Final")</f>
        <v>Final</v>
      </c>
      <c r="C22" s="19" t="str">
        <f>IF($A22="","",IF(Setup!$E$4&gt;=4,IF(OR(D19="",F19=""),"Winner SF 1",IF(D19&gt;F19,C19,IF(F19&gt;D19,E19,"TIE - resolve"))),IF(Setup!$B$5=1,IFERROR(INDEX(Calculations!$C$4:$C$67,MATCH("A-1",Calculations!$Q$4:$Q$67,0)),""),IFERROR(INDEX(Calculations!$C$4:$C$67,MATCH("A-1",Calculations!$Q$4:$Q$67,0)),""))))</f>
        <v>Winner SF 1</v>
      </c>
      <c r="D22" s="89"/>
      <c r="E22" s="19" t="str">
        <f>IF($A22="","",IF(Setup!$E$4&gt;=4,IF(OR(D20="",F20=""),"Winner SF 2",IF(D20&gt;F20,C20,IF(F20&gt;D20,E20,"TIE - resolve"))),IF(Setup!$B$5=1,IFERROR(INDEX(Calculations!$C$4:$C$67,MATCH("A-2",Calculations!$Q$4:$Q$67,0)),""),IFERROR(INDEX(Calculations!$C$4:$C$67,MATCH("B-1",Calculations!$Q$4:$Q$67,0)),""))))</f>
        <v>Winner SF 2</v>
      </c>
      <c r="F22" s="89"/>
      <c r="G22" s="20" t="str">
        <f>IF($A22="","",IF(OR($C22="",$E22=""),"Waiting for teams",IF(OR($D22="",$F22=""),"Waiting",IF($D22=$F22,"TIE - resolve","Complete"))))</f>
        <v>Waiting</v>
      </c>
    </row>
    <row r="23" spans="1:7" ht="8.1" customHeight="1">
      <c r="A23" s="21"/>
      <c r="B23" s="21"/>
      <c r="C23" s="22"/>
      <c r="D23" s="90"/>
      <c r="E23" s="22"/>
      <c r="F23" s="90"/>
      <c r="G23" s="23"/>
    </row>
    <row r="24" spans="1:7" ht="15">
      <c r="A24" s="18" t="str">
        <f>IF(AND(Setup!$E$6="Yes",Setup!$E$4&gt;=4),"Third Place","")</f>
        <v/>
      </c>
      <c r="B24" s="18" t="str">
        <f>IF($A24="","","Third Place")</f>
        <v/>
      </c>
      <c r="C24" s="19" t="str">
        <f>IF($A24="","",IF(OR(D19="",F19=""),"Loser SF 1",IF(D19&lt;F19,C19,IF(F19&lt;D19,E19,"TIE - resolve"))))</f>
        <v/>
      </c>
      <c r="D24" s="89"/>
      <c r="E24" s="19" t="str">
        <f>IF($A24="","",IF(OR(D20="",F20=""),"Loser SF 2",IF(D20&lt;F20,C20,IF(F20&lt;D20,E20,"TIE - resolve"))))</f>
        <v/>
      </c>
      <c r="F24" s="89"/>
      <c r="G24" s="20" t="str">
        <f>IF($A24="","",IF(OR($C24="",$E24=""),"Waiting for teams",IF(OR($D24="",$F24=""),"Waiting",IF($D24=$F24,"TIE - resolve","Complete"))))</f>
        <v/>
      </c>
    </row>
    <row r="25" spans="1:7">
      <c r="D25" s="7"/>
      <c r="F25" s="91"/>
    </row>
    <row r="26" spans="1:7">
      <c r="D26" s="7"/>
      <c r="F26" s="91"/>
    </row>
    <row r="27" spans="1:7">
      <c r="A27" s="84" t="s">
        <v>306</v>
      </c>
      <c r="B27" s="84"/>
      <c r="C27" s="84"/>
      <c r="D27" s="85"/>
      <c r="E27" s="84"/>
      <c r="F27" s="85"/>
      <c r="G27" s="84"/>
    </row>
    <row r="28" spans="1:7">
      <c r="A28" s="84"/>
      <c r="B28" s="84"/>
      <c r="C28" s="84"/>
      <c r="D28" s="85"/>
      <c r="E28" s="84"/>
      <c r="F28" s="85"/>
      <c r="G28" s="84"/>
    </row>
    <row r="29" spans="1:7">
      <c r="D29" s="7"/>
      <c r="F29" s="91"/>
    </row>
    <row r="30" spans="1:7">
      <c r="D30" s="7"/>
      <c r="F30" s="91"/>
    </row>
    <row r="31" spans="1:7">
      <c r="D31" s="7"/>
      <c r="F31" s="91"/>
    </row>
    <row r="32" spans="1:7">
      <c r="D32" s="7"/>
      <c r="F32" s="91"/>
    </row>
    <row r="33" spans="4:6">
      <c r="D33" s="7"/>
      <c r="F33" s="91"/>
    </row>
  </sheetData>
  <mergeCells count="4">
    <mergeCell ref="A1:F1"/>
    <mergeCell ref="A2:F2"/>
    <mergeCell ref="A3:G3"/>
    <mergeCell ref="A27:G2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83"/>
  <sheetViews>
    <sheetView workbookViewId="0">
      <selection sqref="A1:F1"/>
    </sheetView>
  </sheetViews>
  <sheetFormatPr defaultRowHeight="14.25"/>
  <cols>
    <col min="1" max="1" width="10" customWidth="1"/>
    <col min="2" max="2" width="14" customWidth="1"/>
    <col min="3" max="6" width="10" customWidth="1"/>
  </cols>
  <sheetData>
    <row r="1" spans="1:6" ht="20.25">
      <c r="A1" s="76" t="s">
        <v>307</v>
      </c>
      <c r="B1" s="76"/>
      <c r="C1" s="76"/>
      <c r="D1" s="76"/>
      <c r="E1" s="76"/>
      <c r="F1" s="76"/>
    </row>
    <row r="3" spans="1:6" ht="30">
      <c r="A3" s="3" t="s">
        <v>308</v>
      </c>
      <c r="B3" s="3" t="s">
        <v>34</v>
      </c>
      <c r="C3" s="3" t="s">
        <v>271</v>
      </c>
      <c r="D3" s="3" t="s">
        <v>272</v>
      </c>
      <c r="E3" s="3" t="s">
        <v>280</v>
      </c>
      <c r="F3" s="3" t="s">
        <v>281</v>
      </c>
    </row>
    <row r="4" spans="1:6">
      <c r="A4" s="4" t="s">
        <v>309</v>
      </c>
      <c r="B4" s="4">
        <v>4</v>
      </c>
      <c r="C4" s="4">
        <v>1</v>
      </c>
      <c r="D4" s="4">
        <v>1</v>
      </c>
      <c r="E4" s="4">
        <v>1</v>
      </c>
      <c r="F4" s="4">
        <v>4</v>
      </c>
    </row>
    <row r="5" spans="1:6">
      <c r="A5" s="4" t="s">
        <v>310</v>
      </c>
      <c r="B5" s="4">
        <v>4</v>
      </c>
      <c r="C5" s="4">
        <v>2</v>
      </c>
      <c r="D5" s="4">
        <v>1</v>
      </c>
      <c r="E5" s="4">
        <v>2</v>
      </c>
      <c r="F5" s="4">
        <v>3</v>
      </c>
    </row>
    <row r="6" spans="1:6">
      <c r="A6" s="4" t="s">
        <v>311</v>
      </c>
      <c r="B6" s="4">
        <v>4</v>
      </c>
      <c r="C6" s="4">
        <v>3</v>
      </c>
      <c r="D6" s="4">
        <v>2</v>
      </c>
      <c r="E6" s="4">
        <v>3</v>
      </c>
      <c r="F6" s="4">
        <v>1</v>
      </c>
    </row>
    <row r="7" spans="1:6">
      <c r="A7" s="4" t="s">
        <v>312</v>
      </c>
      <c r="B7" s="4">
        <v>4</v>
      </c>
      <c r="C7" s="4">
        <v>4</v>
      </c>
      <c r="D7" s="4">
        <v>2</v>
      </c>
      <c r="E7" s="4">
        <v>2</v>
      </c>
      <c r="F7" s="4">
        <v>4</v>
      </c>
    </row>
    <row r="8" spans="1:6">
      <c r="A8" s="4" t="s">
        <v>313</v>
      </c>
      <c r="B8" s="4">
        <v>4</v>
      </c>
      <c r="C8" s="4">
        <v>5</v>
      </c>
      <c r="D8" s="4">
        <v>3</v>
      </c>
      <c r="E8" s="4">
        <v>1</v>
      </c>
      <c r="F8" s="4">
        <v>2</v>
      </c>
    </row>
    <row r="9" spans="1:6">
      <c r="A9" s="4" t="s">
        <v>314</v>
      </c>
      <c r="B9" s="4">
        <v>4</v>
      </c>
      <c r="C9" s="4">
        <v>6</v>
      </c>
      <c r="D9" s="4">
        <v>3</v>
      </c>
      <c r="E9" s="4">
        <v>3</v>
      </c>
      <c r="F9" s="4">
        <v>4</v>
      </c>
    </row>
    <row r="10" spans="1:6">
      <c r="A10" s="4" t="s">
        <v>315</v>
      </c>
      <c r="B10" s="4">
        <v>5</v>
      </c>
      <c r="C10" s="4">
        <v>1</v>
      </c>
      <c r="D10" s="4">
        <v>1</v>
      </c>
      <c r="E10" s="4">
        <v>2</v>
      </c>
      <c r="F10" s="4">
        <v>5</v>
      </c>
    </row>
    <row r="11" spans="1:6">
      <c r="A11" s="4" t="s">
        <v>316</v>
      </c>
      <c r="B11" s="4">
        <v>5</v>
      </c>
      <c r="C11" s="4">
        <v>2</v>
      </c>
      <c r="D11" s="4">
        <v>1</v>
      </c>
      <c r="E11" s="4">
        <v>3</v>
      </c>
      <c r="F11" s="4">
        <v>4</v>
      </c>
    </row>
    <row r="12" spans="1:6">
      <c r="A12" s="4" t="s">
        <v>317</v>
      </c>
      <c r="B12" s="4">
        <v>5</v>
      </c>
      <c r="C12" s="4">
        <v>3</v>
      </c>
      <c r="D12" s="4">
        <v>2</v>
      </c>
      <c r="E12" s="4">
        <v>5</v>
      </c>
      <c r="F12" s="4">
        <v>1</v>
      </c>
    </row>
    <row r="13" spans="1:6">
      <c r="A13" s="4" t="s">
        <v>318</v>
      </c>
      <c r="B13" s="4">
        <v>5</v>
      </c>
      <c r="C13" s="4">
        <v>4</v>
      </c>
      <c r="D13" s="4">
        <v>2</v>
      </c>
      <c r="E13" s="4">
        <v>3</v>
      </c>
      <c r="F13" s="4">
        <v>2</v>
      </c>
    </row>
    <row r="14" spans="1:6">
      <c r="A14" s="4" t="s">
        <v>319</v>
      </c>
      <c r="B14" s="4">
        <v>5</v>
      </c>
      <c r="C14" s="4">
        <v>5</v>
      </c>
      <c r="D14" s="4">
        <v>3</v>
      </c>
      <c r="E14" s="4">
        <v>1</v>
      </c>
      <c r="F14" s="4">
        <v>4</v>
      </c>
    </row>
    <row r="15" spans="1:6">
      <c r="A15" s="4" t="s">
        <v>320</v>
      </c>
      <c r="B15" s="4">
        <v>5</v>
      </c>
      <c r="C15" s="4">
        <v>6</v>
      </c>
      <c r="D15" s="4">
        <v>3</v>
      </c>
      <c r="E15" s="4">
        <v>5</v>
      </c>
      <c r="F15" s="4">
        <v>3</v>
      </c>
    </row>
    <row r="16" spans="1:6">
      <c r="A16" s="4" t="s">
        <v>321</v>
      </c>
      <c r="B16" s="4">
        <v>5</v>
      </c>
      <c r="C16" s="4">
        <v>7</v>
      </c>
      <c r="D16" s="4">
        <v>4</v>
      </c>
      <c r="E16" s="4">
        <v>3</v>
      </c>
      <c r="F16" s="4">
        <v>1</v>
      </c>
    </row>
    <row r="17" spans="1:6">
      <c r="A17" s="4" t="s">
        <v>322</v>
      </c>
      <c r="B17" s="4">
        <v>5</v>
      </c>
      <c r="C17" s="4">
        <v>8</v>
      </c>
      <c r="D17" s="4">
        <v>4</v>
      </c>
      <c r="E17" s="4">
        <v>2</v>
      </c>
      <c r="F17" s="4">
        <v>4</v>
      </c>
    </row>
    <row r="18" spans="1:6">
      <c r="A18" s="4" t="s">
        <v>323</v>
      </c>
      <c r="B18" s="4">
        <v>5</v>
      </c>
      <c r="C18" s="4">
        <v>9</v>
      </c>
      <c r="D18" s="4">
        <v>5</v>
      </c>
      <c r="E18" s="4">
        <v>1</v>
      </c>
      <c r="F18" s="4">
        <v>2</v>
      </c>
    </row>
    <row r="19" spans="1:6">
      <c r="A19" s="4" t="s">
        <v>324</v>
      </c>
      <c r="B19" s="4">
        <v>5</v>
      </c>
      <c r="C19" s="4">
        <v>10</v>
      </c>
      <c r="D19" s="4">
        <v>5</v>
      </c>
      <c r="E19" s="4">
        <v>4</v>
      </c>
      <c r="F19" s="4">
        <v>5</v>
      </c>
    </row>
    <row r="20" spans="1:6">
      <c r="A20" s="4" t="s">
        <v>325</v>
      </c>
      <c r="B20" s="4">
        <v>6</v>
      </c>
      <c r="C20" s="4">
        <v>1</v>
      </c>
      <c r="D20" s="4">
        <v>1</v>
      </c>
      <c r="E20" s="4">
        <v>1</v>
      </c>
      <c r="F20" s="4">
        <v>6</v>
      </c>
    </row>
    <row r="21" spans="1:6">
      <c r="A21" s="4" t="s">
        <v>326</v>
      </c>
      <c r="B21" s="4">
        <v>6</v>
      </c>
      <c r="C21" s="4">
        <v>2</v>
      </c>
      <c r="D21" s="4">
        <v>1</v>
      </c>
      <c r="E21" s="4">
        <v>2</v>
      </c>
      <c r="F21" s="4">
        <v>5</v>
      </c>
    </row>
    <row r="22" spans="1:6">
      <c r="A22" s="4" t="s">
        <v>327</v>
      </c>
      <c r="B22" s="4">
        <v>6</v>
      </c>
      <c r="C22" s="4">
        <v>3</v>
      </c>
      <c r="D22" s="4">
        <v>1</v>
      </c>
      <c r="E22" s="4">
        <v>3</v>
      </c>
      <c r="F22" s="4">
        <v>4</v>
      </c>
    </row>
    <row r="23" spans="1:6">
      <c r="A23" s="4" t="s">
        <v>328</v>
      </c>
      <c r="B23" s="4">
        <v>6</v>
      </c>
      <c r="C23" s="4">
        <v>4</v>
      </c>
      <c r="D23" s="4">
        <v>2</v>
      </c>
      <c r="E23" s="4">
        <v>5</v>
      </c>
      <c r="F23" s="4">
        <v>1</v>
      </c>
    </row>
    <row r="24" spans="1:6">
      <c r="A24" s="4" t="s">
        <v>329</v>
      </c>
      <c r="B24" s="4">
        <v>6</v>
      </c>
      <c r="C24" s="4">
        <v>5</v>
      </c>
      <c r="D24" s="4">
        <v>2</v>
      </c>
      <c r="E24" s="4">
        <v>4</v>
      </c>
      <c r="F24" s="4">
        <v>6</v>
      </c>
    </row>
    <row r="25" spans="1:6">
      <c r="A25" s="4" t="s">
        <v>330</v>
      </c>
      <c r="B25" s="4">
        <v>6</v>
      </c>
      <c r="C25" s="4">
        <v>6</v>
      </c>
      <c r="D25" s="4">
        <v>2</v>
      </c>
      <c r="E25" s="4">
        <v>3</v>
      </c>
      <c r="F25" s="4">
        <v>2</v>
      </c>
    </row>
    <row r="26" spans="1:6">
      <c r="A26" s="4" t="s">
        <v>331</v>
      </c>
      <c r="B26" s="4">
        <v>6</v>
      </c>
      <c r="C26" s="4">
        <v>7</v>
      </c>
      <c r="D26" s="4">
        <v>3</v>
      </c>
      <c r="E26" s="4">
        <v>1</v>
      </c>
      <c r="F26" s="4">
        <v>4</v>
      </c>
    </row>
    <row r="27" spans="1:6">
      <c r="A27" s="4" t="s">
        <v>332</v>
      </c>
      <c r="B27" s="4">
        <v>6</v>
      </c>
      <c r="C27" s="4">
        <v>8</v>
      </c>
      <c r="D27" s="4">
        <v>3</v>
      </c>
      <c r="E27" s="4">
        <v>5</v>
      </c>
      <c r="F27" s="4">
        <v>3</v>
      </c>
    </row>
    <row r="28" spans="1:6">
      <c r="A28" s="4" t="s">
        <v>333</v>
      </c>
      <c r="B28" s="4">
        <v>6</v>
      </c>
      <c r="C28" s="4">
        <v>9</v>
      </c>
      <c r="D28" s="4">
        <v>3</v>
      </c>
      <c r="E28" s="4">
        <v>6</v>
      </c>
      <c r="F28" s="4">
        <v>2</v>
      </c>
    </row>
    <row r="29" spans="1:6">
      <c r="A29" s="4" t="s">
        <v>334</v>
      </c>
      <c r="B29" s="4">
        <v>6</v>
      </c>
      <c r="C29" s="4">
        <v>10</v>
      </c>
      <c r="D29" s="4">
        <v>4</v>
      </c>
      <c r="E29" s="4">
        <v>3</v>
      </c>
      <c r="F29" s="4">
        <v>1</v>
      </c>
    </row>
    <row r="30" spans="1:6">
      <c r="A30" s="4" t="s">
        <v>335</v>
      </c>
      <c r="B30" s="4">
        <v>6</v>
      </c>
      <c r="C30" s="4">
        <v>11</v>
      </c>
      <c r="D30" s="4">
        <v>4</v>
      </c>
      <c r="E30" s="4">
        <v>2</v>
      </c>
      <c r="F30" s="4">
        <v>4</v>
      </c>
    </row>
    <row r="31" spans="1:6">
      <c r="A31" s="4" t="s">
        <v>336</v>
      </c>
      <c r="B31" s="4">
        <v>6</v>
      </c>
      <c r="C31" s="4">
        <v>12</v>
      </c>
      <c r="D31" s="4">
        <v>4</v>
      </c>
      <c r="E31" s="4">
        <v>6</v>
      </c>
      <c r="F31" s="4">
        <v>5</v>
      </c>
    </row>
    <row r="32" spans="1:6">
      <c r="A32" s="4" t="s">
        <v>337</v>
      </c>
      <c r="B32" s="4">
        <v>6</v>
      </c>
      <c r="C32" s="4">
        <v>13</v>
      </c>
      <c r="D32" s="4">
        <v>5</v>
      </c>
      <c r="E32" s="4">
        <v>1</v>
      </c>
      <c r="F32" s="4">
        <v>2</v>
      </c>
    </row>
    <row r="33" spans="1:6">
      <c r="A33" s="4" t="s">
        <v>338</v>
      </c>
      <c r="B33" s="4">
        <v>6</v>
      </c>
      <c r="C33" s="4">
        <v>14</v>
      </c>
      <c r="D33" s="4">
        <v>5</v>
      </c>
      <c r="E33" s="4">
        <v>3</v>
      </c>
      <c r="F33" s="4">
        <v>6</v>
      </c>
    </row>
    <row r="34" spans="1:6">
      <c r="A34" s="4" t="s">
        <v>339</v>
      </c>
      <c r="B34" s="4">
        <v>6</v>
      </c>
      <c r="C34" s="4">
        <v>15</v>
      </c>
      <c r="D34" s="4">
        <v>5</v>
      </c>
      <c r="E34" s="4">
        <v>4</v>
      </c>
      <c r="F34" s="4">
        <v>5</v>
      </c>
    </row>
    <row r="35" spans="1:6">
      <c r="A35" s="4" t="s">
        <v>340</v>
      </c>
      <c r="B35" s="4">
        <v>7</v>
      </c>
      <c r="C35" s="4">
        <v>1</v>
      </c>
      <c r="D35" s="4">
        <v>1</v>
      </c>
      <c r="E35" s="4">
        <v>2</v>
      </c>
      <c r="F35" s="4">
        <v>7</v>
      </c>
    </row>
    <row r="36" spans="1:6">
      <c r="A36" s="4" t="s">
        <v>341</v>
      </c>
      <c r="B36" s="4">
        <v>7</v>
      </c>
      <c r="C36" s="4">
        <v>2</v>
      </c>
      <c r="D36" s="4">
        <v>1</v>
      </c>
      <c r="E36" s="4">
        <v>3</v>
      </c>
      <c r="F36" s="4">
        <v>6</v>
      </c>
    </row>
    <row r="37" spans="1:6">
      <c r="A37" s="4" t="s">
        <v>342</v>
      </c>
      <c r="B37" s="4">
        <v>7</v>
      </c>
      <c r="C37" s="4">
        <v>3</v>
      </c>
      <c r="D37" s="4">
        <v>1</v>
      </c>
      <c r="E37" s="4">
        <v>4</v>
      </c>
      <c r="F37" s="4">
        <v>5</v>
      </c>
    </row>
    <row r="38" spans="1:6">
      <c r="A38" s="4" t="s">
        <v>343</v>
      </c>
      <c r="B38" s="4">
        <v>7</v>
      </c>
      <c r="C38" s="4">
        <v>4</v>
      </c>
      <c r="D38" s="4">
        <v>2</v>
      </c>
      <c r="E38" s="4">
        <v>7</v>
      </c>
      <c r="F38" s="4">
        <v>1</v>
      </c>
    </row>
    <row r="39" spans="1:6">
      <c r="A39" s="4" t="s">
        <v>344</v>
      </c>
      <c r="B39" s="4">
        <v>7</v>
      </c>
      <c r="C39" s="4">
        <v>5</v>
      </c>
      <c r="D39" s="4">
        <v>2</v>
      </c>
      <c r="E39" s="4">
        <v>5</v>
      </c>
      <c r="F39" s="4">
        <v>2</v>
      </c>
    </row>
    <row r="40" spans="1:6">
      <c r="A40" s="4" t="s">
        <v>345</v>
      </c>
      <c r="B40" s="4">
        <v>7</v>
      </c>
      <c r="C40" s="4">
        <v>6</v>
      </c>
      <c r="D40" s="4">
        <v>2</v>
      </c>
      <c r="E40" s="4">
        <v>4</v>
      </c>
      <c r="F40" s="4">
        <v>3</v>
      </c>
    </row>
    <row r="41" spans="1:6">
      <c r="A41" s="4" t="s">
        <v>346</v>
      </c>
      <c r="B41" s="4">
        <v>7</v>
      </c>
      <c r="C41" s="4">
        <v>7</v>
      </c>
      <c r="D41" s="4">
        <v>3</v>
      </c>
      <c r="E41" s="4">
        <v>1</v>
      </c>
      <c r="F41" s="4">
        <v>6</v>
      </c>
    </row>
    <row r="42" spans="1:6">
      <c r="A42" s="4" t="s">
        <v>347</v>
      </c>
      <c r="B42" s="4">
        <v>7</v>
      </c>
      <c r="C42" s="4">
        <v>8</v>
      </c>
      <c r="D42" s="4">
        <v>3</v>
      </c>
      <c r="E42" s="4">
        <v>7</v>
      </c>
      <c r="F42" s="4">
        <v>5</v>
      </c>
    </row>
    <row r="43" spans="1:6">
      <c r="A43" s="4" t="s">
        <v>348</v>
      </c>
      <c r="B43" s="4">
        <v>7</v>
      </c>
      <c r="C43" s="4">
        <v>9</v>
      </c>
      <c r="D43" s="4">
        <v>3</v>
      </c>
      <c r="E43" s="4">
        <v>2</v>
      </c>
      <c r="F43" s="4">
        <v>3</v>
      </c>
    </row>
    <row r="44" spans="1:6">
      <c r="A44" s="4" t="s">
        <v>349</v>
      </c>
      <c r="B44" s="4">
        <v>7</v>
      </c>
      <c r="C44" s="4">
        <v>10</v>
      </c>
      <c r="D44" s="4">
        <v>4</v>
      </c>
      <c r="E44" s="4">
        <v>5</v>
      </c>
      <c r="F44" s="4">
        <v>1</v>
      </c>
    </row>
    <row r="45" spans="1:6">
      <c r="A45" s="4" t="s">
        <v>350</v>
      </c>
      <c r="B45" s="4">
        <v>7</v>
      </c>
      <c r="C45" s="4">
        <v>11</v>
      </c>
      <c r="D45" s="4">
        <v>4</v>
      </c>
      <c r="E45" s="4">
        <v>4</v>
      </c>
      <c r="F45" s="4">
        <v>6</v>
      </c>
    </row>
    <row r="46" spans="1:6">
      <c r="A46" s="4" t="s">
        <v>351</v>
      </c>
      <c r="B46" s="4">
        <v>7</v>
      </c>
      <c r="C46" s="4">
        <v>12</v>
      </c>
      <c r="D46" s="4">
        <v>4</v>
      </c>
      <c r="E46" s="4">
        <v>3</v>
      </c>
      <c r="F46" s="4">
        <v>7</v>
      </c>
    </row>
    <row r="47" spans="1:6">
      <c r="A47" s="4" t="s">
        <v>352</v>
      </c>
      <c r="B47" s="4">
        <v>7</v>
      </c>
      <c r="C47" s="4">
        <v>13</v>
      </c>
      <c r="D47" s="4">
        <v>5</v>
      </c>
      <c r="E47" s="4">
        <v>1</v>
      </c>
      <c r="F47" s="4">
        <v>4</v>
      </c>
    </row>
    <row r="48" spans="1:6">
      <c r="A48" s="4" t="s">
        <v>353</v>
      </c>
      <c r="B48" s="4">
        <v>7</v>
      </c>
      <c r="C48" s="4">
        <v>14</v>
      </c>
      <c r="D48" s="4">
        <v>5</v>
      </c>
      <c r="E48" s="4">
        <v>5</v>
      </c>
      <c r="F48" s="4">
        <v>3</v>
      </c>
    </row>
    <row r="49" spans="1:6">
      <c r="A49" s="4" t="s">
        <v>354</v>
      </c>
      <c r="B49" s="4">
        <v>7</v>
      </c>
      <c r="C49" s="4">
        <v>15</v>
      </c>
      <c r="D49" s="4">
        <v>5</v>
      </c>
      <c r="E49" s="4">
        <v>6</v>
      </c>
      <c r="F49" s="4">
        <v>2</v>
      </c>
    </row>
    <row r="50" spans="1:6">
      <c r="A50" s="4" t="s">
        <v>355</v>
      </c>
      <c r="B50" s="4">
        <v>7</v>
      </c>
      <c r="C50" s="4">
        <v>16</v>
      </c>
      <c r="D50" s="4">
        <v>6</v>
      </c>
      <c r="E50" s="4">
        <v>3</v>
      </c>
      <c r="F50" s="4">
        <v>1</v>
      </c>
    </row>
    <row r="51" spans="1:6">
      <c r="A51" s="4" t="s">
        <v>356</v>
      </c>
      <c r="B51" s="4">
        <v>7</v>
      </c>
      <c r="C51" s="4">
        <v>17</v>
      </c>
      <c r="D51" s="4">
        <v>6</v>
      </c>
      <c r="E51" s="4">
        <v>2</v>
      </c>
      <c r="F51" s="4">
        <v>4</v>
      </c>
    </row>
    <row r="52" spans="1:6">
      <c r="A52" s="4" t="s">
        <v>357</v>
      </c>
      <c r="B52" s="4">
        <v>7</v>
      </c>
      <c r="C52" s="4">
        <v>18</v>
      </c>
      <c r="D52" s="4">
        <v>6</v>
      </c>
      <c r="E52" s="4">
        <v>7</v>
      </c>
      <c r="F52" s="4">
        <v>6</v>
      </c>
    </row>
    <row r="53" spans="1:6">
      <c r="A53" s="4" t="s">
        <v>358</v>
      </c>
      <c r="B53" s="4">
        <v>7</v>
      </c>
      <c r="C53" s="4">
        <v>19</v>
      </c>
      <c r="D53" s="4">
        <v>7</v>
      </c>
      <c r="E53" s="4">
        <v>1</v>
      </c>
      <c r="F53" s="4">
        <v>2</v>
      </c>
    </row>
    <row r="54" spans="1:6">
      <c r="A54" s="4" t="s">
        <v>359</v>
      </c>
      <c r="B54" s="4">
        <v>7</v>
      </c>
      <c r="C54" s="4">
        <v>20</v>
      </c>
      <c r="D54" s="4">
        <v>7</v>
      </c>
      <c r="E54" s="4">
        <v>4</v>
      </c>
      <c r="F54" s="4">
        <v>7</v>
      </c>
    </row>
    <row r="55" spans="1:6">
      <c r="A55" s="4" t="s">
        <v>360</v>
      </c>
      <c r="B55" s="4">
        <v>7</v>
      </c>
      <c r="C55" s="4">
        <v>21</v>
      </c>
      <c r="D55" s="4">
        <v>7</v>
      </c>
      <c r="E55" s="4">
        <v>5</v>
      </c>
      <c r="F55" s="4">
        <v>6</v>
      </c>
    </row>
    <row r="56" spans="1:6">
      <c r="A56" s="4" t="s">
        <v>361</v>
      </c>
      <c r="B56" s="4">
        <v>8</v>
      </c>
      <c r="C56" s="4">
        <v>1</v>
      </c>
      <c r="D56" s="4">
        <v>1</v>
      </c>
      <c r="E56" s="4">
        <v>1</v>
      </c>
      <c r="F56" s="4">
        <v>8</v>
      </c>
    </row>
    <row r="57" spans="1:6">
      <c r="A57" s="4" t="s">
        <v>362</v>
      </c>
      <c r="B57" s="4">
        <v>8</v>
      </c>
      <c r="C57" s="4">
        <v>2</v>
      </c>
      <c r="D57" s="4">
        <v>1</v>
      </c>
      <c r="E57" s="4">
        <v>2</v>
      </c>
      <c r="F57" s="4">
        <v>7</v>
      </c>
    </row>
    <row r="58" spans="1:6">
      <c r="A58" s="4" t="s">
        <v>363</v>
      </c>
      <c r="B58" s="4">
        <v>8</v>
      </c>
      <c r="C58" s="4">
        <v>3</v>
      </c>
      <c r="D58" s="4">
        <v>1</v>
      </c>
      <c r="E58" s="4">
        <v>3</v>
      </c>
      <c r="F58" s="4">
        <v>6</v>
      </c>
    </row>
    <row r="59" spans="1:6">
      <c r="A59" s="4" t="s">
        <v>364</v>
      </c>
      <c r="B59" s="4">
        <v>8</v>
      </c>
      <c r="C59" s="4">
        <v>4</v>
      </c>
      <c r="D59" s="4">
        <v>1</v>
      </c>
      <c r="E59" s="4">
        <v>4</v>
      </c>
      <c r="F59" s="4">
        <v>5</v>
      </c>
    </row>
    <row r="60" spans="1:6">
      <c r="A60" s="4" t="s">
        <v>365</v>
      </c>
      <c r="B60" s="4">
        <v>8</v>
      </c>
      <c r="C60" s="4">
        <v>5</v>
      </c>
      <c r="D60" s="4">
        <v>2</v>
      </c>
      <c r="E60" s="4">
        <v>7</v>
      </c>
      <c r="F60" s="4">
        <v>1</v>
      </c>
    </row>
    <row r="61" spans="1:6">
      <c r="A61" s="4" t="s">
        <v>366</v>
      </c>
      <c r="B61" s="4">
        <v>8</v>
      </c>
      <c r="C61" s="4">
        <v>6</v>
      </c>
      <c r="D61" s="4">
        <v>2</v>
      </c>
      <c r="E61" s="4">
        <v>6</v>
      </c>
      <c r="F61" s="4">
        <v>8</v>
      </c>
    </row>
    <row r="62" spans="1:6">
      <c r="A62" s="4" t="s">
        <v>367</v>
      </c>
      <c r="B62" s="4">
        <v>8</v>
      </c>
      <c r="C62" s="4">
        <v>7</v>
      </c>
      <c r="D62" s="4">
        <v>2</v>
      </c>
      <c r="E62" s="4">
        <v>5</v>
      </c>
      <c r="F62" s="4">
        <v>2</v>
      </c>
    </row>
    <row r="63" spans="1:6">
      <c r="A63" s="4" t="s">
        <v>368</v>
      </c>
      <c r="B63" s="4">
        <v>8</v>
      </c>
      <c r="C63" s="4">
        <v>8</v>
      </c>
      <c r="D63" s="4">
        <v>2</v>
      </c>
      <c r="E63" s="4">
        <v>4</v>
      </c>
      <c r="F63" s="4">
        <v>3</v>
      </c>
    </row>
    <row r="64" spans="1:6">
      <c r="A64" s="4" t="s">
        <v>369</v>
      </c>
      <c r="B64" s="4">
        <v>8</v>
      </c>
      <c r="C64" s="4">
        <v>9</v>
      </c>
      <c r="D64" s="4">
        <v>3</v>
      </c>
      <c r="E64" s="4">
        <v>1</v>
      </c>
      <c r="F64" s="4">
        <v>6</v>
      </c>
    </row>
    <row r="65" spans="1:6">
      <c r="A65" s="4" t="s">
        <v>370</v>
      </c>
      <c r="B65" s="4">
        <v>8</v>
      </c>
      <c r="C65" s="4">
        <v>10</v>
      </c>
      <c r="D65" s="4">
        <v>3</v>
      </c>
      <c r="E65" s="4">
        <v>7</v>
      </c>
      <c r="F65" s="4">
        <v>5</v>
      </c>
    </row>
    <row r="66" spans="1:6">
      <c r="A66" s="4" t="s">
        <v>371</v>
      </c>
      <c r="B66" s="4">
        <v>8</v>
      </c>
      <c r="C66" s="4">
        <v>11</v>
      </c>
      <c r="D66" s="4">
        <v>3</v>
      </c>
      <c r="E66" s="4">
        <v>8</v>
      </c>
      <c r="F66" s="4">
        <v>4</v>
      </c>
    </row>
    <row r="67" spans="1:6">
      <c r="A67" s="4" t="s">
        <v>372</v>
      </c>
      <c r="B67" s="4">
        <v>8</v>
      </c>
      <c r="C67" s="4">
        <v>12</v>
      </c>
      <c r="D67" s="4">
        <v>3</v>
      </c>
      <c r="E67" s="4">
        <v>2</v>
      </c>
      <c r="F67" s="4">
        <v>3</v>
      </c>
    </row>
    <row r="68" spans="1:6">
      <c r="A68" s="4" t="s">
        <v>373</v>
      </c>
      <c r="B68" s="4">
        <v>8</v>
      </c>
      <c r="C68" s="4">
        <v>13</v>
      </c>
      <c r="D68" s="4">
        <v>4</v>
      </c>
      <c r="E68" s="4">
        <v>5</v>
      </c>
      <c r="F68" s="4">
        <v>1</v>
      </c>
    </row>
    <row r="69" spans="1:6">
      <c r="A69" s="4" t="s">
        <v>374</v>
      </c>
      <c r="B69" s="4">
        <v>8</v>
      </c>
      <c r="C69" s="4">
        <v>14</v>
      </c>
      <c r="D69" s="4">
        <v>4</v>
      </c>
      <c r="E69" s="4">
        <v>4</v>
      </c>
      <c r="F69" s="4">
        <v>6</v>
      </c>
    </row>
    <row r="70" spans="1:6">
      <c r="A70" s="4" t="s">
        <v>375</v>
      </c>
      <c r="B70" s="4">
        <v>8</v>
      </c>
      <c r="C70" s="4">
        <v>15</v>
      </c>
      <c r="D70" s="4">
        <v>4</v>
      </c>
      <c r="E70" s="4">
        <v>3</v>
      </c>
      <c r="F70" s="4">
        <v>7</v>
      </c>
    </row>
    <row r="71" spans="1:6">
      <c r="A71" s="4" t="s">
        <v>376</v>
      </c>
      <c r="B71" s="4">
        <v>8</v>
      </c>
      <c r="C71" s="4">
        <v>16</v>
      </c>
      <c r="D71" s="4">
        <v>4</v>
      </c>
      <c r="E71" s="4">
        <v>2</v>
      </c>
      <c r="F71" s="4">
        <v>8</v>
      </c>
    </row>
    <row r="72" spans="1:6">
      <c r="A72" s="4" t="s">
        <v>377</v>
      </c>
      <c r="B72" s="4">
        <v>8</v>
      </c>
      <c r="C72" s="4">
        <v>17</v>
      </c>
      <c r="D72" s="4">
        <v>5</v>
      </c>
      <c r="E72" s="4">
        <v>1</v>
      </c>
      <c r="F72" s="4">
        <v>4</v>
      </c>
    </row>
    <row r="73" spans="1:6">
      <c r="A73" s="4" t="s">
        <v>378</v>
      </c>
      <c r="B73" s="4">
        <v>8</v>
      </c>
      <c r="C73" s="4">
        <v>18</v>
      </c>
      <c r="D73" s="4">
        <v>5</v>
      </c>
      <c r="E73" s="4">
        <v>5</v>
      </c>
      <c r="F73" s="4">
        <v>3</v>
      </c>
    </row>
    <row r="74" spans="1:6">
      <c r="A74" s="4" t="s">
        <v>379</v>
      </c>
      <c r="B74" s="4">
        <v>8</v>
      </c>
      <c r="C74" s="4">
        <v>19</v>
      </c>
      <c r="D74" s="4">
        <v>5</v>
      </c>
      <c r="E74" s="4">
        <v>6</v>
      </c>
      <c r="F74" s="4">
        <v>2</v>
      </c>
    </row>
    <row r="75" spans="1:6">
      <c r="A75" s="4" t="s">
        <v>380</v>
      </c>
      <c r="B75" s="4">
        <v>8</v>
      </c>
      <c r="C75" s="4">
        <v>20</v>
      </c>
      <c r="D75" s="4">
        <v>5</v>
      </c>
      <c r="E75" s="4">
        <v>7</v>
      </c>
      <c r="F75" s="4">
        <v>8</v>
      </c>
    </row>
    <row r="76" spans="1:6">
      <c r="A76" s="4" t="s">
        <v>381</v>
      </c>
      <c r="B76" s="4">
        <v>8</v>
      </c>
      <c r="C76" s="4">
        <v>21</v>
      </c>
      <c r="D76" s="4">
        <v>6</v>
      </c>
      <c r="E76" s="4">
        <v>3</v>
      </c>
      <c r="F76" s="4">
        <v>1</v>
      </c>
    </row>
    <row r="77" spans="1:6">
      <c r="A77" s="4" t="s">
        <v>382</v>
      </c>
      <c r="B77" s="4">
        <v>8</v>
      </c>
      <c r="C77" s="4">
        <v>22</v>
      </c>
      <c r="D77" s="4">
        <v>6</v>
      </c>
      <c r="E77" s="4">
        <v>2</v>
      </c>
      <c r="F77" s="4">
        <v>4</v>
      </c>
    </row>
    <row r="78" spans="1:6">
      <c r="A78" s="4" t="s">
        <v>383</v>
      </c>
      <c r="B78" s="4">
        <v>8</v>
      </c>
      <c r="C78" s="4">
        <v>23</v>
      </c>
      <c r="D78" s="4">
        <v>6</v>
      </c>
      <c r="E78" s="4">
        <v>8</v>
      </c>
      <c r="F78" s="4">
        <v>5</v>
      </c>
    </row>
    <row r="79" spans="1:6">
      <c r="A79" s="4" t="s">
        <v>384</v>
      </c>
      <c r="B79" s="4">
        <v>8</v>
      </c>
      <c r="C79" s="4">
        <v>24</v>
      </c>
      <c r="D79" s="4">
        <v>6</v>
      </c>
      <c r="E79" s="4">
        <v>7</v>
      </c>
      <c r="F79" s="4">
        <v>6</v>
      </c>
    </row>
    <row r="80" spans="1:6">
      <c r="A80" s="4" t="s">
        <v>385</v>
      </c>
      <c r="B80" s="4">
        <v>8</v>
      </c>
      <c r="C80" s="4">
        <v>25</v>
      </c>
      <c r="D80" s="4">
        <v>7</v>
      </c>
      <c r="E80" s="4">
        <v>1</v>
      </c>
      <c r="F80" s="4">
        <v>2</v>
      </c>
    </row>
    <row r="81" spans="1:6">
      <c r="A81" s="4" t="s">
        <v>386</v>
      </c>
      <c r="B81" s="4">
        <v>8</v>
      </c>
      <c r="C81" s="4">
        <v>26</v>
      </c>
      <c r="D81" s="4">
        <v>7</v>
      </c>
      <c r="E81" s="4">
        <v>3</v>
      </c>
      <c r="F81" s="4">
        <v>8</v>
      </c>
    </row>
    <row r="82" spans="1:6">
      <c r="A82" s="4" t="s">
        <v>387</v>
      </c>
      <c r="B82" s="4">
        <v>8</v>
      </c>
      <c r="C82" s="4">
        <v>27</v>
      </c>
      <c r="D82" s="4">
        <v>7</v>
      </c>
      <c r="E82" s="4">
        <v>4</v>
      </c>
      <c r="F82" s="4">
        <v>7</v>
      </c>
    </row>
    <row r="83" spans="1:6">
      <c r="A83" s="4" t="s">
        <v>388</v>
      </c>
      <c r="B83" s="4">
        <v>8</v>
      </c>
      <c r="C83" s="4">
        <v>28</v>
      </c>
      <c r="D83" s="4">
        <v>7</v>
      </c>
      <c r="E83" s="4">
        <v>5</v>
      </c>
      <c r="F83" s="4">
        <v>6</v>
      </c>
    </row>
  </sheetData>
  <mergeCells count="1">
    <mergeCell ref="A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42"/>
  <sheetViews>
    <sheetView topLeftCell="A22" workbookViewId="0">
      <selection activeCell="B10" sqref="B10"/>
    </sheetView>
  </sheetViews>
  <sheetFormatPr defaultRowHeight="14.25"/>
  <cols>
    <col min="1" max="1" width="2" customWidth="1"/>
    <col min="2" max="2" width="24" customWidth="1"/>
    <col min="3" max="3" width="3" customWidth="1"/>
    <col min="4" max="4" width="8" customWidth="1"/>
    <col min="5" max="7" width="4" customWidth="1"/>
    <col min="8" max="8" width="24" customWidth="1"/>
    <col min="9" max="9" width="3" customWidth="1"/>
    <col min="10" max="10" width="8" customWidth="1"/>
    <col min="11" max="13" width="4" customWidth="1"/>
    <col min="14" max="14" width="24" customWidth="1"/>
    <col min="15" max="15" width="3" customWidth="1"/>
    <col min="16" max="16" width="8" customWidth="1"/>
    <col min="17" max="19" width="4" customWidth="1"/>
    <col min="20" max="20" width="24" customWidth="1"/>
    <col min="21" max="21" width="3" customWidth="1"/>
    <col min="22" max="22" width="8" customWidth="1"/>
  </cols>
  <sheetData>
    <row r="1" spans="1:22" ht="20.100000000000001" customHeight="1">
      <c r="A1" s="38"/>
      <c r="B1" s="49" t="s">
        <v>398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</row>
    <row r="2" spans="1:22" ht="20.100000000000001" customHeight="1">
      <c r="A2" s="39"/>
      <c r="B2" s="52" t="str">
        <f>"Competition: "&amp;Setup!$B$3&amp;"   |   "&amp;Setup!$E$5</f>
        <v>Competition:    |   Round of 16 + Quarter-finals + Semi-finals + Final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22" ht="20.100000000000001" customHeight="1">
      <c r="A3" s="40"/>
      <c r="B3" s="51" t="str">
        <f>IF(OR(Setup!$E$4=4,Setup!$E$4=8),"Print in landscape. Enter scores only on the Finals sheet — this bracket updates automatically.","Printable bracket currently supports 4 or 8 finalists. Current structure: "&amp;Setup!$E$4&amp;" finalists.")</f>
        <v>Printable bracket currently supports 4 or 8 finalists. Current structure: 16 finalists.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</row>
    <row r="4" spans="1:22" ht="20.100000000000001" customHeight="1">
      <c r="A4" s="19"/>
      <c r="B4" s="41" t="str">
        <f>IF(Setup!$E$4=8,"QUARTER-FINALS",IF(Setup!$E$4=4,"SEMI-FINALS",""))</f>
        <v/>
      </c>
      <c r="C4" s="19"/>
      <c r="D4" s="19"/>
      <c r="E4" s="19"/>
      <c r="F4" s="19"/>
      <c r="G4" s="19"/>
      <c r="H4" s="41" t="str">
        <f>IF(Setup!$E$4=8,"SEMI-FINALS",IF(Setup!$E$4=4,"FINAL",""))</f>
        <v/>
      </c>
      <c r="I4" s="19"/>
      <c r="J4" s="19"/>
      <c r="K4" s="19"/>
      <c r="L4" s="19"/>
      <c r="M4" s="19"/>
      <c r="N4" s="41" t="str">
        <f>IF(Setup!$E$4=8,"FINAL",IF(Setup!$E$4=4,"CHAMPION",""))</f>
        <v/>
      </c>
      <c r="O4" s="19"/>
      <c r="P4" s="19"/>
      <c r="Q4" s="19"/>
      <c r="R4" s="19"/>
      <c r="S4" s="19"/>
      <c r="T4" s="41" t="str">
        <f>IF(Setup!$E$4=8,"CHAMPION","")</f>
        <v/>
      </c>
      <c r="U4" s="19"/>
      <c r="V4" s="19"/>
    </row>
    <row r="5" spans="1:22" ht="20.100000000000001" customHeight="1">
      <c r="A5" s="19"/>
      <c r="B5" s="19"/>
      <c r="C5" s="19"/>
      <c r="D5" s="19"/>
      <c r="E5" s="42"/>
      <c r="F5" s="42"/>
      <c r="G5" s="42"/>
      <c r="H5" s="19"/>
      <c r="I5" s="19"/>
      <c r="J5" s="19"/>
      <c r="K5" s="42"/>
      <c r="L5" s="42"/>
      <c r="M5" s="42"/>
      <c r="N5" s="19"/>
      <c r="O5" s="19"/>
      <c r="P5" s="19"/>
      <c r="Q5" s="42"/>
      <c r="R5" s="42"/>
      <c r="S5" s="42"/>
      <c r="T5" s="19"/>
      <c r="U5" s="19"/>
      <c r="V5" s="19"/>
    </row>
    <row r="6" spans="1:22" ht="20.100000000000001" customHeight="1">
      <c r="A6" s="19"/>
      <c r="B6" s="25" t="str">
        <f>IF(Setup!$E$4=8,"QF 1","")</f>
        <v/>
      </c>
      <c r="C6" s="26"/>
      <c r="D6" s="27"/>
      <c r="E6" s="42"/>
      <c r="F6" s="42"/>
      <c r="G6" s="42"/>
      <c r="H6" s="19"/>
      <c r="I6" s="19"/>
      <c r="J6" s="19"/>
      <c r="K6" s="42"/>
      <c r="L6" s="42"/>
      <c r="M6" s="42"/>
      <c r="N6" s="19"/>
      <c r="O6" s="19"/>
      <c r="P6" s="19"/>
      <c r="Q6" s="42"/>
      <c r="R6" s="42"/>
      <c r="S6" s="42"/>
      <c r="T6" s="19"/>
      <c r="U6" s="19"/>
      <c r="V6" s="19"/>
    </row>
    <row r="7" spans="1:22" ht="20.100000000000001" customHeight="1">
      <c r="A7" s="19"/>
      <c r="B7" s="28" t="str">
        <f>IF(Setup!$E$4=8,Finals!C14,"")</f>
        <v/>
      </c>
      <c r="C7" s="29"/>
      <c r="D7" s="30" t="str">
        <f>IF(Setup!$E$4=8,IFERROR(IF(ISNUMBER(Finals!D14),Finals!D14,""),""),"")</f>
        <v/>
      </c>
      <c r="E7" s="42"/>
      <c r="F7" s="42"/>
      <c r="G7" s="42"/>
      <c r="H7" s="19"/>
      <c r="I7" s="19"/>
      <c r="J7" s="19"/>
      <c r="K7" s="42"/>
      <c r="L7" s="42"/>
      <c r="M7" s="42"/>
      <c r="N7" s="19"/>
      <c r="O7" s="19"/>
      <c r="P7" s="19"/>
      <c r="Q7" s="42"/>
      <c r="R7" s="42"/>
      <c r="S7" s="42"/>
      <c r="T7" s="19"/>
      <c r="U7" s="19"/>
      <c r="V7" s="19"/>
    </row>
    <row r="8" spans="1:22" ht="20.100000000000001" customHeight="1">
      <c r="A8" s="19"/>
      <c r="B8" s="28" t="str">
        <f>IF(Setup!$E$4=8,Finals!E14,"")</f>
        <v/>
      </c>
      <c r="C8" s="29"/>
      <c r="D8" s="30" t="str">
        <f>IF(Setup!$E$4=8,IFERROR(IF(ISNUMBER(Finals!F14),Finals!F14,""),""),"")</f>
        <v/>
      </c>
      <c r="E8" s="42" t="str">
        <f>IF(Setup!$E$4=8,"────","")</f>
        <v/>
      </c>
      <c r="F8" s="42" t="str">
        <f>IF(Setup!$E$4=8,"────","")</f>
        <v/>
      </c>
      <c r="G8" s="42" t="str">
        <f>IF(Setup!$E$4=8,"┐","")</f>
        <v/>
      </c>
      <c r="H8" s="19"/>
      <c r="I8" s="19"/>
      <c r="J8" s="19"/>
      <c r="K8" s="42"/>
      <c r="L8" s="42"/>
      <c r="M8" s="42"/>
      <c r="N8" s="19"/>
      <c r="O8" s="19"/>
      <c r="P8" s="19"/>
      <c r="Q8" s="42"/>
      <c r="R8" s="42"/>
      <c r="S8" s="42"/>
      <c r="T8" s="19"/>
      <c r="U8" s="19"/>
      <c r="V8" s="19"/>
    </row>
    <row r="9" spans="1:22" ht="20.100000000000001" customHeight="1">
      <c r="A9" s="19"/>
      <c r="B9" s="19"/>
      <c r="C9" s="19"/>
      <c r="D9" s="19"/>
      <c r="E9" s="42"/>
      <c r="F9" s="42"/>
      <c r="G9" s="42" t="str">
        <f>IF(Setup!$E$4=8,"│","")</f>
        <v/>
      </c>
      <c r="H9" s="19"/>
      <c r="I9" s="19"/>
      <c r="J9" s="19"/>
      <c r="K9" s="42"/>
      <c r="L9" s="42"/>
      <c r="M9" s="42"/>
      <c r="N9" s="19"/>
      <c r="O9" s="19"/>
      <c r="P9" s="19"/>
      <c r="Q9" s="42"/>
      <c r="R9" s="42"/>
      <c r="S9" s="42"/>
      <c r="T9" s="19"/>
      <c r="U9" s="19"/>
      <c r="V9" s="19"/>
    </row>
    <row r="10" spans="1:22" ht="20.100000000000001" customHeight="1">
      <c r="A10" s="19"/>
      <c r="B10" s="25" t="str">
        <f>IF(Setup!$E$4=4,"SF 1","")</f>
        <v/>
      </c>
      <c r="C10" s="26"/>
      <c r="D10" s="27"/>
      <c r="E10" s="42"/>
      <c r="F10" s="42"/>
      <c r="G10" s="42" t="str">
        <f>IF(Setup!$E$4=8,"│","")</f>
        <v/>
      </c>
      <c r="H10" s="25" t="str">
        <f>IF(Setup!$E$4=8,"SF 1","")</f>
        <v/>
      </c>
      <c r="I10" s="26"/>
      <c r="J10" s="27"/>
      <c r="K10" s="42"/>
      <c r="L10" s="42"/>
      <c r="M10" s="42"/>
      <c r="N10" s="19"/>
      <c r="O10" s="19"/>
      <c r="P10" s="19"/>
      <c r="Q10" s="42"/>
      <c r="R10" s="42"/>
      <c r="S10" s="42"/>
      <c r="T10" s="19"/>
      <c r="U10" s="19"/>
      <c r="V10" s="19"/>
    </row>
    <row r="11" spans="1:22" ht="20.100000000000001" customHeight="1">
      <c r="A11" s="19"/>
      <c r="B11" s="28" t="str">
        <f>IF(Setup!$E$4=4,Finals!C19,"")</f>
        <v/>
      </c>
      <c r="C11" s="29"/>
      <c r="D11" s="30" t="str">
        <f>IF(Setup!$E$4=4,IFERROR(IF(ISNUMBER(Finals!D19),Finals!D19,""),""),"")</f>
        <v/>
      </c>
      <c r="E11" s="42"/>
      <c r="F11" s="42"/>
      <c r="G11" s="42" t="str">
        <f>IF(Setup!$E$4=8,"│","")</f>
        <v/>
      </c>
      <c r="H11" s="28" t="str">
        <f>IF(Setup!$E$4=8,Finals!C19,"")</f>
        <v/>
      </c>
      <c r="I11" s="29"/>
      <c r="J11" s="30" t="str">
        <f>IF(Setup!$E$4=8,IFERROR(IF(ISNUMBER(Finals!D19),Finals!D19,""),""),"")</f>
        <v/>
      </c>
      <c r="K11" s="42"/>
      <c r="L11" s="42"/>
      <c r="M11" s="42"/>
      <c r="N11" s="19"/>
      <c r="O11" s="19"/>
      <c r="P11" s="19"/>
      <c r="Q11" s="42"/>
      <c r="R11" s="42"/>
      <c r="S11" s="42"/>
      <c r="T11" s="19"/>
      <c r="U11" s="19"/>
      <c r="V11" s="19"/>
    </row>
    <row r="12" spans="1:22" ht="20.100000000000001" customHeight="1">
      <c r="A12" s="19"/>
      <c r="B12" s="28" t="str">
        <f>IF(Setup!$E$4=4,Finals!E19,"")</f>
        <v/>
      </c>
      <c r="C12" s="29"/>
      <c r="D12" s="30" t="str">
        <f>IF(Setup!$E$4=4,IFERROR(IF(ISNUMBER(Finals!F19),Finals!F19,""),""),"")</f>
        <v/>
      </c>
      <c r="E12" s="42" t="str">
        <f>IF(Setup!$E$4=4,"────",IF(Setup!$E$4=8,"────",""))</f>
        <v/>
      </c>
      <c r="F12" s="42" t="str">
        <f>IF(Setup!$E$4=4,"────",IF(Setup!$E$4=8,"────",""))</f>
        <v/>
      </c>
      <c r="G12" s="42" t="str">
        <f>IF(Setup!$E$4=4,"┐",IF(Setup!$E$4=8,"├──",""))</f>
        <v/>
      </c>
      <c r="H12" s="28" t="str">
        <f>IF(Setup!$E$4=8,Finals!E19,"")</f>
        <v/>
      </c>
      <c r="I12" s="29"/>
      <c r="J12" s="30" t="str">
        <f>IF(Setup!$E$4=8,IFERROR(IF(ISNUMBER(Finals!F19),Finals!F19,""),""),"")</f>
        <v/>
      </c>
      <c r="K12" s="42" t="str">
        <f>IF(Setup!$E$4=8,"────","")</f>
        <v/>
      </c>
      <c r="L12" s="42" t="str">
        <f>IF(Setup!$E$4=8,"────","")</f>
        <v/>
      </c>
      <c r="M12" s="42" t="str">
        <f>IF(Setup!$E$4=8,"┐","")</f>
        <v/>
      </c>
      <c r="N12" s="19"/>
      <c r="O12" s="19"/>
      <c r="P12" s="19"/>
      <c r="Q12" s="42"/>
      <c r="R12" s="42"/>
      <c r="S12" s="42"/>
      <c r="T12" s="19"/>
      <c r="U12" s="19"/>
      <c r="V12" s="19"/>
    </row>
    <row r="13" spans="1:22" ht="20.100000000000001" customHeight="1">
      <c r="A13" s="19"/>
      <c r="B13" s="19"/>
      <c r="C13" s="19"/>
      <c r="D13" s="19"/>
      <c r="E13" s="42"/>
      <c r="F13" s="42"/>
      <c r="G13" s="42" t="str">
        <f>IF(Setup!$E$4=4,"│",IF(Setup!$E$4=8,IF(OR(AND(ROW()&gt;8,ROW()&lt;16),AND(ROW()&gt;24,ROW()&lt;32)),"│",""),""))</f>
        <v/>
      </c>
      <c r="H13" s="19"/>
      <c r="I13" s="19"/>
      <c r="J13" s="19"/>
      <c r="K13" s="42"/>
      <c r="L13" s="42"/>
      <c r="M13" s="42" t="str">
        <f>IF(Setup!$E$4=8,"│","")</f>
        <v/>
      </c>
      <c r="N13" s="19"/>
      <c r="O13" s="19"/>
      <c r="P13" s="19"/>
      <c r="Q13" s="42"/>
      <c r="R13" s="42"/>
      <c r="S13" s="42"/>
      <c r="T13" s="19"/>
      <c r="U13" s="19"/>
      <c r="V13" s="19"/>
    </row>
    <row r="14" spans="1:22" ht="20.100000000000001" customHeight="1">
      <c r="A14" s="19"/>
      <c r="B14" s="25" t="str">
        <f>IF(Setup!$E$4=8,"QF 3","")</f>
        <v/>
      </c>
      <c r="C14" s="26"/>
      <c r="D14" s="27"/>
      <c r="E14" s="42"/>
      <c r="F14" s="42"/>
      <c r="G14" s="42" t="str">
        <f>IF(Setup!$E$4=4,"│",IF(Setup!$E$4=8,IF(OR(AND(ROW()&gt;8,ROW()&lt;16),AND(ROW()&gt;24,ROW()&lt;32)),"│",""),""))</f>
        <v/>
      </c>
      <c r="H14" s="19"/>
      <c r="I14" s="19"/>
      <c r="J14" s="19"/>
      <c r="K14" s="42"/>
      <c r="L14" s="42"/>
      <c r="M14" s="42" t="str">
        <f>IF(Setup!$E$4=8,"│","")</f>
        <v/>
      </c>
      <c r="N14" s="19"/>
      <c r="O14" s="19"/>
      <c r="P14" s="19"/>
      <c r="Q14" s="42"/>
      <c r="R14" s="42"/>
      <c r="S14" s="42"/>
      <c r="T14" s="19"/>
      <c r="U14" s="19"/>
      <c r="V14" s="19"/>
    </row>
    <row r="15" spans="1:22" ht="20.100000000000001" customHeight="1">
      <c r="A15" s="19"/>
      <c r="B15" s="28" t="str">
        <f>IF(Setup!$E$4=8,Finals!C16,"")</f>
        <v/>
      </c>
      <c r="C15" s="29"/>
      <c r="D15" s="30" t="str">
        <f>IF(Setup!$E$4=8,IFERROR(IF(ISNUMBER(Finals!D16),Finals!D16,""),""),"")</f>
        <v/>
      </c>
      <c r="E15" s="42"/>
      <c r="F15" s="42"/>
      <c r="G15" s="42" t="str">
        <f>IF(Setup!$E$4=4,"│",IF(Setup!$E$4=8,IF(OR(AND(ROW()&gt;8,ROW()&lt;16),AND(ROW()&gt;24,ROW()&lt;32)),"│",""),""))</f>
        <v/>
      </c>
      <c r="H15" s="19"/>
      <c r="I15" s="19"/>
      <c r="J15" s="19"/>
      <c r="K15" s="42"/>
      <c r="L15" s="42"/>
      <c r="M15" s="42" t="str">
        <f>IF(Setup!$E$4=8,"│","")</f>
        <v/>
      </c>
      <c r="N15" s="19"/>
      <c r="O15" s="19"/>
      <c r="P15" s="19"/>
      <c r="Q15" s="42"/>
      <c r="R15" s="42"/>
      <c r="S15" s="42"/>
      <c r="T15" s="19"/>
      <c r="U15" s="19"/>
      <c r="V15" s="19"/>
    </row>
    <row r="16" spans="1:22" ht="20.100000000000001" customHeight="1">
      <c r="A16" s="19"/>
      <c r="B16" s="28" t="str">
        <f>IF(Setup!$E$4=8,Finals!E16,"")</f>
        <v/>
      </c>
      <c r="C16" s="29"/>
      <c r="D16" s="30" t="str">
        <f>IF(Setup!$E$4=8,IFERROR(IF(ISNUMBER(Finals!F16),Finals!F16,""),""),"")</f>
        <v/>
      </c>
      <c r="E16" s="42" t="str">
        <f>IF(Setup!$E$4=8,"────","")</f>
        <v/>
      </c>
      <c r="F16" s="42" t="str">
        <f>IF(Setup!$E$4=8,"────","")</f>
        <v/>
      </c>
      <c r="G16" s="42" t="str">
        <f>IF(Setup!$E$4=4,"│",IF(Setup!$E$4=8,IF(OR(AND(ROW()&gt;8,ROW()&lt;16),AND(ROW()&gt;24,ROW()&lt;32)),"│",""),""))</f>
        <v/>
      </c>
      <c r="H16" s="19"/>
      <c r="I16" s="19"/>
      <c r="J16" s="19"/>
      <c r="K16" s="42"/>
      <c r="L16" s="42"/>
      <c r="M16" s="42" t="str">
        <f>IF(Setup!$E$4=8,"│","")</f>
        <v/>
      </c>
      <c r="N16" s="19"/>
      <c r="O16" s="19"/>
      <c r="P16" s="19"/>
      <c r="Q16" s="42"/>
      <c r="R16" s="42"/>
      <c r="S16" s="42"/>
      <c r="T16" s="19"/>
      <c r="U16" s="19"/>
      <c r="V16" s="19"/>
    </row>
    <row r="17" spans="1:22" ht="20.100000000000001" customHeight="1">
      <c r="A17" s="19"/>
      <c r="B17" s="19"/>
      <c r="C17" s="19"/>
      <c r="D17" s="19"/>
      <c r="E17" s="42"/>
      <c r="F17" s="42"/>
      <c r="G17" s="42" t="str">
        <f>IF(Setup!$E$4=4,"│",IF(Setup!$E$4=8,IF(OR(AND(ROW()&gt;8,ROW()&lt;16),AND(ROW()&gt;24,ROW()&lt;32)),"│",""),""))</f>
        <v/>
      </c>
      <c r="H17" s="19"/>
      <c r="I17" s="19"/>
      <c r="J17" s="19"/>
      <c r="K17" s="42"/>
      <c r="L17" s="42"/>
      <c r="M17" s="42" t="str">
        <f>IF(Setup!$E$4=8,"│","")</f>
        <v/>
      </c>
      <c r="N17" s="19"/>
      <c r="O17" s="19"/>
      <c r="P17" s="19"/>
      <c r="Q17" s="42"/>
      <c r="R17" s="42"/>
      <c r="S17" s="42"/>
      <c r="T17" s="19"/>
      <c r="U17" s="19"/>
      <c r="V17" s="19"/>
    </row>
    <row r="18" spans="1:22" ht="20.100000000000001" customHeight="1">
      <c r="A18" s="19"/>
      <c r="B18" s="19"/>
      <c r="C18" s="19"/>
      <c r="D18" s="19"/>
      <c r="E18" s="42"/>
      <c r="F18" s="42"/>
      <c r="G18" s="42" t="str">
        <f>IF(Setup!$E$4=4,"│",IF(Setup!$E$4=8,IF(OR(AND(ROW()&gt;8,ROW()&lt;16),AND(ROW()&gt;24,ROW()&lt;32)),"│",""),""))</f>
        <v/>
      </c>
      <c r="H18" s="25" t="str">
        <f>IF(Setup!$E$4=4,"FINAL","")</f>
        <v/>
      </c>
      <c r="I18" s="26"/>
      <c r="J18" s="27"/>
      <c r="K18" s="42"/>
      <c r="L18" s="42"/>
      <c r="M18" s="42" t="str">
        <f>IF(Setup!$E$4=8,"│","")</f>
        <v/>
      </c>
      <c r="N18" s="25" t="str">
        <f>IF(Setup!$E$4=8,"FINAL",IF(Setup!$E$4=4,"CHAMPION",""))</f>
        <v/>
      </c>
      <c r="O18" s="26"/>
      <c r="P18" s="27"/>
      <c r="Q18" s="42"/>
      <c r="R18" s="42"/>
      <c r="S18" s="42"/>
      <c r="T18" s="31" t="str">
        <f>IF(Setup!$E$4=8,"CHAMPION","")</f>
        <v/>
      </c>
      <c r="U18" s="32"/>
      <c r="V18" s="33"/>
    </row>
    <row r="19" spans="1:22" ht="20.100000000000001" customHeight="1">
      <c r="A19" s="19"/>
      <c r="B19" s="19"/>
      <c r="C19" s="19"/>
      <c r="D19" s="19"/>
      <c r="E19" s="42"/>
      <c r="F19" s="42"/>
      <c r="G19" s="42" t="str">
        <f>IF(Setup!$E$4=4,"│",IF(Setup!$E$4=8,IF(OR(AND(ROW()&gt;8,ROW()&lt;16),AND(ROW()&gt;24,ROW()&lt;32)),"│",""),""))</f>
        <v/>
      </c>
      <c r="H19" s="28" t="str">
        <f>IF(Setup!$E$4=4,Finals!C22,"")</f>
        <v/>
      </c>
      <c r="I19" s="29"/>
      <c r="J19" s="30" t="str">
        <f>IF(Setup!$E$4=4,IFERROR(IF(ISNUMBER(Finals!D22),Finals!D22,""),""),"")</f>
        <v/>
      </c>
      <c r="K19" s="42"/>
      <c r="L19" s="42"/>
      <c r="M19" s="42" t="str">
        <f>IF(Setup!$E$4=8,"│","")</f>
        <v/>
      </c>
      <c r="N19" s="28" t="str">
        <f>IF(Setup!$E$4=8,Finals!C22,IF(Setup!$E$4=4,IF(OR(Finals!D22="",Finals!F22=""),"TBD",IF(Finals!D22&gt;Finals!F22,Finals!C22,IF(Finals!F22&gt;Finals!D22,Finals!E22,"TIE - resolve"))),""))</f>
        <v/>
      </c>
      <c r="O19" s="29"/>
      <c r="P19" s="30" t="str">
        <f>IF(Setup!$E$4=8,IFERROR(IF(ISNUMBER(Finals!D22),Finals!D22,""),""),"")</f>
        <v/>
      </c>
      <c r="Q19" s="42"/>
      <c r="R19" s="42"/>
      <c r="S19" s="42"/>
      <c r="T19" s="31" t="str">
        <f>IF(Setup!$E$4=8,IF(OR(Finals!D22="",Finals!F22=""),"TBD",IF(Finals!D22&gt;Finals!F22,Finals!C22,IF(Finals!F22&gt;Finals!D22,Finals!E22,"TIE - resolve"))),"")</f>
        <v/>
      </c>
      <c r="U19" s="32"/>
      <c r="V19" s="33"/>
    </row>
    <row r="20" spans="1:22" ht="20.100000000000001" customHeight="1">
      <c r="A20" s="19"/>
      <c r="B20" s="19"/>
      <c r="C20" s="19"/>
      <c r="D20" s="19"/>
      <c r="E20" s="42"/>
      <c r="F20" s="42"/>
      <c r="G20" s="42" t="str">
        <f>IF(Setup!$E$4=4,"├──","")</f>
        <v/>
      </c>
      <c r="H20" s="28" t="str">
        <f>IF(Setup!$E$4=4,Finals!E22,"")</f>
        <v/>
      </c>
      <c r="I20" s="29"/>
      <c r="J20" s="30" t="str">
        <f>IF(Setup!$E$4=4,IFERROR(IF(ISNUMBER(Finals!F22),Finals!F22,""),""),"")</f>
        <v/>
      </c>
      <c r="K20" s="42" t="str">
        <f>IF(Setup!$E$4=4,"────","")</f>
        <v/>
      </c>
      <c r="L20" s="42" t="str">
        <f>IF(Setup!$E$4=4,"────","")</f>
        <v/>
      </c>
      <c r="M20" s="42" t="str">
        <f>IF(Setup!$E$4=4,"────",IF(Setup!$E$4=8,"├──",""))</f>
        <v/>
      </c>
      <c r="N20" s="28" t="str">
        <f>IF(Setup!$E$4=8,Finals!E22,"")</f>
        <v/>
      </c>
      <c r="O20" s="29"/>
      <c r="P20" s="30" t="str">
        <f>IF(Setup!$E$4=8,IFERROR(IF(ISNUMBER(Finals!F22),Finals!F22,""),""),"")</f>
        <v/>
      </c>
      <c r="Q20" s="42" t="str">
        <f>IF(Setup!$E$4=8,"────","")</f>
        <v/>
      </c>
      <c r="R20" s="42" t="str">
        <f>IF(Setup!$E$4=8,"────","")</f>
        <v/>
      </c>
      <c r="S20" s="42" t="str">
        <f>IF(Setup!$E$4=8,"────","")</f>
        <v/>
      </c>
      <c r="T20" s="34"/>
      <c r="U20" s="32"/>
      <c r="V20" s="33"/>
    </row>
    <row r="21" spans="1:22" ht="20.100000000000001" customHeight="1">
      <c r="A21" s="19"/>
      <c r="B21" s="19"/>
      <c r="C21" s="19"/>
      <c r="D21" s="19"/>
      <c r="E21" s="42"/>
      <c r="F21" s="42"/>
      <c r="G21" s="42" t="str">
        <f>IF(Setup!$E$4=4,"│",IF(Setup!$E$4=8,IF(OR(AND(ROW()&gt;8,ROW()&lt;16),AND(ROW()&gt;24,ROW()&lt;32)),"│",""),""))</f>
        <v/>
      </c>
      <c r="H21" s="19"/>
      <c r="I21" s="19"/>
      <c r="J21" s="19"/>
      <c r="K21" s="42"/>
      <c r="L21" s="42"/>
      <c r="M21" s="42" t="str">
        <f>IF(Setup!$E$4=8,"│","")</f>
        <v/>
      </c>
      <c r="N21" s="19"/>
      <c r="O21" s="19"/>
      <c r="P21" s="19"/>
      <c r="Q21" s="42"/>
      <c r="R21" s="42"/>
      <c r="S21" s="42"/>
      <c r="T21" s="19"/>
      <c r="U21" s="19"/>
      <c r="V21" s="19"/>
    </row>
    <row r="22" spans="1:22" ht="20.100000000000001" customHeight="1">
      <c r="A22" s="19"/>
      <c r="B22" s="25" t="str">
        <f>IF(Setup!$E$4=8,"QF 2","")</f>
        <v/>
      </c>
      <c r="C22" s="26"/>
      <c r="D22" s="27"/>
      <c r="E22" s="42"/>
      <c r="F22" s="42"/>
      <c r="G22" s="42" t="str">
        <f>IF(Setup!$E$4=4,"│",IF(Setup!$E$4=8,IF(OR(AND(ROW()&gt;8,ROW()&lt;16),AND(ROW()&gt;24,ROW()&lt;32)),"│",""),""))</f>
        <v/>
      </c>
      <c r="H22" s="19"/>
      <c r="I22" s="19"/>
      <c r="J22" s="19"/>
      <c r="K22" s="42"/>
      <c r="L22" s="42"/>
      <c r="M22" s="42" t="str">
        <f>IF(Setup!$E$4=8,"│","")</f>
        <v/>
      </c>
      <c r="N22" s="19"/>
      <c r="O22" s="19"/>
      <c r="P22" s="19"/>
      <c r="Q22" s="42"/>
      <c r="R22" s="42"/>
      <c r="S22" s="42"/>
      <c r="T22" s="19"/>
      <c r="U22" s="19"/>
      <c r="V22" s="19"/>
    </row>
    <row r="23" spans="1:22" ht="20.100000000000001" customHeight="1">
      <c r="A23" s="19"/>
      <c r="B23" s="28" t="str">
        <f>IF(Setup!$E$4=8,Finals!C15,"")</f>
        <v/>
      </c>
      <c r="C23" s="29"/>
      <c r="D23" s="30" t="str">
        <f>IF(Setup!$E$4=8,IFERROR(IF(ISNUMBER(Finals!D15),Finals!D15,""),""),"")</f>
        <v/>
      </c>
      <c r="E23" s="42"/>
      <c r="F23" s="42"/>
      <c r="G23" s="42" t="str">
        <f>IF(Setup!$E$4=4,"│",IF(Setup!$E$4=8,IF(OR(AND(ROW()&gt;8,ROW()&lt;16),AND(ROW()&gt;24,ROW()&lt;32)),"│",""),""))</f>
        <v/>
      </c>
      <c r="H23" s="19"/>
      <c r="I23" s="19"/>
      <c r="J23" s="19"/>
      <c r="K23" s="42"/>
      <c r="L23" s="42"/>
      <c r="M23" s="42" t="str">
        <f>IF(Setup!$E$4=8,"│","")</f>
        <v/>
      </c>
      <c r="N23" s="19"/>
      <c r="O23" s="19"/>
      <c r="P23" s="19"/>
      <c r="Q23" s="42"/>
      <c r="R23" s="42"/>
      <c r="S23" s="42"/>
      <c r="T23" s="19"/>
      <c r="U23" s="19"/>
      <c r="V23" s="19"/>
    </row>
    <row r="24" spans="1:22" ht="20.100000000000001" customHeight="1">
      <c r="A24" s="19"/>
      <c r="B24" s="28" t="str">
        <f>IF(Setup!$E$4=8,Finals!E15,"")</f>
        <v/>
      </c>
      <c r="C24" s="29"/>
      <c r="D24" s="30" t="str">
        <f>IF(Setup!$E$4=8,IFERROR(IF(ISNUMBER(Finals!F15),Finals!F15,""),""),"")</f>
        <v/>
      </c>
      <c r="E24" s="42" t="str">
        <f>IF(Setup!$E$4=8,"────","")</f>
        <v/>
      </c>
      <c r="F24" s="42" t="str">
        <f>IF(Setup!$E$4=8,"────","")</f>
        <v/>
      </c>
      <c r="G24" s="42" t="str">
        <f>IF(Setup!$E$4=4,"│",IF(Setup!$E$4=8,IF(OR(AND(ROW()&gt;8,ROW()&lt;16),AND(ROW()&gt;24,ROW()&lt;32)),"│",""),""))</f>
        <v/>
      </c>
      <c r="H24" s="19"/>
      <c r="I24" s="19"/>
      <c r="J24" s="19"/>
      <c r="K24" s="42"/>
      <c r="L24" s="42"/>
      <c r="M24" s="42" t="str">
        <f>IF(Setup!$E$4=8,"│","")</f>
        <v/>
      </c>
      <c r="N24" s="19"/>
      <c r="O24" s="19"/>
      <c r="P24" s="19"/>
      <c r="Q24" s="42"/>
      <c r="R24" s="42"/>
      <c r="S24" s="42"/>
      <c r="T24" s="19"/>
      <c r="U24" s="19"/>
      <c r="V24" s="19"/>
    </row>
    <row r="25" spans="1:22" ht="20.100000000000001" customHeight="1">
      <c r="A25" s="19"/>
      <c r="B25" s="19"/>
      <c r="C25" s="19"/>
      <c r="D25" s="19"/>
      <c r="E25" s="42"/>
      <c r="F25" s="42"/>
      <c r="G25" s="42" t="str">
        <f>IF(Setup!$E$4=4,"│",IF(Setup!$E$4=8,IF(OR(AND(ROW()&gt;8,ROW()&lt;16),AND(ROW()&gt;24,ROW()&lt;32)),"│",""),""))</f>
        <v/>
      </c>
      <c r="H25" s="19"/>
      <c r="I25" s="19"/>
      <c r="J25" s="19"/>
      <c r="K25" s="42"/>
      <c r="L25" s="42"/>
      <c r="M25" s="42" t="str">
        <f>IF(Setup!$E$4=8,"│","")</f>
        <v/>
      </c>
      <c r="N25" s="19"/>
      <c r="O25" s="19"/>
      <c r="P25" s="19"/>
      <c r="Q25" s="42"/>
      <c r="R25" s="42"/>
      <c r="S25" s="42"/>
      <c r="T25" s="19"/>
      <c r="U25" s="19"/>
      <c r="V25" s="19"/>
    </row>
    <row r="26" spans="1:22" ht="20.100000000000001" customHeight="1">
      <c r="A26" s="19"/>
      <c r="B26" s="25" t="str">
        <f>IF(Setup!$E$4=4,"SF 2","")</f>
        <v/>
      </c>
      <c r="C26" s="26"/>
      <c r="D26" s="27"/>
      <c r="E26" s="42"/>
      <c r="F26" s="42"/>
      <c r="G26" s="42" t="str">
        <f>IF(Setup!$E$4=4,"│",IF(Setup!$E$4=8,IF(OR(AND(ROW()&gt;8,ROW()&lt;16),AND(ROW()&gt;24,ROW()&lt;32)),"│",""),""))</f>
        <v/>
      </c>
      <c r="H26" s="25" t="str">
        <f>IF(Setup!$E$4=8,"SF 2","")</f>
        <v/>
      </c>
      <c r="I26" s="26"/>
      <c r="J26" s="27"/>
      <c r="K26" s="42"/>
      <c r="L26" s="42"/>
      <c r="M26" s="42" t="str">
        <f>IF(Setup!$E$4=8,"│","")</f>
        <v/>
      </c>
      <c r="N26" s="19"/>
      <c r="O26" s="19"/>
      <c r="P26" s="19"/>
      <c r="Q26" s="42"/>
      <c r="R26" s="42"/>
      <c r="S26" s="42"/>
      <c r="T26" s="19"/>
      <c r="U26" s="19"/>
      <c r="V26" s="19"/>
    </row>
    <row r="27" spans="1:22" ht="20.100000000000001" customHeight="1">
      <c r="A27" s="19"/>
      <c r="B27" s="28" t="str">
        <f>IF(Setup!$E$4=4,Finals!C20,"")</f>
        <v/>
      </c>
      <c r="C27" s="29"/>
      <c r="D27" s="30" t="str">
        <f>IF(Setup!$E$4=4,IFERROR(IF(ISNUMBER(Finals!D20),Finals!D20,""),""),"")</f>
        <v/>
      </c>
      <c r="E27" s="42"/>
      <c r="F27" s="42"/>
      <c r="G27" s="42" t="str">
        <f>IF(Setup!$E$4=4,"│",IF(Setup!$E$4=8,IF(OR(AND(ROW()&gt;8,ROW()&lt;16),AND(ROW()&gt;24,ROW()&lt;32)),"│",""),""))</f>
        <v/>
      </c>
      <c r="H27" s="28" t="str">
        <f>IF(Setup!$E$4=8,Finals!C20,"")</f>
        <v/>
      </c>
      <c r="I27" s="29"/>
      <c r="J27" s="30" t="str">
        <f>IF(Setup!$E$4=8,IFERROR(IF(ISNUMBER(Finals!D20),Finals!D20,""),""),"")</f>
        <v/>
      </c>
      <c r="K27" s="42"/>
      <c r="L27" s="42"/>
      <c r="M27" s="42" t="str">
        <f>IF(Setup!$E$4=8,"│","")</f>
        <v/>
      </c>
      <c r="N27" s="19"/>
      <c r="O27" s="19"/>
      <c r="P27" s="19"/>
      <c r="Q27" s="42"/>
      <c r="R27" s="42"/>
      <c r="S27" s="42"/>
      <c r="T27" s="19"/>
      <c r="U27" s="19"/>
      <c r="V27" s="19"/>
    </row>
    <row r="28" spans="1:22" ht="20.100000000000001" customHeight="1">
      <c r="A28" s="19"/>
      <c r="B28" s="28" t="str">
        <f>IF(Setup!$E$4=4,Finals!E20,"")</f>
        <v/>
      </c>
      <c r="C28" s="29"/>
      <c r="D28" s="30" t="str">
        <f>IF(Setup!$E$4=4,IFERROR(IF(ISNUMBER(Finals!F20),Finals!F20,""),""),"")</f>
        <v/>
      </c>
      <c r="E28" s="42" t="str">
        <f>IF(Setup!$E$4=4,"────",IF(Setup!$E$4=8,"────",""))</f>
        <v/>
      </c>
      <c r="F28" s="42" t="str">
        <f>IF(Setup!$E$4=4,"────",IF(Setup!$E$4=8,"────",""))</f>
        <v/>
      </c>
      <c r="G28" s="42" t="str">
        <f>IF(Setup!$E$4=4,"┘",IF(Setup!$E$4=8,"├──",""))</f>
        <v/>
      </c>
      <c r="H28" s="28" t="str">
        <f>IF(Setup!$E$4=8,Finals!E20,"")</f>
        <v/>
      </c>
      <c r="I28" s="29"/>
      <c r="J28" s="30" t="str">
        <f>IF(Setup!$E$4=8,IFERROR(IF(ISNUMBER(Finals!F20),Finals!F20,""),""),"")</f>
        <v/>
      </c>
      <c r="K28" s="42" t="str">
        <f>IF(Setup!$E$4=8,"────","")</f>
        <v/>
      </c>
      <c r="L28" s="42" t="str">
        <f>IF(Setup!$E$4=8,"────","")</f>
        <v/>
      </c>
      <c r="M28" s="42" t="str">
        <f>IF(Setup!$E$4=8,"┘","")</f>
        <v/>
      </c>
      <c r="N28" s="19"/>
      <c r="O28" s="19"/>
      <c r="P28" s="19"/>
      <c r="Q28" s="42"/>
      <c r="R28" s="42"/>
      <c r="S28" s="42"/>
      <c r="T28" s="19"/>
      <c r="U28" s="19"/>
      <c r="V28" s="19"/>
    </row>
    <row r="29" spans="1:22" ht="20.100000000000001" customHeight="1">
      <c r="A29" s="19"/>
      <c r="B29" s="19"/>
      <c r="C29" s="19"/>
      <c r="D29" s="19"/>
      <c r="E29" s="42"/>
      <c r="F29" s="42"/>
      <c r="G29" s="42" t="str">
        <f>IF(Setup!$E$4=8,"│","")</f>
        <v/>
      </c>
      <c r="H29" s="19"/>
      <c r="I29" s="19"/>
      <c r="J29" s="19"/>
      <c r="K29" s="42"/>
      <c r="L29" s="42"/>
      <c r="M29" s="42"/>
      <c r="N29" s="19"/>
      <c r="O29" s="19"/>
      <c r="P29" s="19"/>
      <c r="Q29" s="42"/>
      <c r="R29" s="42"/>
      <c r="S29" s="42"/>
      <c r="T29" s="19"/>
      <c r="U29" s="19"/>
      <c r="V29" s="19"/>
    </row>
    <row r="30" spans="1:22" ht="20.100000000000001" customHeight="1">
      <c r="A30" s="19"/>
      <c r="B30" s="25" t="str">
        <f>IF(Setup!$E$4=8,"QF 4","")</f>
        <v/>
      </c>
      <c r="C30" s="26"/>
      <c r="D30" s="27"/>
      <c r="E30" s="42"/>
      <c r="F30" s="42"/>
      <c r="G30" s="42" t="str">
        <f>IF(Setup!$E$4=8,"│","")</f>
        <v/>
      </c>
      <c r="H30" s="19"/>
      <c r="I30" s="19"/>
      <c r="J30" s="19"/>
      <c r="K30" s="42"/>
      <c r="L30" s="42"/>
      <c r="M30" s="42"/>
      <c r="N30" s="19"/>
      <c r="O30" s="19"/>
      <c r="P30" s="19"/>
      <c r="Q30" s="42"/>
      <c r="R30" s="42"/>
      <c r="S30" s="42"/>
      <c r="T30" s="19"/>
      <c r="U30" s="19"/>
      <c r="V30" s="19"/>
    </row>
    <row r="31" spans="1:22" ht="20.100000000000001" customHeight="1">
      <c r="A31" s="19"/>
      <c r="B31" s="28" t="str">
        <f>IF(Setup!$E$4=8,Finals!C17,"")</f>
        <v/>
      </c>
      <c r="C31" s="29"/>
      <c r="D31" s="30" t="str">
        <f>IF(Setup!$E$4=8,IFERROR(IF(ISNUMBER(Finals!D17),Finals!D17,""),""),"")</f>
        <v/>
      </c>
      <c r="E31" s="42"/>
      <c r="F31" s="42"/>
      <c r="G31" s="42" t="str">
        <f>IF(Setup!$E$4=8,"│","")</f>
        <v/>
      </c>
      <c r="H31" s="19"/>
      <c r="I31" s="19"/>
      <c r="J31" s="19"/>
      <c r="K31" s="42"/>
      <c r="L31" s="42"/>
      <c r="M31" s="42"/>
      <c r="N31" s="19"/>
      <c r="O31" s="19"/>
      <c r="P31" s="19"/>
      <c r="Q31" s="42"/>
      <c r="R31" s="42"/>
      <c r="S31" s="42"/>
      <c r="T31" s="19"/>
      <c r="U31" s="19"/>
      <c r="V31" s="19"/>
    </row>
    <row r="32" spans="1:22" ht="20.100000000000001" customHeight="1">
      <c r="A32" s="19"/>
      <c r="B32" s="28" t="str">
        <f>IF(Setup!$E$4=8,Finals!E17,"")</f>
        <v/>
      </c>
      <c r="C32" s="29"/>
      <c r="D32" s="30" t="str">
        <f>IF(Setup!$E$4=8,IFERROR(IF(ISNUMBER(Finals!F17),Finals!F17,""),""),"")</f>
        <v/>
      </c>
      <c r="E32" s="42" t="str">
        <f>IF(Setup!$E$4=8,"────","")</f>
        <v/>
      </c>
      <c r="F32" s="42" t="str">
        <f>IF(Setup!$E$4=8,"────","")</f>
        <v/>
      </c>
      <c r="G32" s="42" t="str">
        <f>IF(Setup!$E$4=8,"┘","")</f>
        <v/>
      </c>
      <c r="H32" s="19"/>
      <c r="I32" s="19"/>
      <c r="J32" s="19"/>
      <c r="K32" s="42"/>
      <c r="L32" s="42"/>
      <c r="M32" s="42"/>
      <c r="N32" s="19"/>
      <c r="O32" s="19"/>
      <c r="P32" s="19"/>
      <c r="Q32" s="42"/>
      <c r="R32" s="42"/>
      <c r="S32" s="42"/>
      <c r="T32" s="19"/>
      <c r="U32" s="19"/>
      <c r="V32" s="19"/>
    </row>
    <row r="33" spans="1:22" ht="20.100000000000001" customHeight="1">
      <c r="A33" s="19"/>
      <c r="B33" s="19"/>
      <c r="C33" s="19"/>
      <c r="D33" s="19"/>
      <c r="E33" s="42"/>
      <c r="F33" s="42"/>
      <c r="G33" s="42"/>
      <c r="H33" s="19"/>
      <c r="I33" s="19"/>
      <c r="J33" s="19"/>
      <c r="K33" s="42"/>
      <c r="L33" s="42"/>
      <c r="M33" s="42"/>
      <c r="N33" s="19"/>
      <c r="O33" s="19"/>
      <c r="P33" s="19"/>
      <c r="Q33" s="42"/>
      <c r="R33" s="42"/>
      <c r="S33" s="42"/>
      <c r="T33" s="19"/>
      <c r="U33" s="19"/>
      <c r="V33" s="19"/>
    </row>
    <row r="34" spans="1:22" ht="20.100000000000001" customHeight="1">
      <c r="A34" s="19"/>
      <c r="B34" s="19"/>
      <c r="C34" s="19"/>
      <c r="D34" s="19"/>
      <c r="E34" s="42"/>
      <c r="F34" s="42"/>
      <c r="G34" s="42"/>
      <c r="H34" s="19"/>
      <c r="I34" s="19"/>
      <c r="J34" s="19"/>
      <c r="K34" s="42"/>
      <c r="L34" s="42"/>
      <c r="M34" s="42"/>
      <c r="N34" s="19"/>
      <c r="O34" s="19"/>
      <c r="P34" s="19"/>
      <c r="Q34" s="42"/>
      <c r="R34" s="42"/>
      <c r="S34" s="42"/>
      <c r="T34" s="19"/>
      <c r="U34" s="19"/>
      <c r="V34" s="19"/>
    </row>
    <row r="35" spans="1:22" ht="20.100000000000001" customHeight="1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</row>
    <row r="36" spans="1:22" ht="20.100000000000001" customHeight="1">
      <c r="A36" s="19"/>
      <c r="B36" s="19"/>
      <c r="C36" s="19"/>
      <c r="D36" s="19"/>
      <c r="E36" s="19"/>
      <c r="F36" s="19"/>
      <c r="G36" s="19"/>
      <c r="H36" s="35" t="str">
        <f>IF(Setup!$E$6="Yes","THIRD-PLACE PLAYOFF","")</f>
        <v/>
      </c>
      <c r="I36" s="36"/>
      <c r="J36" s="37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</row>
    <row r="37" spans="1:22" ht="20.100000000000001" customHeight="1">
      <c r="A37" s="19"/>
      <c r="B37" s="19"/>
      <c r="C37" s="19"/>
      <c r="D37" s="19"/>
      <c r="E37" s="19"/>
      <c r="F37" s="19"/>
      <c r="G37" s="19"/>
      <c r="H37" s="28" t="str">
        <f>IF(Setup!$E$6="Yes",Finals!C24,"")</f>
        <v/>
      </c>
      <c r="I37" s="29"/>
      <c r="J37" s="30" t="str">
        <f>IF(Setup!$E$6="Yes",IFERROR(IF(ISNUMBER(Finals!D24),Finals!D24,""),""),"")</f>
        <v/>
      </c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</row>
    <row r="38" spans="1:22" ht="20.100000000000001" customHeight="1">
      <c r="A38" s="19"/>
      <c r="B38" s="19"/>
      <c r="C38" s="19"/>
      <c r="D38" s="19"/>
      <c r="E38" s="19"/>
      <c r="F38" s="19"/>
      <c r="G38" s="19"/>
      <c r="H38" s="28" t="str">
        <f>IF(Setup!$E$6="Yes",Finals!E24,"")</f>
        <v/>
      </c>
      <c r="I38" s="29"/>
      <c r="J38" s="30" t="str">
        <f>IF(Setup!$E$6="Yes",IFERROR(IF(ISNUMBER(Finals!F24),Finals!F24,""),""),"")</f>
        <v/>
      </c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</row>
    <row r="39" spans="1:22" ht="20.100000000000001" customHeight="1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</row>
    <row r="40" spans="1:22" ht="20.100000000000001" customHeight="1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</row>
    <row r="41" spans="1:22" ht="20.100000000000001" customHeight="1">
      <c r="A41" s="40"/>
      <c r="B41" s="51" t="s">
        <v>399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</row>
    <row r="42" spans="1:22" ht="20.100000000000001" customHeight="1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0000000-000E-0000-0800-000002000000}">
            <xm:f>Setup!$E$4=4</xm:f>
            <x14:dxf>
              <font>
                <color rgb="FFFFFFFF"/>
              </font>
              <fill>
                <patternFill>
                  <bgColor rgb="FFFFFFFF"/>
                </patternFill>
              </fill>
            </x14:dxf>
          </x14:cfRule>
          <xm:sqref>B6:D8</xm:sqref>
        </x14:conditionalFormatting>
        <x14:conditionalFormatting xmlns:xm="http://schemas.microsoft.com/office/excel/2006/main">
          <x14:cfRule type="expression" priority="9" id="{00000000-000E-0000-0800-000009000000}">
            <xm:f>Setup!$E$4=8</xm:f>
            <x14:dxf>
              <font>
                <color rgb="FFFFFFFF"/>
              </font>
              <fill>
                <patternFill>
                  <bgColor rgb="FFFFFFFF"/>
                </patternFill>
              </fill>
            </x14:dxf>
          </x14:cfRule>
          <xm:sqref>B10:D12</xm:sqref>
        </x14:conditionalFormatting>
        <x14:conditionalFormatting xmlns:xm="http://schemas.microsoft.com/office/excel/2006/main">
          <x14:cfRule type="expression" priority="3" id="{00000000-000E-0000-0800-000003000000}">
            <xm:f>Setup!$E$4=4</xm:f>
            <x14:dxf>
              <font>
                <color rgb="FFFFFFFF"/>
              </font>
              <fill>
                <patternFill>
                  <bgColor rgb="FFFFFFFF"/>
                </patternFill>
              </fill>
            </x14:dxf>
          </x14:cfRule>
          <xm:sqref>B14:D16</xm:sqref>
        </x14:conditionalFormatting>
        <x14:conditionalFormatting xmlns:xm="http://schemas.microsoft.com/office/excel/2006/main">
          <x14:cfRule type="expression" priority="4" id="{00000000-000E-0000-0800-000004000000}">
            <xm:f>Setup!$E$4=4</xm:f>
            <x14:dxf>
              <font>
                <color rgb="FFFFFFFF"/>
              </font>
              <fill>
                <patternFill>
                  <bgColor rgb="FFFFFFFF"/>
                </patternFill>
              </fill>
            </x14:dxf>
          </x14:cfRule>
          <xm:sqref>B22:D24</xm:sqref>
        </x14:conditionalFormatting>
        <x14:conditionalFormatting xmlns:xm="http://schemas.microsoft.com/office/excel/2006/main">
          <x14:cfRule type="expression" priority="10" id="{00000000-000E-0000-0800-00000A000000}">
            <xm:f>Setup!$E$4=8</xm:f>
            <x14:dxf>
              <font>
                <color rgb="FFFFFFFF"/>
              </font>
              <fill>
                <patternFill>
                  <bgColor rgb="FFFFFFFF"/>
                </patternFill>
              </fill>
            </x14:dxf>
          </x14:cfRule>
          <xm:sqref>B26:D28</xm:sqref>
        </x14:conditionalFormatting>
        <x14:conditionalFormatting xmlns:xm="http://schemas.microsoft.com/office/excel/2006/main">
          <x14:cfRule type="expression" priority="5" id="{00000000-000E-0000-0800-000005000000}">
            <xm:f>Setup!$E$4=4</xm:f>
            <x14:dxf>
              <font>
                <color rgb="FFFFFFFF"/>
              </font>
              <fill>
                <patternFill>
                  <bgColor rgb="FFFFFFFF"/>
                </patternFill>
              </fill>
            </x14:dxf>
          </x14:cfRule>
          <xm:sqref>B30:D32</xm:sqref>
        </x14:conditionalFormatting>
        <x14:conditionalFormatting xmlns:xm="http://schemas.microsoft.com/office/excel/2006/main">
          <x14:cfRule type="expression" priority="6" id="{00000000-000E-0000-0800-000006000000}">
            <xm:f>Setup!$E$4=4</xm:f>
            <x14:dxf>
              <font>
                <color rgb="FFFFFFFF"/>
              </font>
              <fill>
                <patternFill>
                  <bgColor rgb="FFFFFFFF"/>
                </patternFill>
              </fill>
            </x14:dxf>
          </x14:cfRule>
          <xm:sqref>H10:J12</xm:sqref>
        </x14:conditionalFormatting>
        <x14:conditionalFormatting xmlns:xm="http://schemas.microsoft.com/office/excel/2006/main">
          <x14:cfRule type="expression" priority="11" id="{00000000-000E-0000-0800-00000B000000}">
            <xm:f>Setup!$E$4=8</xm:f>
            <x14:dxf>
              <font>
                <color rgb="FFFFFFFF"/>
              </font>
              <fill>
                <patternFill>
                  <bgColor rgb="FFFFFFFF"/>
                </patternFill>
              </fill>
            </x14:dxf>
          </x14:cfRule>
          <xm:sqref>H18:J20</xm:sqref>
        </x14:conditionalFormatting>
        <x14:conditionalFormatting xmlns:xm="http://schemas.microsoft.com/office/excel/2006/main">
          <x14:cfRule type="expression" priority="7" id="{00000000-000E-0000-0800-000007000000}">
            <xm:f>Setup!$E$4=4</xm:f>
            <x14:dxf>
              <font>
                <color rgb="FFFFFFFF"/>
              </font>
              <fill>
                <patternFill>
                  <bgColor rgb="FFFFFFFF"/>
                </patternFill>
              </fill>
            </x14:dxf>
          </x14:cfRule>
          <xm:sqref>H26:J28</xm:sqref>
        </x14:conditionalFormatting>
        <x14:conditionalFormatting xmlns:xm="http://schemas.microsoft.com/office/excel/2006/main">
          <x14:cfRule type="expression" priority="1" id="{00000000-000E-0000-0800-000001000000}">
            <xm:f>Setup!$E$4=4</xm:f>
            <x14:dxf>
              <font>
                <b/>
              </font>
              <fill>
                <patternFill>
                  <bgColor rgb="FFE2F0D9"/>
                </patternFill>
              </fill>
            </x14:dxf>
          </x14:cfRule>
          <xm:sqref>N18:P20</xm:sqref>
        </x14:conditionalFormatting>
        <x14:conditionalFormatting xmlns:xm="http://schemas.microsoft.com/office/excel/2006/main">
          <x14:cfRule type="expression" priority="8" id="{00000000-000E-0000-0800-000008000000}">
            <xm:f>Setup!$E$4=4</xm:f>
            <x14:dxf>
              <font>
                <color rgb="FFFFFFFF"/>
              </font>
              <fill>
                <patternFill>
                  <bgColor rgb="FFFFFFFF"/>
                </patternFill>
              </fill>
            </x14:dxf>
          </x14:cfRule>
          <xm:sqref>T18:V20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280"/>
  <sheetViews>
    <sheetView workbookViewId="0">
      <selection activeCell="F25" sqref="F25"/>
    </sheetView>
  </sheetViews>
  <sheetFormatPr defaultRowHeight="14.25"/>
  <cols>
    <col min="1" max="1" width="11.75" customWidth="1"/>
    <col min="2" max="2" width="19" customWidth="1"/>
    <col min="3" max="3" width="8" style="8" customWidth="1"/>
    <col min="4" max="4" width="2" customWidth="1"/>
    <col min="5" max="5" width="7" style="8" customWidth="1"/>
    <col min="6" max="6" width="19" customWidth="1"/>
    <col min="7" max="7" width="8" style="8" customWidth="1"/>
    <col min="8" max="8" width="2" customWidth="1"/>
    <col min="9" max="9" width="9.5" customWidth="1"/>
    <col min="10" max="10" width="15.75" customWidth="1"/>
    <col min="11" max="11" width="10.375" customWidth="1"/>
    <col min="12" max="12" width="8" customWidth="1"/>
    <col min="13" max="13" width="9.875" style="92" customWidth="1"/>
    <col min="14" max="14" width="16" customWidth="1"/>
    <col min="15" max="15" width="9.625" style="92" customWidth="1"/>
  </cols>
  <sheetData>
    <row r="1" spans="1:15" ht="23.25">
      <c r="A1" s="55"/>
      <c r="B1" s="56" t="s">
        <v>400</v>
      </c>
      <c r="C1" s="93"/>
      <c r="D1" s="57"/>
      <c r="E1" s="93"/>
      <c r="F1" s="57"/>
      <c r="G1" s="93"/>
      <c r="H1" s="57"/>
      <c r="I1" s="57"/>
      <c r="J1" s="57"/>
      <c r="K1" s="57"/>
      <c r="L1" s="57"/>
      <c r="M1" s="93"/>
      <c r="N1" s="57"/>
      <c r="O1" s="93"/>
    </row>
    <row r="2" spans="1:15" ht="15">
      <c r="A2" s="58"/>
      <c r="B2" s="60" t="str">
        <f>"Competition: "&amp;Setup!$B$3&amp;"   |   "&amp;Setup!$B$5&amp;" pools × "&amp;Setup!$B$6&amp;" teams   |   "&amp;Setup!$B$7&amp;" qualifier(s) per pool"</f>
        <v>Competition:    |   8 pools × 8 teams   |   2 qualifier(s) per pool</v>
      </c>
      <c r="C2" s="94"/>
      <c r="D2" s="59"/>
      <c r="E2" s="94"/>
      <c r="F2" s="59"/>
      <c r="G2" s="94"/>
      <c r="H2" s="59"/>
      <c r="I2" s="59"/>
      <c r="J2" s="59"/>
      <c r="K2" s="59"/>
      <c r="L2" s="59"/>
      <c r="M2" s="94"/>
      <c r="N2" s="59"/>
      <c r="O2" s="94"/>
    </row>
    <row r="3" spans="1:15">
      <c r="A3" s="19"/>
      <c r="B3" s="74" t="s">
        <v>401</v>
      </c>
      <c r="D3" s="6"/>
      <c r="F3" s="6"/>
      <c r="H3" s="6"/>
      <c r="I3" s="6"/>
      <c r="J3" s="6"/>
      <c r="K3" s="6"/>
      <c r="L3" s="6"/>
      <c r="M3" s="8"/>
      <c r="N3" s="6"/>
      <c r="O3" s="8"/>
    </row>
    <row r="4" spans="1:15" ht="18">
      <c r="A4" s="61" t="s">
        <v>402</v>
      </c>
      <c r="B4" s="61"/>
      <c r="C4" s="95">
        <f>Setup!$B$3</f>
        <v>0</v>
      </c>
      <c r="D4" s="6"/>
      <c r="F4" s="6"/>
      <c r="H4" s="19"/>
      <c r="I4" s="60" t="s">
        <v>403</v>
      </c>
      <c r="J4" s="61"/>
      <c r="K4" s="53" t="str">
        <f>IF(OR(Finals!D22="",Finals!F22=""),"TBD",IF(Finals!D22&gt;Finals!F22,Finals!C22,IF(Finals!F22&gt;Finals!D22,Finals!E22,"TIE - resolve")))</f>
        <v>TBD</v>
      </c>
      <c r="L4" s="48"/>
      <c r="M4" s="106"/>
      <c r="N4" s="48"/>
      <c r="O4" s="106"/>
    </row>
    <row r="5" spans="1:15" ht="30">
      <c r="A5" s="61" t="s">
        <v>404</v>
      </c>
      <c r="B5" s="61"/>
      <c r="C5" s="8">
        <f>Setup!$B$5*Setup!$B$15</f>
        <v>224</v>
      </c>
      <c r="D5" s="6"/>
      <c r="F5" s="6"/>
      <c r="H5" s="19"/>
      <c r="I5" s="60" t="s">
        <v>405</v>
      </c>
      <c r="J5" s="61"/>
      <c r="K5" s="6" t="str">
        <f>IF(OR(Finals!D22="",Finals!F22=""),"TBD",IF(Finals!D22&lt;Finals!F22,Finals!C22,IF(Finals!F22&lt;Finals!D22,Finals!E22,"TIE - resolve")))</f>
        <v>TBD</v>
      </c>
      <c r="L5" s="6"/>
      <c r="M5" s="8"/>
      <c r="N5" s="6"/>
      <c r="O5" s="8"/>
    </row>
    <row r="6" spans="1:15" ht="15">
      <c r="A6" s="61" t="s">
        <v>406</v>
      </c>
      <c r="B6" s="61"/>
      <c r="C6" s="8">
        <f>COUNTIF(Scores!$Q$4:$Q$227,"Complete")</f>
        <v>0</v>
      </c>
      <c r="D6" s="6"/>
      <c r="F6" s="6"/>
      <c r="H6" s="19"/>
      <c r="I6" s="60" t="s">
        <v>407</v>
      </c>
      <c r="J6" s="61"/>
      <c r="K6" s="6" t="str">
        <f>IF(Setup!$E$6&lt;&gt;"Yes","Not played",IF(OR(Finals!D24="",Finals!F24=""),"TBD",IF(Finals!D24&gt;Finals!F24,Finals!C24,IF(Finals!F24&gt;Finals!D24,Finals!E24,"TIE - resolve"))))</f>
        <v>Not played</v>
      </c>
      <c r="L6" s="6"/>
      <c r="M6" s="8"/>
      <c r="N6" s="6"/>
      <c r="O6" s="8"/>
    </row>
    <row r="7" spans="1:15" ht="15">
      <c r="A7" s="61" t="s">
        <v>31</v>
      </c>
      <c r="B7" s="61"/>
      <c r="C7" s="8">
        <f>Setup!$E$4</f>
        <v>16</v>
      </c>
      <c r="D7" s="6"/>
      <c r="F7" s="6"/>
      <c r="H7" s="19"/>
      <c r="I7" s="60" t="s">
        <v>408</v>
      </c>
      <c r="J7" s="61"/>
      <c r="K7" s="6" t="str">
        <f>COUNTIF(Scores!$Q$4:$Q$227,"Complete")&amp;" / "&amp;(Setup!$B$5*Setup!$B$15)&amp;" complete"</f>
        <v>0 / 224 complete</v>
      </c>
      <c r="L7" s="6"/>
      <c r="M7" s="8"/>
      <c r="N7" s="6"/>
      <c r="O7" s="8"/>
    </row>
    <row r="8" spans="1:15" ht="30">
      <c r="A8" s="61" t="s">
        <v>409</v>
      </c>
      <c r="B8" s="61"/>
      <c r="C8" s="8" t="str">
        <f>Setup!$E$5</f>
        <v>Round of 16 + Quarter-finals + Semi-finals + Final</v>
      </c>
      <c r="D8" s="6"/>
      <c r="F8" s="6"/>
      <c r="H8" s="19"/>
      <c r="I8" s="60" t="s">
        <v>410</v>
      </c>
      <c r="J8" s="61"/>
      <c r="K8" s="6" t="str">
        <f>IF(Finals!G22="Complete","Complete","In progress")</f>
        <v>In progress</v>
      </c>
      <c r="L8" s="6"/>
      <c r="M8" s="8"/>
      <c r="N8" s="6"/>
      <c r="O8" s="8"/>
    </row>
    <row r="9" spans="1:15">
      <c r="A9" s="19"/>
      <c r="B9" s="19"/>
      <c r="C9" s="96"/>
      <c r="D9" s="19"/>
      <c r="E9" s="96"/>
      <c r="F9" s="19"/>
      <c r="G9" s="96"/>
      <c r="H9" s="19"/>
      <c r="I9" s="19"/>
      <c r="J9" s="19"/>
      <c r="K9" s="19"/>
      <c r="L9" s="19"/>
      <c r="M9" s="96"/>
      <c r="N9" s="19"/>
      <c r="O9" s="96"/>
    </row>
    <row r="10" spans="1:15" ht="31.5">
      <c r="A10" s="62"/>
      <c r="B10" s="62" t="s">
        <v>411</v>
      </c>
      <c r="C10" s="97"/>
      <c r="D10" s="63"/>
      <c r="E10" s="97"/>
      <c r="F10" s="63"/>
      <c r="G10" s="97"/>
      <c r="H10" s="63"/>
      <c r="I10" s="63"/>
      <c r="J10" s="63"/>
      <c r="K10" s="63"/>
      <c r="L10" s="63"/>
      <c r="M10" s="97"/>
      <c r="N10" s="63"/>
      <c r="O10" s="97"/>
    </row>
    <row r="11" spans="1:15">
      <c r="A11" s="19"/>
      <c r="B11" s="19"/>
      <c r="C11" s="96"/>
      <c r="D11" s="19"/>
      <c r="E11" s="96"/>
      <c r="F11" s="19"/>
      <c r="G11" s="96"/>
      <c r="H11" s="19"/>
      <c r="I11" s="19"/>
      <c r="J11" s="19"/>
      <c r="K11" s="19"/>
      <c r="L11" s="19"/>
      <c r="M11" s="96"/>
      <c r="N11" s="19"/>
      <c r="O11" s="96"/>
    </row>
    <row r="12" spans="1:15" ht="15">
      <c r="A12" s="61" t="str">
        <f>IF(Setup!$B$5&gt;=1,"Pool A","")</f>
        <v>Pool A</v>
      </c>
      <c r="B12" s="58"/>
      <c r="C12" s="98"/>
      <c r="D12" s="47"/>
      <c r="E12" s="105" t="str">
        <f>IF(Setup!$B$5&gt;=2,"Pool B","")</f>
        <v>Pool B</v>
      </c>
      <c r="F12" s="58"/>
      <c r="G12" s="98"/>
      <c r="H12" s="19"/>
      <c r="I12" s="105" t="str">
        <f>IF(Setup!$B$5&gt;=3,"Pool C","")</f>
        <v>Pool C</v>
      </c>
      <c r="J12" s="58"/>
      <c r="K12" s="98"/>
      <c r="L12" s="47"/>
      <c r="M12" s="105" t="str">
        <f>IF(Setup!$B$5&gt;=4,"Pool D","")</f>
        <v>Pool D</v>
      </c>
      <c r="N12" s="58"/>
      <c r="O12" s="98"/>
    </row>
    <row r="13" spans="1:15" ht="15">
      <c r="A13" s="64" t="str">
        <f>IF(Setup!$B$5&gt;=1,"Pos","")</f>
        <v>Pos</v>
      </c>
      <c r="B13" s="64" t="str">
        <f>IF(Setup!$B$5&gt;=1,"Team","")</f>
        <v>Team</v>
      </c>
      <c r="C13" s="99" t="str">
        <f>IF(Setup!$B$5&gt;=1,"Pts","")</f>
        <v>Pts</v>
      </c>
      <c r="D13" s="54"/>
      <c r="E13" s="99" t="str">
        <f>IF(Setup!$B$5&gt;=2,"Pos","")</f>
        <v>Pos</v>
      </c>
      <c r="F13" s="64" t="str">
        <f>IF(Setup!$B$5&gt;=2,"Team","")</f>
        <v>Team</v>
      </c>
      <c r="G13" s="99" t="str">
        <f>IF(Setup!$B$5&gt;=2,"Pts","")</f>
        <v>Pts</v>
      </c>
      <c r="H13" s="19"/>
      <c r="I13" s="99" t="str">
        <f>IF(Setup!$B$5&gt;=3,"Pos","")</f>
        <v>Pos</v>
      </c>
      <c r="J13" s="64" t="str">
        <f>IF(Setup!$B$5&gt;=3,"Team","")</f>
        <v>Team</v>
      </c>
      <c r="K13" s="99" t="str">
        <f>IF(Setup!$B$5&gt;=3,"Pts","")</f>
        <v>Pts</v>
      </c>
      <c r="L13" s="54"/>
      <c r="M13" s="99" t="str">
        <f>IF(Setup!$B$5&gt;=4,"Pos","")</f>
        <v>Pos</v>
      </c>
      <c r="N13" s="64" t="str">
        <f>IF(Setup!$B$5&gt;=4,"Team","")</f>
        <v>Team</v>
      </c>
      <c r="O13" s="99" t="str">
        <f>IF(Setup!$B$5&gt;=4,"Pts","")</f>
        <v>Pts</v>
      </c>
    </row>
    <row r="14" spans="1:15" ht="30">
      <c r="A14" s="19">
        <f>IF(IFERROR(INDEX(Calculations!$C$4:$C$67,MATCH("A-1",Calculations!$Q$4:$Q$67,0)),"")="","",1)</f>
        <v>1</v>
      </c>
      <c r="B14" s="19" t="str">
        <f>IFERROR(INDEX(Calculations!$C$4:$C$67,MATCH("A-1",Calculations!$Q$4:$Q$67,0)),"")</f>
        <v>Team A1</v>
      </c>
      <c r="C14" s="96">
        <f>IFERROR(INDEX(Calculations!$N$4:$N$67,MATCH("A-1",Calculations!$Q$4:$Q$67,0)),"")</f>
        <v>0</v>
      </c>
      <c r="D14" s="19"/>
      <c r="E14" s="96">
        <f>IF(IFERROR(INDEX(Calculations!$C$4:$C$67,MATCH("B-1",Calculations!$Q$4:$Q$67,0)),"")="","",1)</f>
        <v>1</v>
      </c>
      <c r="F14" s="19" t="str">
        <f>IFERROR(INDEX(Calculations!$C$4:$C$67,MATCH("B-1",Calculations!$Q$4:$Q$67,0)),"")</f>
        <v>Team B1</v>
      </c>
      <c r="G14" s="96">
        <f>IFERROR(INDEX(Calculations!$N$4:$N$67,MATCH("B-1",Calculations!$Q$4:$Q$67,0)),"")</f>
        <v>0</v>
      </c>
      <c r="H14" s="19"/>
      <c r="I14" s="96">
        <f>IF(IFERROR(INDEX(Calculations!$C$4:$C$67,MATCH("C-1",Calculations!$Q$4:$Q$67,0)),"")="","",1)</f>
        <v>1</v>
      </c>
      <c r="J14" s="19" t="str">
        <f>IFERROR(INDEX(Calculations!$C$4:$C$67,MATCH("C-1",Calculations!$Q$4:$Q$67,0)),"")</f>
        <v>Team C1</v>
      </c>
      <c r="K14" s="96">
        <f>IFERROR(INDEX(Calculations!$N$4:$N$67,MATCH("C-1",Calculations!$Q$4:$Q$67,0)),"")</f>
        <v>0</v>
      </c>
      <c r="L14" s="19"/>
      <c r="M14" s="96">
        <f>IF(IFERROR(INDEX(Calculations!$C$4:$C$67,MATCH("D-1",Calculations!$Q$4:$Q$67,0)),"")="","",1)</f>
        <v>1</v>
      </c>
      <c r="N14" s="19" t="str">
        <f>IFERROR(INDEX(Calculations!$C$4:$C$67,MATCH("D-1",Calculations!$Q$4:$Q$67,0)),"")</f>
        <v>Team D1</v>
      </c>
      <c r="O14" s="96">
        <f>IFERROR(INDEX(Calculations!$N$4:$N$67,MATCH("D-1",Calculations!$Q$4:$Q$67,0)),"")</f>
        <v>0</v>
      </c>
    </row>
    <row r="15" spans="1:15" ht="30">
      <c r="A15" s="19">
        <f>IF(IFERROR(INDEX(Calculations!$C$4:$C$67,MATCH("A-2",Calculations!$Q$4:$Q$67,0)),"")="","",2)</f>
        <v>2</v>
      </c>
      <c r="B15" s="19" t="str">
        <f>IFERROR(INDEX(Calculations!$C$4:$C$67,MATCH("A-2",Calculations!$Q$4:$Q$67,0)),"")</f>
        <v>Team A2</v>
      </c>
      <c r="C15" s="96">
        <f>IFERROR(INDEX(Calculations!$N$4:$N$67,MATCH("A-2",Calculations!$Q$4:$Q$67,0)),"")</f>
        <v>0</v>
      </c>
      <c r="D15" s="19"/>
      <c r="E15" s="96">
        <f>IF(IFERROR(INDEX(Calculations!$C$4:$C$67,MATCH("B-2",Calculations!$Q$4:$Q$67,0)),"")="","",2)</f>
        <v>2</v>
      </c>
      <c r="F15" s="19" t="str">
        <f>IFERROR(INDEX(Calculations!$C$4:$C$67,MATCH("B-2",Calculations!$Q$4:$Q$67,0)),"")</f>
        <v>Team B2</v>
      </c>
      <c r="G15" s="96">
        <f>IFERROR(INDEX(Calculations!$N$4:$N$67,MATCH("B-2",Calculations!$Q$4:$Q$67,0)),"")</f>
        <v>0</v>
      </c>
      <c r="H15" s="19"/>
      <c r="I15" s="96">
        <f>IF(IFERROR(INDEX(Calculations!$C$4:$C$67,MATCH("C-2",Calculations!$Q$4:$Q$67,0)),"")="","",2)</f>
        <v>2</v>
      </c>
      <c r="J15" s="19" t="str">
        <f>IFERROR(INDEX(Calculations!$C$4:$C$67,MATCH("C-2",Calculations!$Q$4:$Q$67,0)),"")</f>
        <v>Team C2</v>
      </c>
      <c r="K15" s="96">
        <f>IFERROR(INDEX(Calculations!$N$4:$N$67,MATCH("C-2",Calculations!$Q$4:$Q$67,0)),"")</f>
        <v>0</v>
      </c>
      <c r="L15" s="19"/>
      <c r="M15" s="96">
        <f>IF(IFERROR(INDEX(Calculations!$C$4:$C$67,MATCH("D-2",Calculations!$Q$4:$Q$67,0)),"")="","",2)</f>
        <v>2</v>
      </c>
      <c r="N15" s="19" t="str">
        <f>IFERROR(INDEX(Calculations!$C$4:$C$67,MATCH("D-2",Calculations!$Q$4:$Q$67,0)),"")</f>
        <v>Team D2</v>
      </c>
      <c r="O15" s="96">
        <f>IFERROR(INDEX(Calculations!$N$4:$N$67,MATCH("D-2",Calculations!$Q$4:$Q$67,0)),"")</f>
        <v>0</v>
      </c>
    </row>
    <row r="16" spans="1:15" ht="28.5">
      <c r="A16" s="19">
        <f>IF(IFERROR(INDEX(Calculations!$C$4:$C$67,MATCH("A-3",Calculations!$Q$4:$Q$67,0)),"")="","",3)</f>
        <v>3</v>
      </c>
      <c r="B16" s="19" t="str">
        <f>IFERROR(INDEX(Calculations!$C$4:$C$67,MATCH("A-3",Calculations!$Q$4:$Q$67,0)),"")</f>
        <v>Team A3</v>
      </c>
      <c r="C16" s="96">
        <f>IFERROR(INDEX(Calculations!$N$4:$N$67,MATCH("A-3",Calculations!$Q$4:$Q$67,0)),"")</f>
        <v>0</v>
      </c>
      <c r="D16" s="19"/>
      <c r="E16" s="96">
        <f>IF(IFERROR(INDEX(Calculations!$C$4:$C$67,MATCH("B-3",Calculations!$Q$4:$Q$67,0)),"")="","",3)</f>
        <v>3</v>
      </c>
      <c r="F16" s="19" t="str">
        <f>IFERROR(INDEX(Calculations!$C$4:$C$67,MATCH("B-3",Calculations!$Q$4:$Q$67,0)),"")</f>
        <v>Team B3</v>
      </c>
      <c r="G16" s="96">
        <f>IFERROR(INDEX(Calculations!$N$4:$N$67,MATCH("B-3",Calculations!$Q$4:$Q$67,0)),"")</f>
        <v>0</v>
      </c>
      <c r="H16" s="19"/>
      <c r="I16" s="96">
        <f>IF(IFERROR(INDEX(Calculations!$C$4:$C$67,MATCH("C-3",Calculations!$Q$4:$Q$67,0)),"")="","",3)</f>
        <v>3</v>
      </c>
      <c r="J16" s="19" t="str">
        <f>IFERROR(INDEX(Calculations!$C$4:$C$67,MATCH("C-3",Calculations!$Q$4:$Q$67,0)),"")</f>
        <v>Team C3</v>
      </c>
      <c r="K16" s="96">
        <f>IFERROR(INDEX(Calculations!$N$4:$N$67,MATCH("C-3",Calculations!$Q$4:$Q$67,0)),"")</f>
        <v>0</v>
      </c>
      <c r="L16" s="19"/>
      <c r="M16" s="96">
        <f>IF(IFERROR(INDEX(Calculations!$C$4:$C$67,MATCH("D-3",Calculations!$Q$4:$Q$67,0)),"")="","",3)</f>
        <v>3</v>
      </c>
      <c r="N16" s="19" t="str">
        <f>IFERROR(INDEX(Calculations!$C$4:$C$67,MATCH("D-3",Calculations!$Q$4:$Q$67,0)),"")</f>
        <v>Team D3</v>
      </c>
      <c r="O16" s="96">
        <f>IFERROR(INDEX(Calculations!$N$4:$N$67,MATCH("D-3",Calculations!$Q$4:$Q$67,0)),"")</f>
        <v>0</v>
      </c>
    </row>
    <row r="17" spans="1:15" ht="28.5">
      <c r="A17" s="19">
        <f>IF(IFERROR(INDEX(Calculations!$C$4:$C$67,MATCH("A-4",Calculations!$Q$4:$Q$67,0)),"")="","",4)</f>
        <v>4</v>
      </c>
      <c r="B17" s="19" t="str">
        <f>IFERROR(INDEX(Calculations!$C$4:$C$67,MATCH("A-4",Calculations!$Q$4:$Q$67,0)),"")</f>
        <v>Team A4</v>
      </c>
      <c r="C17" s="96">
        <f>IFERROR(INDEX(Calculations!$N$4:$N$67,MATCH("A-4",Calculations!$Q$4:$Q$67,0)),"")</f>
        <v>0</v>
      </c>
      <c r="D17" s="19"/>
      <c r="E17" s="96">
        <f>IF(IFERROR(INDEX(Calculations!$C$4:$C$67,MATCH("B-4",Calculations!$Q$4:$Q$67,0)),"")="","",4)</f>
        <v>4</v>
      </c>
      <c r="F17" s="19" t="str">
        <f>IFERROR(INDEX(Calculations!$C$4:$C$67,MATCH("B-4",Calculations!$Q$4:$Q$67,0)),"")</f>
        <v>Team B4</v>
      </c>
      <c r="G17" s="96">
        <f>IFERROR(INDEX(Calculations!$N$4:$N$67,MATCH("B-4",Calculations!$Q$4:$Q$67,0)),"")</f>
        <v>0</v>
      </c>
      <c r="H17" s="19"/>
      <c r="I17" s="96">
        <f>IF(IFERROR(INDEX(Calculations!$C$4:$C$67,MATCH("C-4",Calculations!$Q$4:$Q$67,0)),"")="","",4)</f>
        <v>4</v>
      </c>
      <c r="J17" s="19" t="str">
        <f>IFERROR(INDEX(Calculations!$C$4:$C$67,MATCH("C-4",Calculations!$Q$4:$Q$67,0)),"")</f>
        <v>Team C4</v>
      </c>
      <c r="K17" s="96">
        <f>IFERROR(INDEX(Calculations!$N$4:$N$67,MATCH("C-4",Calculations!$Q$4:$Q$67,0)),"")</f>
        <v>0</v>
      </c>
      <c r="L17" s="19"/>
      <c r="M17" s="96">
        <f>IF(IFERROR(INDEX(Calculations!$C$4:$C$67,MATCH("D-4",Calculations!$Q$4:$Q$67,0)),"")="","",4)</f>
        <v>4</v>
      </c>
      <c r="N17" s="19" t="str">
        <f>IFERROR(INDEX(Calculations!$C$4:$C$67,MATCH("D-4",Calculations!$Q$4:$Q$67,0)),"")</f>
        <v>Team D4</v>
      </c>
      <c r="O17" s="96">
        <f>IFERROR(INDEX(Calculations!$N$4:$N$67,MATCH("D-4",Calculations!$Q$4:$Q$67,0)),"")</f>
        <v>0</v>
      </c>
    </row>
    <row r="18" spans="1:15">
      <c r="A18" s="19">
        <f>IF(IFERROR(INDEX(Calculations!$C$4:$C$67,MATCH("A-5",Calculations!$Q$4:$Q$67,0)),"")="","",5)</f>
        <v>5</v>
      </c>
      <c r="B18" s="19" t="str">
        <f>IFERROR(INDEX(Calculations!$C$4:$C$67,MATCH("A-5",Calculations!$Q$4:$Q$67,0)),"")</f>
        <v>Team A5</v>
      </c>
      <c r="C18" s="96">
        <f>IFERROR(INDEX(Calculations!$N$4:$N$67,MATCH("A-5",Calculations!$Q$4:$Q$67,0)),"")</f>
        <v>0</v>
      </c>
      <c r="D18" s="19"/>
      <c r="E18" s="96">
        <f>IF(IFERROR(INDEX(Calculations!$C$4:$C$67,MATCH("B-5",Calculations!$Q$4:$Q$67,0)),"")="","",5)</f>
        <v>5</v>
      </c>
      <c r="F18" s="19" t="str">
        <f>IFERROR(INDEX(Calculations!$C$4:$C$67,MATCH("B-5",Calculations!$Q$4:$Q$67,0)),"")</f>
        <v>Team B5</v>
      </c>
      <c r="G18" s="96">
        <f>IFERROR(INDEX(Calculations!$N$4:$N$67,MATCH("B-5",Calculations!$Q$4:$Q$67,0)),"")</f>
        <v>0</v>
      </c>
      <c r="H18" s="19"/>
      <c r="I18" s="19">
        <f>IF(IFERROR(INDEX(Calculations!$C$4:$C$67,MATCH("C-5",Calculations!$Q$4:$Q$67,0)),"")="","",5)</f>
        <v>5</v>
      </c>
      <c r="J18" s="19" t="str">
        <f>IFERROR(INDEX(Calculations!$C$4:$C$67,MATCH("C-5",Calculations!$Q$4:$Q$67,0)),"")</f>
        <v>Team C5</v>
      </c>
      <c r="K18" s="19">
        <f>IFERROR(INDEX(Calculations!$N$4:$N$67,MATCH("C-5",Calculations!$Q$4:$Q$67,0)),"")</f>
        <v>0</v>
      </c>
      <c r="L18" s="19"/>
      <c r="M18" s="96">
        <f>IF(IFERROR(INDEX(Calculations!$C$4:$C$67,MATCH("D-5",Calculations!$Q$4:$Q$67,0)),"")="","",5)</f>
        <v>5</v>
      </c>
      <c r="N18" s="19" t="str">
        <f>IFERROR(INDEX(Calculations!$C$4:$C$67,MATCH("D-5",Calculations!$Q$4:$Q$67,0)),"")</f>
        <v>Team D5</v>
      </c>
      <c r="O18" s="96">
        <f>IFERROR(INDEX(Calculations!$N$4:$N$67,MATCH("D-5",Calculations!$Q$4:$Q$67,0)),"")</f>
        <v>0</v>
      </c>
    </row>
    <row r="19" spans="1:15">
      <c r="A19" s="19">
        <f>IF(IFERROR(INDEX(Calculations!$C$4:$C$67,MATCH("A-6",Calculations!$Q$4:$Q$67,0)),"")="","",6)</f>
        <v>6</v>
      </c>
      <c r="B19" s="19" t="str">
        <f>IFERROR(INDEX(Calculations!$C$4:$C$67,MATCH("A-6",Calculations!$Q$4:$Q$67,0)),"")</f>
        <v>Team A6</v>
      </c>
      <c r="C19" s="96">
        <f>IFERROR(INDEX(Calculations!$N$4:$N$67,MATCH("A-6",Calculations!$Q$4:$Q$67,0)),"")</f>
        <v>0</v>
      </c>
      <c r="D19" s="19"/>
      <c r="E19" s="96">
        <f>IF(IFERROR(INDEX(Calculations!$C$4:$C$67,MATCH("B-6",Calculations!$Q$4:$Q$67,0)),"")="","",6)</f>
        <v>6</v>
      </c>
      <c r="F19" s="19" t="str">
        <f>IFERROR(INDEX(Calculations!$C$4:$C$67,MATCH("B-6",Calculations!$Q$4:$Q$67,0)),"")</f>
        <v>Team B6</v>
      </c>
      <c r="G19" s="96">
        <f>IFERROR(INDEX(Calculations!$N$4:$N$67,MATCH("B-6",Calculations!$Q$4:$Q$67,0)),"")</f>
        <v>0</v>
      </c>
      <c r="H19" s="19"/>
      <c r="I19" s="19">
        <f>IF(IFERROR(INDEX(Calculations!$C$4:$C$67,MATCH("C-6",Calculations!$Q$4:$Q$67,0)),"")="","",6)</f>
        <v>6</v>
      </c>
      <c r="J19" s="19" t="str">
        <f>IFERROR(INDEX(Calculations!$C$4:$C$67,MATCH("C-6",Calculations!$Q$4:$Q$67,0)),"")</f>
        <v>Team C6</v>
      </c>
      <c r="K19" s="19">
        <f>IFERROR(INDEX(Calculations!$N$4:$N$67,MATCH("C-6",Calculations!$Q$4:$Q$67,0)),"")</f>
        <v>0</v>
      </c>
      <c r="L19" s="19"/>
      <c r="M19" s="96">
        <f>IF(IFERROR(INDEX(Calculations!$C$4:$C$67,MATCH("D-6",Calculations!$Q$4:$Q$67,0)),"")="","",6)</f>
        <v>6</v>
      </c>
      <c r="N19" s="19" t="str">
        <f>IFERROR(INDEX(Calculations!$C$4:$C$67,MATCH("D-6",Calculations!$Q$4:$Q$67,0)),"")</f>
        <v>Team D6</v>
      </c>
      <c r="O19" s="96">
        <f>IFERROR(INDEX(Calculations!$N$4:$N$67,MATCH("D-6",Calculations!$Q$4:$Q$67,0)),"")</f>
        <v>0</v>
      </c>
    </row>
    <row r="20" spans="1:15">
      <c r="A20" s="19">
        <f>IF(IFERROR(INDEX(Calculations!$C$4:$C$67,MATCH("A-7",Calculations!$Q$4:$Q$67,0)),"")="","",7)</f>
        <v>7</v>
      </c>
      <c r="B20" s="19" t="str">
        <f>IFERROR(INDEX(Calculations!$C$4:$C$67,MATCH("A-7",Calculations!$Q$4:$Q$67,0)),"")</f>
        <v>Team A7</v>
      </c>
      <c r="C20" s="96">
        <f>IFERROR(INDEX(Calculations!$N$4:$N$67,MATCH("A-7",Calculations!$Q$4:$Q$67,0)),"")</f>
        <v>0</v>
      </c>
      <c r="D20" s="19"/>
      <c r="E20" s="96">
        <f>IF(IFERROR(INDEX(Calculations!$C$4:$C$67,MATCH("B-7",Calculations!$Q$4:$Q$67,0)),"")="","",7)</f>
        <v>7</v>
      </c>
      <c r="F20" s="19" t="str">
        <f>IFERROR(INDEX(Calculations!$C$4:$C$67,MATCH("B-7",Calculations!$Q$4:$Q$67,0)),"")</f>
        <v>Team B7</v>
      </c>
      <c r="G20" s="96">
        <f>IFERROR(INDEX(Calculations!$N$4:$N$67,MATCH("B-7",Calculations!$Q$4:$Q$67,0)),"")</f>
        <v>0</v>
      </c>
      <c r="H20" s="19"/>
      <c r="I20" s="19">
        <f>IF(IFERROR(INDEX(Calculations!$C$4:$C$67,MATCH("C-7",Calculations!$Q$4:$Q$67,0)),"")="","",7)</f>
        <v>7</v>
      </c>
      <c r="J20" s="19" t="str">
        <f>IFERROR(INDEX(Calculations!$C$4:$C$67,MATCH("C-7",Calculations!$Q$4:$Q$67,0)),"")</f>
        <v>Team C7</v>
      </c>
      <c r="K20" s="19">
        <f>IFERROR(INDEX(Calculations!$N$4:$N$67,MATCH("C-7",Calculations!$Q$4:$Q$67,0)),"")</f>
        <v>0</v>
      </c>
      <c r="L20" s="19"/>
      <c r="M20" s="96">
        <f>IF(IFERROR(INDEX(Calculations!$C$4:$C$67,MATCH("D-7",Calculations!$Q$4:$Q$67,0)),"")="","",7)</f>
        <v>7</v>
      </c>
      <c r="N20" s="19" t="str">
        <f>IFERROR(INDEX(Calculations!$C$4:$C$67,MATCH("D-7",Calculations!$Q$4:$Q$67,0)),"")</f>
        <v>Team D7</v>
      </c>
      <c r="O20" s="96">
        <f>IFERROR(INDEX(Calculations!$N$4:$N$67,MATCH("D-7",Calculations!$Q$4:$Q$67,0)),"")</f>
        <v>0</v>
      </c>
    </row>
    <row r="21" spans="1:15">
      <c r="A21" s="19">
        <f>IF(IFERROR(INDEX(Calculations!$C$4:$C$67,MATCH("A-8",Calculations!$Q$4:$Q$67,0)),"")="","",8)</f>
        <v>8</v>
      </c>
      <c r="B21" s="19" t="str">
        <f>IFERROR(INDEX(Calculations!$C$4:$C$67,MATCH("A-8",Calculations!$Q$4:$Q$67,0)),"")</f>
        <v>Team A8</v>
      </c>
      <c r="C21" s="96">
        <f>IFERROR(INDEX(Calculations!$N$4:$N$67,MATCH("A-8",Calculations!$Q$4:$Q$67,0)),"")</f>
        <v>0</v>
      </c>
      <c r="D21" s="19"/>
      <c r="E21" s="96">
        <f>IF(IFERROR(INDEX(Calculations!$C$4:$C$67,MATCH("B-8",Calculations!$Q$4:$Q$67,0)),"")="","",8)</f>
        <v>8</v>
      </c>
      <c r="F21" s="19" t="str">
        <f>IFERROR(INDEX(Calculations!$C$4:$C$67,MATCH("B-8",Calculations!$Q$4:$Q$67,0)),"")</f>
        <v>Team B8</v>
      </c>
      <c r="G21" s="96">
        <f>IFERROR(INDEX(Calculations!$N$4:$N$67,MATCH("B-8",Calculations!$Q$4:$Q$67,0)),"")</f>
        <v>0</v>
      </c>
      <c r="H21" s="19"/>
      <c r="I21" s="19">
        <f>IF(IFERROR(INDEX(Calculations!$C$4:$C$67,MATCH("C-8",Calculations!$Q$4:$Q$67,0)),"")="","",8)</f>
        <v>8</v>
      </c>
      <c r="J21" s="19" t="str">
        <f>IFERROR(INDEX(Calculations!$C$4:$C$67,MATCH("C-8",Calculations!$Q$4:$Q$67,0)),"")</f>
        <v>Team C8</v>
      </c>
      <c r="K21" s="19">
        <f>IFERROR(INDEX(Calculations!$N$4:$N$67,MATCH("C-8",Calculations!$Q$4:$Q$67,0)),"")</f>
        <v>0</v>
      </c>
      <c r="L21" s="19"/>
      <c r="M21" s="96">
        <f>IF(IFERROR(INDEX(Calculations!$C$4:$C$67,MATCH("D-8",Calculations!$Q$4:$Q$67,0)),"")="","",8)</f>
        <v>8</v>
      </c>
      <c r="N21" s="19" t="str">
        <f>IFERROR(INDEX(Calculations!$C$4:$C$67,MATCH("D-8",Calculations!$Q$4:$Q$67,0)),"")</f>
        <v>Team D8</v>
      </c>
      <c r="O21" s="96">
        <f>IFERROR(INDEX(Calculations!$N$4:$N$67,MATCH("D-8",Calculations!$Q$4:$Q$67,0)),"")</f>
        <v>0</v>
      </c>
    </row>
    <row r="22" spans="1:15">
      <c r="A22" s="19"/>
      <c r="B22" s="19"/>
      <c r="C22" s="96"/>
      <c r="D22" s="19"/>
      <c r="E22" s="96"/>
      <c r="F22" s="19"/>
      <c r="G22" s="96"/>
      <c r="H22" s="19"/>
      <c r="I22" s="19"/>
      <c r="J22" s="19"/>
      <c r="K22" s="19"/>
      <c r="L22" s="19"/>
      <c r="M22" s="96"/>
      <c r="N22" s="19"/>
      <c r="O22" s="96"/>
    </row>
    <row r="23" spans="1:15" ht="15">
      <c r="A23" s="61" t="str">
        <f>IF(Setup!$B$5&gt;=5,"Pool E","")</f>
        <v>Pool E</v>
      </c>
      <c r="B23" s="58"/>
      <c r="C23" s="98"/>
      <c r="D23" s="47"/>
      <c r="E23" s="105" t="str">
        <f>IF(Setup!$B$5&gt;=6,"Pool F","")</f>
        <v>Pool F</v>
      </c>
      <c r="F23" s="58"/>
      <c r="G23" s="98"/>
      <c r="H23" s="19"/>
      <c r="I23" s="61" t="str">
        <f>IF(Setup!$B$5&gt;=7,"Pool G","")</f>
        <v>Pool G</v>
      </c>
      <c r="J23" s="58"/>
      <c r="K23" s="58"/>
      <c r="L23" s="47"/>
      <c r="M23" s="105" t="str">
        <f>IF(Setup!$B$5&gt;=8,"Pool H","")</f>
        <v>Pool H</v>
      </c>
      <c r="N23" s="58"/>
      <c r="O23" s="98"/>
    </row>
    <row r="24" spans="1:15" ht="15">
      <c r="A24" s="64" t="str">
        <f>IF(Setup!$B$5&gt;=5,"Pos","")</f>
        <v>Pos</v>
      </c>
      <c r="B24" s="64" t="str">
        <f>IF(Setup!$B$5&gt;=5,"Team","")</f>
        <v>Team</v>
      </c>
      <c r="C24" s="99" t="str">
        <f>IF(Setup!$B$5&gt;=5,"Pts","")</f>
        <v>Pts</v>
      </c>
      <c r="D24" s="54"/>
      <c r="E24" s="99" t="str">
        <f>IF(Setup!$B$5&gt;=6,"Pos","")</f>
        <v>Pos</v>
      </c>
      <c r="F24" s="64" t="str">
        <f>IF(Setup!$B$5&gt;=6,"Team","")</f>
        <v>Team</v>
      </c>
      <c r="G24" s="99" t="str">
        <f>IF(Setup!$B$5&gt;=6,"Pts","")</f>
        <v>Pts</v>
      </c>
      <c r="H24" s="19"/>
      <c r="I24" s="64" t="str">
        <f>IF(Setup!$B$5&gt;=7,"Pos","")</f>
        <v>Pos</v>
      </c>
      <c r="J24" s="64" t="str">
        <f>IF(Setup!$B$5&gt;=7,"Team","")</f>
        <v>Team</v>
      </c>
      <c r="K24" s="64" t="str">
        <f>IF(Setup!$B$5&gt;=7,"Pts","")</f>
        <v>Pts</v>
      </c>
      <c r="L24" s="54"/>
      <c r="M24" s="99" t="str">
        <f>IF(Setup!$B$5&gt;=8,"Pos","")</f>
        <v>Pos</v>
      </c>
      <c r="N24" s="64" t="str">
        <f>IF(Setup!$B$5&gt;=8,"Team","")</f>
        <v>Team</v>
      </c>
      <c r="O24" s="99" t="str">
        <f>IF(Setup!$B$5&gt;=8,"Pts","")</f>
        <v>Pts</v>
      </c>
    </row>
    <row r="25" spans="1:15">
      <c r="A25" s="19">
        <f>IF(IFERROR(INDEX(Calculations!$C$4:$C$67,MATCH("E-1",Calculations!$Q$4:$Q$67,0)),"")="","",1)</f>
        <v>1</v>
      </c>
      <c r="B25" s="19" t="str">
        <f>IFERROR(INDEX(Calculations!$C$4:$C$67,MATCH("E-1",Calculations!$Q$4:$Q$67,0)),"")</f>
        <v>Team E1</v>
      </c>
      <c r="C25" s="96">
        <f>IFERROR(INDEX(Calculations!$N$4:$N$67,MATCH("E-1",Calculations!$Q$4:$Q$67,0)),"")</f>
        <v>0</v>
      </c>
      <c r="D25" s="19"/>
      <c r="E25" s="96">
        <f>IF(IFERROR(INDEX(Calculations!$C$4:$C$67,MATCH("F-1",Calculations!$Q$4:$Q$67,0)),"")="","",1)</f>
        <v>1</v>
      </c>
      <c r="F25" s="19" t="str">
        <f>IFERROR(INDEX(Calculations!$C$4:$C$67,MATCH("F-1",Calculations!$Q$4:$Q$67,0)),"")</f>
        <v>Team F1</v>
      </c>
      <c r="G25" s="96">
        <f>IFERROR(INDEX(Calculations!$N$4:$N$67,MATCH("F-1",Calculations!$Q$4:$Q$67,0)),"")</f>
        <v>0</v>
      </c>
      <c r="H25" s="19"/>
      <c r="I25" s="19">
        <f>IF(IFERROR(INDEX(Calculations!$C$4:$C$67,MATCH("G-1",Calculations!$Q$4:$Q$67,0)),"")="","",1)</f>
        <v>1</v>
      </c>
      <c r="J25" s="19" t="str">
        <f>IFERROR(INDEX(Calculations!$C$4:$C$67,MATCH("G-1",Calculations!$Q$4:$Q$67,0)),"")</f>
        <v>Team G1</v>
      </c>
      <c r="K25" s="19">
        <f>IFERROR(INDEX(Calculations!$N$4:$N$67,MATCH("G-1",Calculations!$Q$4:$Q$67,0)),"")</f>
        <v>0</v>
      </c>
      <c r="L25" s="19"/>
      <c r="M25" s="96">
        <f>IF(IFERROR(INDEX(Calculations!$C$4:$C$67,MATCH("H-1",Calculations!$Q$4:$Q$67,0)),"")="","",1)</f>
        <v>1</v>
      </c>
      <c r="N25" s="19" t="str">
        <f>IFERROR(INDEX(Calculations!$C$4:$C$67,MATCH("H-1",Calculations!$Q$4:$Q$67,0)),"")</f>
        <v>Team H1</v>
      </c>
      <c r="O25" s="96">
        <f>IFERROR(INDEX(Calculations!$N$4:$N$67,MATCH("H-1",Calculations!$Q$4:$Q$67,0)),"")</f>
        <v>0</v>
      </c>
    </row>
    <row r="26" spans="1:15">
      <c r="A26" s="19">
        <f>IF(IFERROR(INDEX(Calculations!$C$4:$C$67,MATCH("E-2",Calculations!$Q$4:$Q$67,0)),"")="","",2)</f>
        <v>2</v>
      </c>
      <c r="B26" s="19" t="str">
        <f>IFERROR(INDEX(Calculations!$C$4:$C$67,MATCH("E-2",Calculations!$Q$4:$Q$67,0)),"")</f>
        <v>Team E2</v>
      </c>
      <c r="C26" s="96">
        <f>IFERROR(INDEX(Calculations!$N$4:$N$67,MATCH("E-2",Calculations!$Q$4:$Q$67,0)),"")</f>
        <v>0</v>
      </c>
      <c r="D26" s="19"/>
      <c r="E26" s="96">
        <f>IF(IFERROR(INDEX(Calculations!$C$4:$C$67,MATCH("F-2",Calculations!$Q$4:$Q$67,0)),"")="","",2)</f>
        <v>2</v>
      </c>
      <c r="F26" s="19" t="str">
        <f>IFERROR(INDEX(Calculations!$C$4:$C$67,MATCH("F-2",Calculations!$Q$4:$Q$67,0)),"")</f>
        <v>Team F2</v>
      </c>
      <c r="G26" s="96">
        <f>IFERROR(INDEX(Calculations!$N$4:$N$67,MATCH("F-2",Calculations!$Q$4:$Q$67,0)),"")</f>
        <v>0</v>
      </c>
      <c r="H26" s="19"/>
      <c r="I26" s="19">
        <f>IF(IFERROR(INDEX(Calculations!$C$4:$C$67,MATCH("G-2",Calculations!$Q$4:$Q$67,0)),"")="","",2)</f>
        <v>2</v>
      </c>
      <c r="J26" s="19" t="str">
        <f>IFERROR(INDEX(Calculations!$C$4:$C$67,MATCH("G-2",Calculations!$Q$4:$Q$67,0)),"")</f>
        <v>Team G2</v>
      </c>
      <c r="K26" s="19">
        <f>IFERROR(INDEX(Calculations!$N$4:$N$67,MATCH("G-2",Calculations!$Q$4:$Q$67,0)),"")</f>
        <v>0</v>
      </c>
      <c r="L26" s="19"/>
      <c r="M26" s="96">
        <f>IF(IFERROR(INDEX(Calculations!$C$4:$C$67,MATCH("H-2",Calculations!$Q$4:$Q$67,0)),"")="","",2)</f>
        <v>2</v>
      </c>
      <c r="N26" s="19" t="str">
        <f>IFERROR(INDEX(Calculations!$C$4:$C$67,MATCH("H-2",Calculations!$Q$4:$Q$67,0)),"")</f>
        <v>Team H2</v>
      </c>
      <c r="O26" s="96">
        <f>IFERROR(INDEX(Calculations!$N$4:$N$67,MATCH("H-2",Calculations!$Q$4:$Q$67,0)),"")</f>
        <v>0</v>
      </c>
    </row>
    <row r="27" spans="1:15">
      <c r="A27" s="19">
        <f>IF(IFERROR(INDEX(Calculations!$C$4:$C$67,MATCH("E-3",Calculations!$Q$4:$Q$67,0)),"")="","",3)</f>
        <v>3</v>
      </c>
      <c r="B27" s="19" t="str">
        <f>IFERROR(INDEX(Calculations!$C$4:$C$67,MATCH("E-3",Calculations!$Q$4:$Q$67,0)),"")</f>
        <v>Team E3</v>
      </c>
      <c r="C27" s="96">
        <f>IFERROR(INDEX(Calculations!$N$4:$N$67,MATCH("E-3",Calculations!$Q$4:$Q$67,0)),"")</f>
        <v>0</v>
      </c>
      <c r="D27" s="19"/>
      <c r="E27" s="96">
        <f>IF(IFERROR(INDEX(Calculations!$C$4:$C$67,MATCH("F-3",Calculations!$Q$4:$Q$67,0)),"")="","",3)</f>
        <v>3</v>
      </c>
      <c r="F27" s="19" t="str">
        <f>IFERROR(INDEX(Calculations!$C$4:$C$67,MATCH("F-3",Calculations!$Q$4:$Q$67,0)),"")</f>
        <v>Team F3</v>
      </c>
      <c r="G27" s="96">
        <f>IFERROR(INDEX(Calculations!$N$4:$N$67,MATCH("F-3",Calculations!$Q$4:$Q$67,0)),"")</f>
        <v>0</v>
      </c>
      <c r="H27" s="19"/>
      <c r="I27" s="19">
        <f>IF(IFERROR(INDEX(Calculations!$C$4:$C$67,MATCH("G-3",Calculations!$Q$4:$Q$67,0)),"")="","",3)</f>
        <v>3</v>
      </c>
      <c r="J27" s="19" t="str">
        <f>IFERROR(INDEX(Calculations!$C$4:$C$67,MATCH("G-3",Calculations!$Q$4:$Q$67,0)),"")</f>
        <v>Team G3</v>
      </c>
      <c r="K27" s="19">
        <f>IFERROR(INDEX(Calculations!$N$4:$N$67,MATCH("G-3",Calculations!$Q$4:$Q$67,0)),"")</f>
        <v>0</v>
      </c>
      <c r="L27" s="19"/>
      <c r="M27" s="96">
        <f>IF(IFERROR(INDEX(Calculations!$C$4:$C$67,MATCH("H-3",Calculations!$Q$4:$Q$67,0)),"")="","",3)</f>
        <v>3</v>
      </c>
      <c r="N27" s="19" t="str">
        <f>IFERROR(INDEX(Calculations!$C$4:$C$67,MATCH("H-3",Calculations!$Q$4:$Q$67,0)),"")</f>
        <v>Team H3</v>
      </c>
      <c r="O27" s="96">
        <f>IFERROR(INDEX(Calculations!$N$4:$N$67,MATCH("H-3",Calculations!$Q$4:$Q$67,0)),"")</f>
        <v>0</v>
      </c>
    </row>
    <row r="28" spans="1:15">
      <c r="A28" s="19">
        <f>IF(IFERROR(INDEX(Calculations!$C$4:$C$67,MATCH("E-4",Calculations!$Q$4:$Q$67,0)),"")="","",4)</f>
        <v>4</v>
      </c>
      <c r="B28" s="19" t="str">
        <f>IFERROR(INDEX(Calculations!$C$4:$C$67,MATCH("E-4",Calculations!$Q$4:$Q$67,0)),"")</f>
        <v>Team E4</v>
      </c>
      <c r="C28" s="96">
        <f>IFERROR(INDEX(Calculations!$N$4:$N$67,MATCH("E-4",Calculations!$Q$4:$Q$67,0)),"")</f>
        <v>0</v>
      </c>
      <c r="D28" s="19"/>
      <c r="E28" s="96">
        <f>IF(IFERROR(INDEX(Calculations!$C$4:$C$67,MATCH("F-4",Calculations!$Q$4:$Q$67,0)),"")="","",4)</f>
        <v>4</v>
      </c>
      <c r="F28" s="19" t="str">
        <f>IFERROR(INDEX(Calculations!$C$4:$C$67,MATCH("F-4",Calculations!$Q$4:$Q$67,0)),"")</f>
        <v>Team F4</v>
      </c>
      <c r="G28" s="96">
        <f>IFERROR(INDEX(Calculations!$N$4:$N$67,MATCH("F-4",Calculations!$Q$4:$Q$67,0)),"")</f>
        <v>0</v>
      </c>
      <c r="H28" s="19"/>
      <c r="I28" s="19">
        <f>IF(IFERROR(INDEX(Calculations!$C$4:$C$67,MATCH("G-4",Calculations!$Q$4:$Q$67,0)),"")="","",4)</f>
        <v>4</v>
      </c>
      <c r="J28" s="19" t="str">
        <f>IFERROR(INDEX(Calculations!$C$4:$C$67,MATCH("G-4",Calculations!$Q$4:$Q$67,0)),"")</f>
        <v>Team G4</v>
      </c>
      <c r="K28" s="19">
        <f>IFERROR(INDEX(Calculations!$N$4:$N$67,MATCH("G-4",Calculations!$Q$4:$Q$67,0)),"")</f>
        <v>0</v>
      </c>
      <c r="L28" s="19"/>
      <c r="M28" s="96">
        <f>IF(IFERROR(INDEX(Calculations!$C$4:$C$67,MATCH("H-4",Calculations!$Q$4:$Q$67,0)),"")="","",4)</f>
        <v>4</v>
      </c>
      <c r="N28" s="19" t="str">
        <f>IFERROR(INDEX(Calculations!$C$4:$C$67,MATCH("H-4",Calculations!$Q$4:$Q$67,0)),"")</f>
        <v>Team H4</v>
      </c>
      <c r="O28" s="96">
        <f>IFERROR(INDEX(Calculations!$N$4:$N$67,MATCH("H-4",Calculations!$Q$4:$Q$67,0)),"")</f>
        <v>0</v>
      </c>
    </row>
    <row r="29" spans="1:15">
      <c r="A29" s="19">
        <f>IF(IFERROR(INDEX(Calculations!$C$4:$C$67,MATCH("E-5",Calculations!$Q$4:$Q$67,0)),"")="","",5)</f>
        <v>5</v>
      </c>
      <c r="B29" s="19" t="str">
        <f>IFERROR(INDEX(Calculations!$C$4:$C$67,MATCH("E-5",Calculations!$Q$4:$Q$67,0)),"")</f>
        <v>Team E5</v>
      </c>
      <c r="C29" s="96">
        <f>IFERROR(INDEX(Calculations!$N$4:$N$67,MATCH("E-5",Calculations!$Q$4:$Q$67,0)),"")</f>
        <v>0</v>
      </c>
      <c r="D29" s="19"/>
      <c r="E29" s="96">
        <f>IF(IFERROR(INDEX(Calculations!$C$4:$C$67,MATCH("F-5",Calculations!$Q$4:$Q$67,0)),"")="","",5)</f>
        <v>5</v>
      </c>
      <c r="F29" s="19" t="str">
        <f>IFERROR(INDEX(Calculations!$C$4:$C$67,MATCH("F-5",Calculations!$Q$4:$Q$67,0)),"")</f>
        <v>Team F5</v>
      </c>
      <c r="G29" s="96">
        <f>IFERROR(INDEX(Calculations!$N$4:$N$67,MATCH("F-5",Calculations!$Q$4:$Q$67,0)),"")</f>
        <v>0</v>
      </c>
      <c r="H29" s="19"/>
      <c r="I29" s="19">
        <f>IF(IFERROR(INDEX(Calculations!$C$4:$C$67,MATCH("G-5",Calculations!$Q$4:$Q$67,0)),"")="","",5)</f>
        <v>5</v>
      </c>
      <c r="J29" s="19" t="str">
        <f>IFERROR(INDEX(Calculations!$C$4:$C$67,MATCH("G-5",Calculations!$Q$4:$Q$67,0)),"")</f>
        <v>Team G5</v>
      </c>
      <c r="K29" s="19">
        <f>IFERROR(INDEX(Calculations!$N$4:$N$67,MATCH("G-5",Calculations!$Q$4:$Q$67,0)),"")</f>
        <v>0</v>
      </c>
      <c r="L29" s="19"/>
      <c r="M29" s="96">
        <f>IF(IFERROR(INDEX(Calculations!$C$4:$C$67,MATCH("H-5",Calculations!$Q$4:$Q$67,0)),"")="","",5)</f>
        <v>5</v>
      </c>
      <c r="N29" s="19" t="str">
        <f>IFERROR(INDEX(Calculations!$C$4:$C$67,MATCH("H-5",Calculations!$Q$4:$Q$67,0)),"")</f>
        <v>Team H5</v>
      </c>
      <c r="O29" s="96">
        <f>IFERROR(INDEX(Calculations!$N$4:$N$67,MATCH("H-5",Calculations!$Q$4:$Q$67,0)),"")</f>
        <v>0</v>
      </c>
    </row>
    <row r="30" spans="1:15">
      <c r="A30" s="19">
        <f>IF(IFERROR(INDEX(Calculations!$C$4:$C$67,MATCH("E-6",Calculations!$Q$4:$Q$67,0)),"")="","",6)</f>
        <v>6</v>
      </c>
      <c r="B30" s="19" t="str">
        <f>IFERROR(INDEX(Calculations!$C$4:$C$67,MATCH("E-6",Calculations!$Q$4:$Q$67,0)),"")</f>
        <v>Team E6</v>
      </c>
      <c r="C30" s="96">
        <f>IFERROR(INDEX(Calculations!$N$4:$N$67,MATCH("E-6",Calculations!$Q$4:$Q$67,0)),"")</f>
        <v>0</v>
      </c>
      <c r="D30" s="19"/>
      <c r="E30" s="96">
        <f>IF(IFERROR(INDEX(Calculations!$C$4:$C$67,MATCH("F-6",Calculations!$Q$4:$Q$67,0)),"")="","",6)</f>
        <v>6</v>
      </c>
      <c r="F30" s="19" t="str">
        <f>IFERROR(INDEX(Calculations!$C$4:$C$67,MATCH("F-6",Calculations!$Q$4:$Q$67,0)),"")</f>
        <v>Team F6</v>
      </c>
      <c r="G30" s="96">
        <f>IFERROR(INDEX(Calculations!$N$4:$N$67,MATCH("F-6",Calculations!$Q$4:$Q$67,0)),"")</f>
        <v>0</v>
      </c>
      <c r="H30" s="19"/>
      <c r="I30" s="19">
        <f>IF(IFERROR(INDEX(Calculations!$C$4:$C$67,MATCH("G-6",Calculations!$Q$4:$Q$67,0)),"")="","",6)</f>
        <v>6</v>
      </c>
      <c r="J30" s="19" t="str">
        <f>IFERROR(INDEX(Calculations!$C$4:$C$67,MATCH("G-6",Calculations!$Q$4:$Q$67,0)),"")</f>
        <v>Team G6</v>
      </c>
      <c r="K30" s="19">
        <f>IFERROR(INDEX(Calculations!$N$4:$N$67,MATCH("G-6",Calculations!$Q$4:$Q$67,0)),"")</f>
        <v>0</v>
      </c>
      <c r="L30" s="19"/>
      <c r="M30" s="96">
        <f>IF(IFERROR(INDEX(Calculations!$C$4:$C$67,MATCH("H-6",Calculations!$Q$4:$Q$67,0)),"")="","",6)</f>
        <v>6</v>
      </c>
      <c r="N30" s="19" t="str">
        <f>IFERROR(INDEX(Calculations!$C$4:$C$67,MATCH("H-6",Calculations!$Q$4:$Q$67,0)),"")</f>
        <v>Team H6</v>
      </c>
      <c r="O30" s="96">
        <f>IFERROR(INDEX(Calculations!$N$4:$N$67,MATCH("H-6",Calculations!$Q$4:$Q$67,0)),"")</f>
        <v>0</v>
      </c>
    </row>
    <row r="31" spans="1:15">
      <c r="A31" s="19">
        <f>IF(IFERROR(INDEX(Calculations!$C$4:$C$67,MATCH("E-7",Calculations!$Q$4:$Q$67,0)),"")="","",7)</f>
        <v>7</v>
      </c>
      <c r="B31" s="19" t="str">
        <f>IFERROR(INDEX(Calculations!$C$4:$C$67,MATCH("E-7",Calculations!$Q$4:$Q$67,0)),"")</f>
        <v>Team E7</v>
      </c>
      <c r="C31" s="96">
        <f>IFERROR(INDEX(Calculations!$N$4:$N$67,MATCH("E-7",Calculations!$Q$4:$Q$67,0)),"")</f>
        <v>0</v>
      </c>
      <c r="D31" s="19"/>
      <c r="E31" s="96">
        <f>IF(IFERROR(INDEX(Calculations!$C$4:$C$67,MATCH("F-7",Calculations!$Q$4:$Q$67,0)),"")="","",7)</f>
        <v>7</v>
      </c>
      <c r="F31" s="19" t="str">
        <f>IFERROR(INDEX(Calculations!$C$4:$C$67,MATCH("F-7",Calculations!$Q$4:$Q$67,0)),"")</f>
        <v>Team F7</v>
      </c>
      <c r="G31" s="96">
        <f>IFERROR(INDEX(Calculations!$N$4:$N$67,MATCH("F-7",Calculations!$Q$4:$Q$67,0)),"")</f>
        <v>0</v>
      </c>
      <c r="H31" s="19"/>
      <c r="I31" s="19">
        <f>IF(IFERROR(INDEX(Calculations!$C$4:$C$67,MATCH("G-7",Calculations!$Q$4:$Q$67,0)),"")="","",7)</f>
        <v>7</v>
      </c>
      <c r="J31" s="19" t="str">
        <f>IFERROR(INDEX(Calculations!$C$4:$C$67,MATCH("G-7",Calculations!$Q$4:$Q$67,0)),"")</f>
        <v>Team G7</v>
      </c>
      <c r="K31" s="19">
        <f>IFERROR(INDEX(Calculations!$N$4:$N$67,MATCH("G-7",Calculations!$Q$4:$Q$67,0)),"")</f>
        <v>0</v>
      </c>
      <c r="L31" s="19"/>
      <c r="M31" s="96">
        <f>IF(IFERROR(INDEX(Calculations!$C$4:$C$67,MATCH("H-7",Calculations!$Q$4:$Q$67,0)),"")="","",7)</f>
        <v>7</v>
      </c>
      <c r="N31" s="19" t="str">
        <f>IFERROR(INDEX(Calculations!$C$4:$C$67,MATCH("H-7",Calculations!$Q$4:$Q$67,0)),"")</f>
        <v>Team H7</v>
      </c>
      <c r="O31" s="96">
        <f>IFERROR(INDEX(Calculations!$N$4:$N$67,MATCH("H-7",Calculations!$Q$4:$Q$67,0)),"")</f>
        <v>0</v>
      </c>
    </row>
    <row r="32" spans="1:15" ht="15">
      <c r="A32" s="19">
        <f>IF(IFERROR(INDEX(Calculations!$C$4:$C$67,MATCH("E-8",Calculations!$Q$4:$Q$67,0)),"")="","",8)</f>
        <v>8</v>
      </c>
      <c r="B32" s="19" t="str">
        <f>IFERROR(INDEX(Calculations!$C$4:$C$67,MATCH("E-8",Calculations!$Q$4:$Q$67,0)),"")</f>
        <v>Team E8</v>
      </c>
      <c r="C32" s="96">
        <f>IFERROR(INDEX(Calculations!$N$4:$N$67,MATCH("E-8",Calculations!$Q$4:$Q$67,0)),"")</f>
        <v>0</v>
      </c>
      <c r="D32" s="19"/>
      <c r="E32" s="96">
        <f>IF(IFERROR(INDEX(Calculations!$C$4:$C$67,MATCH("F-8",Calculations!$Q$4:$Q$67,0)),"")="","",8)</f>
        <v>8</v>
      </c>
      <c r="F32" s="19" t="str">
        <f>IFERROR(INDEX(Calculations!$C$4:$C$67,MATCH("F-8",Calculations!$Q$4:$Q$67,0)),"")</f>
        <v>Team F8</v>
      </c>
      <c r="G32" s="96">
        <f>IFERROR(INDEX(Calculations!$N$4:$N$67,MATCH("F-8",Calculations!$Q$4:$Q$67,0)),"")</f>
        <v>0</v>
      </c>
      <c r="H32" s="19"/>
      <c r="I32" s="65"/>
      <c r="J32" s="66"/>
      <c r="K32" s="66"/>
      <c r="L32" s="66"/>
      <c r="M32" s="107"/>
      <c r="N32" s="66"/>
      <c r="O32" s="107"/>
    </row>
    <row r="33" spans="1:15">
      <c r="A33" s="19"/>
      <c r="B33" s="19"/>
      <c r="C33" s="96"/>
      <c r="D33" s="19"/>
      <c r="E33" s="96"/>
      <c r="F33" s="19"/>
      <c r="G33" s="96"/>
      <c r="H33" s="19"/>
      <c r="I33" s="66"/>
      <c r="J33" s="66"/>
      <c r="K33" s="66"/>
      <c r="L33" s="66"/>
      <c r="M33" s="107"/>
      <c r="N33" s="66"/>
      <c r="O33" s="107"/>
    </row>
    <row r="34" spans="1:15" ht="15">
      <c r="A34" s="44"/>
      <c r="B34" s="47"/>
      <c r="C34" s="100"/>
      <c r="D34" s="47"/>
      <c r="E34" s="100"/>
      <c r="F34" s="47"/>
      <c r="G34" s="100"/>
      <c r="H34" s="19"/>
      <c r="I34" s="44"/>
      <c r="J34" s="47"/>
      <c r="K34" s="47"/>
      <c r="L34" s="47"/>
      <c r="M34" s="100"/>
      <c r="N34" s="47"/>
      <c r="O34" s="100"/>
    </row>
    <row r="35" spans="1:15" ht="31.5">
      <c r="A35" s="70"/>
      <c r="B35" s="71" t="s">
        <v>412</v>
      </c>
      <c r="C35" s="101"/>
      <c r="D35" s="70"/>
      <c r="E35" s="101"/>
      <c r="F35" s="70"/>
      <c r="G35" s="101"/>
      <c r="H35" s="19"/>
      <c r="I35" s="70"/>
      <c r="J35" s="71" t="s">
        <v>413</v>
      </c>
      <c r="K35" s="70"/>
      <c r="L35" s="70"/>
      <c r="M35" s="101"/>
      <c r="N35" s="70"/>
      <c r="O35" s="101"/>
    </row>
    <row r="36" spans="1:15" ht="15">
      <c r="A36" s="72" t="s">
        <v>303</v>
      </c>
      <c r="B36" s="73" t="s">
        <v>414</v>
      </c>
      <c r="C36" s="102"/>
      <c r="D36" s="73"/>
      <c r="E36" s="102"/>
      <c r="F36" s="73"/>
      <c r="G36" s="102"/>
      <c r="H36" s="19"/>
      <c r="I36" s="72" t="s">
        <v>272</v>
      </c>
      <c r="J36" s="73" t="s">
        <v>414</v>
      </c>
      <c r="K36" s="73"/>
      <c r="L36" s="73"/>
      <c r="M36" s="102"/>
      <c r="N36" s="73"/>
      <c r="O36" s="102"/>
    </row>
    <row r="37" spans="1:15" ht="27" customHeight="1">
      <c r="A37" s="108" t="str" cm="1">
        <f t="array" ref="A37">_xlfn._xlws.FILTER(Scores!$A$4:$A$227,Scores!$Q$4:$Q$227="Complete","")</f>
        <v/>
      </c>
      <c r="B37" s="68" t="str" cm="1">
        <f t="array" ref="B37">_xlfn._xlws.FILTER("Pool "&amp;Scores!$B$4:$B$227&amp;" | Round "&amp;Scores!$D$4:$D$227&amp;" | "&amp;Scores!$E$4:$E$227&amp;" "&amp;Scores!$F$4:$F$227&amp;" - "&amp;Scores!$L$4:$L$227&amp;" "&amp;Scores!$K$4:$K$227,Scores!$Q$4:$Q$227="Complete","")</f>
        <v/>
      </c>
      <c r="C37" s="103"/>
      <c r="D37" s="68"/>
      <c r="E37" s="103"/>
      <c r="F37" s="68"/>
      <c r="G37" s="103"/>
      <c r="H37" s="67"/>
      <c r="I37" s="67" t="str" cm="1">
        <f t="array" ref="I37:I51">_xlfn._xlws.FILTER(Finals!$A$5:$A$24,Finals!$A$5:$A$24&lt;&gt;"","")</f>
        <v>Round of 16</v>
      </c>
      <c r="J37" s="68" t="str" cm="1">
        <f t="array" ref="J37:J51">_xlfn._xlws.FILTER(Finals!$B$5:$B$24&amp;" | "&amp;Finals!$C$5:$C$24&amp;" "&amp;Finals!$D$5:$D$24&amp;" - "&amp;Finals!$F$5:$F$24&amp;" "&amp;Finals!$E$5:$E$24,Finals!$A$5:$A$24&lt;&gt;"","")</f>
        <v>R16 1 | Team A1  -  Team B2</v>
      </c>
      <c r="K37" s="68"/>
      <c r="L37" s="68"/>
      <c r="M37" s="103"/>
      <c r="N37" s="68"/>
      <c r="O37" s="103"/>
    </row>
    <row r="38" spans="1:15" ht="27" customHeight="1">
      <c r="A38" s="108"/>
      <c r="B38" s="68"/>
      <c r="C38" s="103"/>
      <c r="D38" s="68"/>
      <c r="E38" s="103"/>
      <c r="F38" s="68"/>
      <c r="G38" s="103"/>
      <c r="H38" s="67"/>
      <c r="I38" s="67" t="str">
        <v>Round of 16</v>
      </c>
      <c r="J38" s="68" t="str">
        <v>R16 2 | Team B1  -  Team A2</v>
      </c>
      <c r="K38" s="68"/>
      <c r="L38" s="68"/>
      <c r="M38" s="103"/>
      <c r="N38" s="68"/>
      <c r="O38" s="103"/>
    </row>
    <row r="39" spans="1:15" ht="27" customHeight="1">
      <c r="A39" s="108"/>
      <c r="B39" s="68"/>
      <c r="C39" s="103"/>
      <c r="D39" s="68"/>
      <c r="E39" s="103"/>
      <c r="F39" s="68"/>
      <c r="G39" s="103"/>
      <c r="H39" s="67"/>
      <c r="I39" s="67" t="str">
        <v>Round of 16</v>
      </c>
      <c r="J39" s="68" t="str">
        <v>R16 3 | Team C1  -  Team D2</v>
      </c>
      <c r="K39" s="68"/>
      <c r="L39" s="68"/>
      <c r="M39" s="103"/>
      <c r="N39" s="68"/>
      <c r="O39" s="103"/>
    </row>
    <row r="40" spans="1:15" ht="27" customHeight="1">
      <c r="A40" s="108"/>
      <c r="B40" s="68"/>
      <c r="C40" s="103"/>
      <c r="D40" s="68"/>
      <c r="E40" s="103"/>
      <c r="F40" s="68"/>
      <c r="G40" s="103"/>
      <c r="H40" s="67"/>
      <c r="I40" s="67" t="str">
        <v>Round of 16</v>
      </c>
      <c r="J40" s="68" t="str">
        <v>R16 4 | Team D1  -  Team C2</v>
      </c>
      <c r="K40" s="68"/>
      <c r="L40" s="68"/>
      <c r="M40" s="103"/>
      <c r="N40" s="68"/>
      <c r="O40" s="103"/>
    </row>
    <row r="41" spans="1:15" ht="27" customHeight="1">
      <c r="A41" s="108"/>
      <c r="B41" s="68"/>
      <c r="C41" s="103"/>
      <c r="D41" s="68"/>
      <c r="E41" s="103"/>
      <c r="F41" s="68"/>
      <c r="G41" s="103"/>
      <c r="H41" s="67"/>
      <c r="I41" s="67" t="str">
        <v>Round of 16</v>
      </c>
      <c r="J41" s="68" t="str">
        <v>R16 5 | Team E1  -  Team F2</v>
      </c>
      <c r="K41" s="68"/>
      <c r="L41" s="68"/>
      <c r="M41" s="103"/>
      <c r="N41" s="68"/>
      <c r="O41" s="103"/>
    </row>
    <row r="42" spans="1:15" ht="27" customHeight="1">
      <c r="A42" s="108"/>
      <c r="B42" s="68"/>
      <c r="C42" s="103"/>
      <c r="D42" s="68"/>
      <c r="E42" s="103"/>
      <c r="F42" s="68"/>
      <c r="G42" s="103"/>
      <c r="H42" s="67"/>
      <c r="I42" s="67" t="str">
        <v>Round of 16</v>
      </c>
      <c r="J42" s="68" t="str">
        <v>R16 6 | Team F1  -  Team E2</v>
      </c>
      <c r="K42" s="68"/>
      <c r="L42" s="68"/>
      <c r="M42" s="103"/>
      <c r="N42" s="68"/>
      <c r="O42" s="103"/>
    </row>
    <row r="43" spans="1:15" ht="27" customHeight="1">
      <c r="A43" s="108"/>
      <c r="B43" s="68"/>
      <c r="C43" s="103"/>
      <c r="D43" s="68"/>
      <c r="E43" s="103"/>
      <c r="F43" s="68"/>
      <c r="G43" s="103"/>
      <c r="H43" s="67"/>
      <c r="I43" s="67" t="str">
        <v>Round of 16</v>
      </c>
      <c r="J43" s="68" t="str">
        <v>R16 7 | Team G1  -  Team H2</v>
      </c>
      <c r="K43" s="68"/>
      <c r="L43" s="68"/>
      <c r="M43" s="103"/>
      <c r="N43" s="68"/>
      <c r="O43" s="103"/>
    </row>
    <row r="44" spans="1:15" ht="19.5" customHeight="1">
      <c r="A44" s="108"/>
      <c r="B44" s="68"/>
      <c r="C44" s="103"/>
      <c r="D44" s="68"/>
      <c r="E44" s="103"/>
      <c r="F44" s="68"/>
      <c r="G44" s="103"/>
      <c r="H44" s="67"/>
      <c r="I44" s="67" t="str">
        <v>Round of 16</v>
      </c>
      <c r="J44" s="68" t="str">
        <v>R16 8 | Team H1  -  Team G2</v>
      </c>
      <c r="K44" s="68"/>
      <c r="L44" s="68"/>
      <c r="M44" s="103"/>
      <c r="N44" s="68"/>
      <c r="O44" s="103"/>
    </row>
    <row r="45" spans="1:15" ht="19.5" customHeight="1">
      <c r="A45" s="109"/>
      <c r="B45" s="68"/>
      <c r="C45" s="103"/>
      <c r="D45" s="68"/>
      <c r="E45" s="103"/>
      <c r="F45" s="68"/>
      <c r="G45" s="103"/>
      <c r="H45" s="67"/>
      <c r="I45" s="67" t="str">
        <v>Quarter-final</v>
      </c>
      <c r="J45" s="68" t="str">
        <v>QF 1 | Winner R16 1  -  Winner R16 3</v>
      </c>
      <c r="K45" s="68"/>
      <c r="L45" s="68"/>
      <c r="M45" s="103"/>
      <c r="N45" s="68"/>
      <c r="O45" s="103"/>
    </row>
    <row r="46" spans="1:15" ht="19.5" customHeight="1">
      <c r="A46" s="109"/>
      <c r="B46" s="68"/>
      <c r="C46" s="103"/>
      <c r="D46" s="68"/>
      <c r="E46" s="103"/>
      <c r="F46" s="68"/>
      <c r="G46" s="103"/>
      <c r="H46" s="67"/>
      <c r="I46" s="67" t="str">
        <v>Quarter-final</v>
      </c>
      <c r="J46" s="68" t="str">
        <v>QF 2 | Winner R16 2  -  Winner R16 4</v>
      </c>
      <c r="K46" s="68"/>
      <c r="L46" s="68"/>
      <c r="M46" s="104"/>
      <c r="N46" s="69"/>
      <c r="O46" s="104"/>
    </row>
    <row r="47" spans="1:15" ht="19.5" customHeight="1">
      <c r="A47" s="108"/>
      <c r="B47" s="68"/>
      <c r="C47" s="103"/>
      <c r="D47" s="68"/>
      <c r="E47" s="103"/>
      <c r="F47" s="68"/>
      <c r="G47" s="103"/>
      <c r="H47" s="67"/>
      <c r="I47" s="67" t="str">
        <v>Quarter-final</v>
      </c>
      <c r="J47" s="68" t="str">
        <v>QF 3 | Winner R16 5  -  Winner R16 7</v>
      </c>
      <c r="K47" s="68"/>
      <c r="L47" s="68"/>
      <c r="M47" s="103"/>
      <c r="N47" s="68"/>
      <c r="O47" s="103"/>
    </row>
    <row r="48" spans="1:15" ht="19.5" customHeight="1">
      <c r="A48" s="108"/>
      <c r="B48" s="68"/>
      <c r="C48" s="103"/>
      <c r="D48" s="68"/>
      <c r="E48" s="103"/>
      <c r="F48" s="68"/>
      <c r="G48" s="103"/>
      <c r="H48" s="67"/>
      <c r="I48" s="67" t="str">
        <v>Quarter-final</v>
      </c>
      <c r="J48" s="68" t="str">
        <v>QF 4 | Winner R16 6  -  Winner R16 8</v>
      </c>
      <c r="K48" s="68"/>
      <c r="L48" s="68"/>
      <c r="M48" s="103"/>
      <c r="N48" s="68"/>
      <c r="O48" s="103"/>
    </row>
    <row r="49" spans="1:15" ht="19.5" customHeight="1">
      <c r="A49" s="108"/>
      <c r="B49" s="68"/>
      <c r="C49" s="103"/>
      <c r="D49" s="68"/>
      <c r="E49" s="103"/>
      <c r="F49" s="68"/>
      <c r="G49" s="103"/>
      <c r="H49" s="67"/>
      <c r="I49" s="67" t="str">
        <v>Semi-final</v>
      </c>
      <c r="J49" s="68" t="str">
        <v>SF 1 | Winner QF 1  -  Winner QF 3</v>
      </c>
      <c r="K49" s="68"/>
      <c r="L49" s="68"/>
      <c r="M49" s="103"/>
      <c r="N49" s="68"/>
      <c r="O49" s="103"/>
    </row>
    <row r="50" spans="1:15" ht="19.5" customHeight="1">
      <c r="A50" s="108"/>
      <c r="B50" s="68"/>
      <c r="C50" s="103"/>
      <c r="D50" s="68"/>
      <c r="E50" s="103"/>
      <c r="F50" s="68"/>
      <c r="G50" s="103"/>
      <c r="H50" s="67"/>
      <c r="I50" s="67" t="str">
        <v>Semi-final</v>
      </c>
      <c r="J50" s="68" t="str">
        <v>SF 2 | Winner QF 2  -  Winner QF 4</v>
      </c>
      <c r="K50" s="68"/>
      <c r="L50" s="68"/>
      <c r="M50" s="103"/>
      <c r="N50" s="68"/>
      <c r="O50" s="103"/>
    </row>
    <row r="51" spans="1:15" ht="19.5" customHeight="1">
      <c r="A51" s="108"/>
      <c r="B51" s="68"/>
      <c r="C51" s="103"/>
      <c r="D51" s="68"/>
      <c r="E51" s="103"/>
      <c r="F51" s="68"/>
      <c r="G51" s="103"/>
      <c r="H51" s="67"/>
      <c r="I51" s="67" t="str">
        <v>Final</v>
      </c>
      <c r="J51" s="68" t="str">
        <v>Final | Winner SF 1  -  Winner SF 2</v>
      </c>
      <c r="K51" s="68"/>
      <c r="L51" s="68"/>
      <c r="M51" s="103"/>
      <c r="N51" s="68"/>
      <c r="O51" s="103"/>
    </row>
    <row r="52" spans="1:15" ht="19.5" customHeight="1">
      <c r="A52" s="108"/>
      <c r="B52" s="68"/>
      <c r="C52" s="103"/>
      <c r="D52" s="68"/>
      <c r="E52" s="103"/>
      <c r="F52" s="68"/>
      <c r="G52" s="103"/>
      <c r="H52" s="67"/>
      <c r="I52" s="67"/>
      <c r="J52" s="68"/>
      <c r="K52" s="68"/>
      <c r="L52" s="68"/>
      <c r="M52" s="103"/>
      <c r="N52" s="68"/>
      <c r="O52" s="103"/>
    </row>
    <row r="53" spans="1:15" ht="19.5" customHeight="1">
      <c r="A53" s="108"/>
      <c r="B53" s="68"/>
      <c r="C53" s="103"/>
      <c r="D53" s="68"/>
      <c r="E53" s="103"/>
      <c r="F53" s="68"/>
      <c r="G53" s="103"/>
      <c r="H53" s="67"/>
      <c r="I53" s="67"/>
      <c r="J53" s="68"/>
      <c r="K53" s="68"/>
      <c r="L53" s="68"/>
      <c r="M53" s="103"/>
      <c r="N53" s="68"/>
      <c r="O53" s="103"/>
    </row>
    <row r="54" spans="1:15" ht="19.5" customHeight="1">
      <c r="A54" s="108"/>
      <c r="B54" s="68"/>
      <c r="C54" s="103"/>
      <c r="D54" s="68"/>
      <c r="E54" s="103"/>
      <c r="F54" s="68"/>
      <c r="G54" s="103"/>
      <c r="H54" s="67"/>
      <c r="I54" s="67"/>
      <c r="J54" s="68"/>
      <c r="K54" s="68"/>
      <c r="L54" s="68"/>
      <c r="M54" s="103"/>
      <c r="N54" s="68"/>
      <c r="O54" s="103"/>
    </row>
    <row r="55" spans="1:15" ht="19.5" customHeight="1">
      <c r="A55" s="108"/>
      <c r="B55" s="68"/>
      <c r="C55" s="103"/>
      <c r="D55" s="68"/>
      <c r="E55" s="103"/>
      <c r="F55" s="68"/>
      <c r="G55" s="103"/>
      <c r="H55" s="67"/>
      <c r="I55" s="67"/>
      <c r="J55" s="68"/>
      <c r="K55" s="68"/>
      <c r="L55" s="68"/>
      <c r="M55" s="103"/>
      <c r="N55" s="68"/>
      <c r="O55" s="103"/>
    </row>
    <row r="56" spans="1:15" ht="19.5" customHeight="1">
      <c r="A56" s="108"/>
      <c r="B56" s="68"/>
      <c r="C56" s="103"/>
      <c r="D56" s="68"/>
      <c r="E56" s="103"/>
      <c r="F56" s="68"/>
      <c r="G56" s="103"/>
      <c r="H56" s="67"/>
      <c r="I56" s="67"/>
      <c r="J56" s="68"/>
      <c r="K56" s="68"/>
      <c r="L56" s="68"/>
      <c r="M56" s="103"/>
      <c r="N56" s="68"/>
      <c r="O56" s="103"/>
    </row>
    <row r="57" spans="1:15" ht="19.5" customHeight="1">
      <c r="A57" s="110"/>
      <c r="B57" s="68"/>
      <c r="C57" s="103"/>
      <c r="D57" s="68"/>
      <c r="E57" s="103"/>
      <c r="F57" s="68"/>
      <c r="G57" s="103"/>
      <c r="H57" s="67"/>
      <c r="I57" s="111"/>
      <c r="J57" s="68"/>
      <c r="K57" s="68"/>
      <c r="L57" s="68"/>
      <c r="M57" s="103"/>
      <c r="N57" s="68"/>
      <c r="O57" s="103"/>
    </row>
    <row r="58" spans="1:15" ht="19.5" customHeight="1">
      <c r="A58" s="109"/>
      <c r="B58" s="68"/>
      <c r="C58" s="103"/>
      <c r="D58" s="68"/>
      <c r="E58" s="103"/>
      <c r="F58" s="68"/>
      <c r="G58" s="103"/>
      <c r="H58" s="67"/>
      <c r="I58" s="67"/>
      <c r="J58" s="68"/>
      <c r="K58" s="68"/>
      <c r="L58" s="68"/>
      <c r="M58" s="104"/>
      <c r="N58" s="69"/>
      <c r="O58" s="104"/>
    </row>
    <row r="59" spans="1:15" ht="19.5" customHeight="1">
      <c r="A59" s="108"/>
      <c r="B59" s="68"/>
      <c r="C59" s="103"/>
      <c r="D59" s="68"/>
      <c r="E59" s="103"/>
      <c r="F59" s="68"/>
      <c r="G59" s="103"/>
      <c r="H59" s="67"/>
      <c r="I59" s="67" cm="1"/>
      <c r="J59" s="68"/>
      <c r="K59" s="68"/>
      <c r="L59" s="68"/>
      <c r="M59" s="103"/>
      <c r="N59" s="68"/>
      <c r="O59" s="103"/>
    </row>
    <row r="60" spans="1:15" ht="19.5" customHeight="1">
      <c r="A60" s="108"/>
      <c r="B60" s="68"/>
      <c r="C60" s="103"/>
      <c r="D60" s="68"/>
      <c r="E60" s="103"/>
      <c r="F60" s="68"/>
      <c r="G60" s="103"/>
      <c r="H60" s="67"/>
      <c r="I60" s="67"/>
      <c r="J60" s="68"/>
      <c r="K60" s="68"/>
      <c r="L60" s="68"/>
      <c r="M60" s="103"/>
      <c r="N60" s="68"/>
      <c r="O60" s="103"/>
    </row>
    <row r="61" spans="1:15" ht="19.5" customHeight="1">
      <c r="A61" s="108"/>
      <c r="B61" s="68"/>
      <c r="C61" s="103"/>
      <c r="D61" s="68"/>
      <c r="E61" s="103"/>
      <c r="F61" s="68"/>
      <c r="G61" s="103"/>
      <c r="H61" s="67"/>
      <c r="I61" s="67"/>
      <c r="J61" s="68"/>
      <c r="K61" s="68"/>
      <c r="L61" s="68"/>
      <c r="M61" s="103"/>
      <c r="N61" s="68"/>
      <c r="O61" s="103"/>
    </row>
    <row r="62" spans="1:15" ht="19.5" customHeight="1">
      <c r="A62" s="108"/>
      <c r="B62" s="68"/>
      <c r="C62" s="103"/>
      <c r="D62" s="68"/>
      <c r="E62" s="103"/>
      <c r="F62" s="68"/>
      <c r="G62" s="103"/>
      <c r="H62" s="67"/>
      <c r="I62" s="67"/>
      <c r="J62" s="68"/>
      <c r="K62" s="68"/>
      <c r="L62" s="68"/>
      <c r="M62" s="103"/>
      <c r="N62" s="68"/>
      <c r="O62" s="103"/>
    </row>
    <row r="63" spans="1:15" ht="19.5" customHeight="1">
      <c r="A63" s="108"/>
      <c r="B63" s="68"/>
      <c r="C63" s="103"/>
      <c r="D63" s="68"/>
      <c r="E63" s="103"/>
      <c r="F63" s="68"/>
      <c r="G63" s="103"/>
      <c r="H63" s="67"/>
      <c r="I63" s="67"/>
      <c r="J63" s="68"/>
      <c r="K63" s="68"/>
      <c r="L63" s="68"/>
      <c r="M63" s="103"/>
      <c r="N63" s="68"/>
      <c r="O63" s="103"/>
    </row>
    <row r="64" spans="1:15" ht="19.5" customHeight="1">
      <c r="A64" s="108"/>
      <c r="B64" s="68"/>
      <c r="C64" s="103"/>
      <c r="D64" s="68"/>
      <c r="E64" s="103"/>
      <c r="F64" s="68"/>
      <c r="G64" s="103"/>
      <c r="H64" s="67"/>
      <c r="I64" s="67"/>
      <c r="J64" s="68"/>
      <c r="K64" s="68"/>
      <c r="L64" s="68"/>
      <c r="M64" s="103"/>
      <c r="N64" s="68"/>
      <c r="O64" s="103"/>
    </row>
    <row r="65" spans="1:15" ht="19.5" customHeight="1">
      <c r="A65" s="108"/>
      <c r="B65" s="68"/>
      <c r="C65" s="103"/>
      <c r="D65" s="68"/>
      <c r="E65" s="103"/>
      <c r="F65" s="68"/>
      <c r="G65" s="103"/>
      <c r="H65" s="67"/>
      <c r="I65" s="67"/>
      <c r="J65" s="68"/>
      <c r="K65" s="68"/>
      <c r="L65" s="68"/>
      <c r="M65" s="103"/>
      <c r="N65" s="68"/>
      <c r="O65" s="103"/>
    </row>
    <row r="66" spans="1:15" ht="19.5" customHeight="1">
      <c r="A66" s="108"/>
      <c r="B66" s="68"/>
      <c r="C66" s="103"/>
      <c r="D66" s="68"/>
      <c r="E66" s="103"/>
      <c r="F66" s="68"/>
      <c r="G66" s="103"/>
      <c r="H66" s="67"/>
      <c r="I66" s="67"/>
      <c r="J66" s="68"/>
      <c r="K66" s="68"/>
      <c r="L66" s="68"/>
      <c r="M66" s="103"/>
      <c r="N66" s="68"/>
      <c r="O66" s="103"/>
    </row>
    <row r="67" spans="1:15" ht="19.5" customHeight="1">
      <c r="A67" s="108"/>
      <c r="B67" s="68"/>
      <c r="C67" s="103"/>
      <c r="D67" s="68"/>
      <c r="E67" s="103"/>
      <c r="F67" s="68"/>
      <c r="G67" s="103"/>
      <c r="H67" s="67"/>
      <c r="I67" s="67"/>
      <c r="J67" s="68"/>
      <c r="K67" s="68"/>
      <c r="L67" s="68"/>
      <c r="M67" s="103"/>
      <c r="N67" s="68"/>
      <c r="O67" s="103"/>
    </row>
    <row r="68" spans="1:15" ht="19.5" customHeight="1">
      <c r="A68" s="108"/>
      <c r="B68" s="68"/>
      <c r="C68" s="103"/>
      <c r="D68" s="68"/>
      <c r="E68" s="103"/>
      <c r="F68" s="68"/>
      <c r="G68" s="103"/>
      <c r="H68" s="67"/>
      <c r="I68" s="67"/>
      <c r="J68" s="68"/>
      <c r="K68" s="68"/>
      <c r="L68" s="68"/>
      <c r="M68" s="103"/>
      <c r="N68" s="68"/>
      <c r="O68" s="103"/>
    </row>
    <row r="69" spans="1:15" ht="19.5" customHeight="1">
      <c r="A69" s="108"/>
      <c r="B69" s="68"/>
      <c r="C69" s="103"/>
      <c r="D69" s="68"/>
      <c r="E69" s="103"/>
      <c r="F69" s="68"/>
      <c r="G69" s="103"/>
      <c r="H69" s="67"/>
      <c r="I69" s="67"/>
      <c r="J69" s="68"/>
      <c r="K69" s="68"/>
      <c r="L69" s="68"/>
      <c r="M69" s="103"/>
      <c r="N69" s="68"/>
      <c r="O69" s="103"/>
    </row>
    <row r="70" spans="1:15" ht="19.5" customHeight="1">
      <c r="A70" s="108"/>
      <c r="B70" s="68"/>
      <c r="C70" s="103"/>
      <c r="D70" s="68"/>
      <c r="E70" s="103"/>
      <c r="F70" s="68"/>
      <c r="G70" s="103"/>
      <c r="H70" s="67"/>
      <c r="I70" s="67"/>
      <c r="J70" s="68"/>
      <c r="K70" s="68"/>
      <c r="L70" s="68"/>
      <c r="M70" s="103"/>
      <c r="N70" s="68"/>
      <c r="O70" s="103"/>
    </row>
    <row r="71" spans="1:15" ht="19.5" customHeight="1">
      <c r="A71" s="108"/>
      <c r="B71" s="68"/>
      <c r="C71" s="103"/>
      <c r="D71" s="68"/>
      <c r="E71" s="103"/>
      <c r="F71" s="68"/>
      <c r="G71" s="103"/>
      <c r="H71" s="67"/>
      <c r="I71" s="67"/>
      <c r="J71" s="68"/>
      <c r="K71" s="68"/>
      <c r="L71" s="68"/>
      <c r="M71" s="103"/>
      <c r="N71" s="68"/>
      <c r="O71" s="103"/>
    </row>
    <row r="72" spans="1:15" ht="19.5" customHeight="1">
      <c r="A72" s="108"/>
      <c r="B72" s="68"/>
      <c r="C72" s="103"/>
      <c r="D72" s="68"/>
      <c r="E72" s="103"/>
      <c r="F72" s="68"/>
      <c r="G72" s="103"/>
      <c r="H72" s="67"/>
      <c r="I72" s="67"/>
      <c r="J72" s="68"/>
      <c r="K72" s="68"/>
      <c r="L72" s="68"/>
      <c r="M72" s="103"/>
      <c r="N72" s="68"/>
      <c r="O72" s="103"/>
    </row>
    <row r="73" spans="1:15" ht="19.5" customHeight="1">
      <c r="A73" s="108"/>
      <c r="B73" s="68"/>
      <c r="C73" s="103"/>
      <c r="D73" s="68"/>
      <c r="E73" s="103"/>
      <c r="F73" s="68"/>
      <c r="G73" s="103"/>
      <c r="H73" s="67"/>
      <c r="I73" s="67"/>
      <c r="J73" s="68"/>
      <c r="K73" s="68"/>
      <c r="L73" s="68"/>
      <c r="M73" s="103"/>
      <c r="N73" s="68"/>
      <c r="O73" s="103"/>
    </row>
    <row r="74" spans="1:15" ht="19.5" customHeight="1">
      <c r="A74" s="108"/>
      <c r="B74" s="68"/>
      <c r="C74" s="103"/>
      <c r="D74" s="68"/>
      <c r="E74" s="103"/>
      <c r="F74" s="68"/>
      <c r="G74" s="103"/>
      <c r="H74" s="67"/>
      <c r="I74" s="67"/>
      <c r="J74" s="68"/>
      <c r="K74" s="68"/>
      <c r="L74" s="68"/>
      <c r="M74" s="103"/>
      <c r="N74" s="68"/>
      <c r="O74" s="103"/>
    </row>
    <row r="75" spans="1:15" ht="19.5" customHeight="1">
      <c r="A75" s="108"/>
      <c r="B75" s="68"/>
      <c r="C75" s="103"/>
      <c r="D75" s="68"/>
      <c r="E75" s="103"/>
      <c r="F75" s="68"/>
      <c r="G75" s="103"/>
      <c r="H75" s="67"/>
      <c r="I75" s="67"/>
      <c r="J75" s="68"/>
      <c r="K75" s="68"/>
      <c r="L75" s="68"/>
      <c r="M75" s="103"/>
      <c r="N75" s="68"/>
      <c r="O75" s="103"/>
    </row>
    <row r="76" spans="1:15" ht="19.5" customHeight="1">
      <c r="A76" s="108"/>
      <c r="B76" s="68"/>
      <c r="C76" s="103"/>
      <c r="D76" s="68"/>
      <c r="E76" s="103"/>
      <c r="F76" s="68"/>
      <c r="G76" s="103"/>
      <c r="H76" s="67"/>
      <c r="I76" s="67"/>
      <c r="J76" s="68"/>
      <c r="K76" s="68"/>
      <c r="L76" s="68"/>
      <c r="M76" s="103"/>
      <c r="N76" s="68"/>
      <c r="O76" s="103"/>
    </row>
    <row r="77" spans="1:15" ht="19.5" customHeight="1">
      <c r="A77" s="108"/>
      <c r="B77" s="68"/>
      <c r="C77" s="103"/>
      <c r="D77" s="68"/>
      <c r="E77" s="103"/>
      <c r="F77" s="68"/>
      <c r="G77" s="103"/>
      <c r="H77" s="67"/>
      <c r="I77" s="67"/>
      <c r="J77" s="68"/>
      <c r="K77" s="68"/>
      <c r="L77" s="68"/>
      <c r="M77" s="103"/>
      <c r="N77" s="68"/>
      <c r="O77" s="103"/>
    </row>
    <row r="78" spans="1:15" ht="19.5" customHeight="1">
      <c r="A78" s="108"/>
      <c r="B78" s="68"/>
      <c r="C78" s="103"/>
      <c r="D78" s="68"/>
      <c r="E78" s="103"/>
      <c r="F78" s="68"/>
      <c r="G78" s="103"/>
      <c r="H78" s="67"/>
      <c r="I78" s="67"/>
      <c r="J78" s="68"/>
      <c r="K78" s="68"/>
      <c r="L78" s="68"/>
      <c r="M78" s="103"/>
      <c r="N78" s="68"/>
      <c r="O78" s="103"/>
    </row>
    <row r="79" spans="1:15" ht="19.5" customHeight="1">
      <c r="A79" s="108"/>
      <c r="B79" s="68"/>
      <c r="C79" s="103"/>
      <c r="D79" s="68"/>
      <c r="E79" s="103"/>
      <c r="F79" s="68"/>
      <c r="G79" s="103"/>
      <c r="H79" s="67"/>
      <c r="I79" s="67"/>
      <c r="J79" s="68"/>
      <c r="K79" s="68"/>
      <c r="L79" s="68"/>
      <c r="M79" s="103"/>
      <c r="N79" s="68"/>
      <c r="O79" s="103"/>
    </row>
    <row r="80" spans="1:15" ht="19.5" customHeight="1">
      <c r="A80" s="108"/>
      <c r="B80" s="68"/>
      <c r="C80" s="103"/>
      <c r="D80" s="68"/>
      <c r="E80" s="103"/>
      <c r="F80" s="68"/>
      <c r="G80" s="103"/>
      <c r="H80" s="67"/>
      <c r="I80" s="67"/>
      <c r="J80" s="68"/>
      <c r="K80" s="68"/>
      <c r="L80" s="68"/>
      <c r="M80" s="103"/>
      <c r="N80" s="68"/>
      <c r="O80" s="103"/>
    </row>
    <row r="81" spans="1:15" ht="19.5" customHeight="1">
      <c r="A81" s="108"/>
      <c r="B81" s="68"/>
      <c r="C81" s="103"/>
      <c r="D81" s="68"/>
      <c r="E81" s="103"/>
      <c r="F81" s="68"/>
      <c r="G81" s="103"/>
      <c r="H81" s="67"/>
      <c r="I81" s="67"/>
      <c r="J81" s="68"/>
      <c r="K81" s="68"/>
      <c r="L81" s="68"/>
      <c r="M81" s="103"/>
      <c r="N81" s="68"/>
      <c r="O81" s="103"/>
    </row>
    <row r="82" spans="1:15" ht="19.5" customHeight="1">
      <c r="A82" s="108"/>
      <c r="B82" s="68"/>
      <c r="C82" s="103"/>
      <c r="D82" s="68"/>
      <c r="E82" s="103"/>
      <c r="F82" s="68"/>
      <c r="G82" s="103"/>
      <c r="H82" s="67"/>
      <c r="I82" s="67"/>
      <c r="J82" s="68"/>
      <c r="K82" s="68"/>
      <c r="L82" s="68"/>
      <c r="M82" s="103"/>
      <c r="N82" s="68"/>
      <c r="O82" s="103"/>
    </row>
    <row r="83" spans="1:15" ht="19.5" customHeight="1">
      <c r="A83" s="108"/>
      <c r="B83" s="68"/>
      <c r="C83" s="103"/>
      <c r="D83" s="68"/>
      <c r="E83" s="103"/>
      <c r="F83" s="68"/>
      <c r="G83" s="103"/>
      <c r="H83" s="67"/>
      <c r="I83" s="67"/>
      <c r="J83" s="68"/>
      <c r="K83" s="68"/>
      <c r="L83" s="68"/>
      <c r="M83" s="103"/>
      <c r="N83" s="68"/>
      <c r="O83" s="103"/>
    </row>
    <row r="84" spans="1:15" ht="19.5" customHeight="1">
      <c r="A84" s="108"/>
      <c r="B84" s="68"/>
      <c r="C84" s="103"/>
      <c r="D84" s="68"/>
      <c r="E84" s="103"/>
      <c r="F84" s="68"/>
      <c r="G84" s="103"/>
      <c r="H84" s="67"/>
      <c r="I84" s="67"/>
      <c r="J84" s="68"/>
      <c r="K84" s="68"/>
      <c r="L84" s="68"/>
      <c r="M84" s="103"/>
      <c r="N84" s="68"/>
      <c r="O84" s="103"/>
    </row>
    <row r="85" spans="1:15" ht="19.5" customHeight="1">
      <c r="A85" s="108"/>
      <c r="B85" s="68"/>
      <c r="C85" s="103"/>
      <c r="D85" s="68"/>
      <c r="E85" s="103"/>
      <c r="F85" s="68"/>
      <c r="G85" s="103"/>
      <c r="H85" s="67"/>
      <c r="I85" s="67"/>
      <c r="J85" s="68"/>
      <c r="K85" s="68"/>
      <c r="L85" s="68"/>
      <c r="M85" s="103"/>
      <c r="N85" s="68"/>
      <c r="O85" s="103"/>
    </row>
    <row r="86" spans="1:15" ht="19.5" customHeight="1">
      <c r="A86" s="108"/>
      <c r="B86" s="68"/>
      <c r="C86" s="103"/>
      <c r="D86" s="68"/>
      <c r="E86" s="103"/>
      <c r="F86" s="68"/>
      <c r="G86" s="103"/>
      <c r="H86" s="67"/>
      <c r="I86" s="67"/>
      <c r="J86" s="68"/>
      <c r="K86" s="68"/>
      <c r="L86" s="68"/>
      <c r="M86" s="103"/>
      <c r="N86" s="68"/>
      <c r="O86" s="103"/>
    </row>
    <row r="87" spans="1:15" ht="19.5" customHeight="1">
      <c r="A87" s="108"/>
      <c r="B87" s="68"/>
      <c r="C87" s="103"/>
      <c r="D87" s="68"/>
      <c r="E87" s="103"/>
      <c r="F87" s="68"/>
      <c r="G87" s="103"/>
      <c r="H87" s="67"/>
      <c r="I87" s="67"/>
      <c r="J87" s="68"/>
      <c r="K87" s="68"/>
      <c r="L87" s="68"/>
      <c r="M87" s="103"/>
      <c r="N87" s="68"/>
      <c r="O87" s="103"/>
    </row>
    <row r="88" spans="1:15" ht="19.5" customHeight="1">
      <c r="A88" s="108"/>
      <c r="B88" s="68"/>
      <c r="C88" s="103"/>
      <c r="D88" s="68"/>
      <c r="E88" s="103"/>
      <c r="F88" s="68"/>
      <c r="G88" s="103"/>
      <c r="H88" s="67"/>
      <c r="I88" s="67"/>
      <c r="J88" s="68"/>
      <c r="K88" s="68"/>
      <c r="L88" s="68"/>
      <c r="M88" s="103"/>
      <c r="N88" s="68"/>
      <c r="O88" s="103"/>
    </row>
    <row r="89" spans="1:15" ht="19.5" customHeight="1">
      <c r="A89" s="108"/>
      <c r="B89" s="68"/>
      <c r="C89" s="103"/>
      <c r="D89" s="68"/>
      <c r="E89" s="103"/>
      <c r="F89" s="68"/>
      <c r="G89" s="103"/>
      <c r="H89" s="67"/>
      <c r="I89" s="67"/>
      <c r="J89" s="68"/>
      <c r="K89" s="68"/>
      <c r="L89" s="68"/>
      <c r="M89" s="103"/>
      <c r="N89" s="68"/>
      <c r="O89" s="103"/>
    </row>
    <row r="90" spans="1:15" ht="19.5" customHeight="1">
      <c r="A90" s="108"/>
      <c r="B90" s="68"/>
      <c r="C90" s="103"/>
      <c r="D90" s="68"/>
      <c r="E90" s="103"/>
      <c r="F90" s="68"/>
      <c r="G90" s="103"/>
      <c r="H90" s="67"/>
      <c r="I90" s="67"/>
      <c r="J90" s="68"/>
      <c r="K90" s="68"/>
      <c r="L90" s="68"/>
      <c r="M90" s="103"/>
      <c r="N90" s="68"/>
      <c r="O90" s="103"/>
    </row>
    <row r="91" spans="1:15" ht="19.5" customHeight="1">
      <c r="A91" s="108"/>
      <c r="B91" s="68"/>
      <c r="C91" s="103"/>
      <c r="D91" s="68"/>
      <c r="E91" s="103"/>
      <c r="F91" s="68"/>
      <c r="G91" s="103"/>
      <c r="H91" s="67"/>
      <c r="I91" s="67"/>
      <c r="J91" s="68"/>
      <c r="K91" s="68"/>
      <c r="L91" s="68"/>
      <c r="M91" s="103"/>
      <c r="N91" s="68"/>
      <c r="O91" s="103"/>
    </row>
    <row r="92" spans="1:15" ht="19.5" customHeight="1">
      <c r="A92" s="108"/>
      <c r="B92" s="68"/>
      <c r="C92" s="103"/>
      <c r="D92" s="68"/>
      <c r="E92" s="103"/>
      <c r="F92" s="68"/>
      <c r="G92" s="103"/>
      <c r="H92" s="67"/>
      <c r="I92" s="67"/>
      <c r="J92" s="68"/>
      <c r="K92" s="68"/>
      <c r="L92" s="68"/>
      <c r="M92" s="103"/>
      <c r="N92" s="68"/>
      <c r="O92" s="103"/>
    </row>
    <row r="93" spans="1:15" ht="19.5" customHeight="1">
      <c r="A93" s="108"/>
      <c r="B93" s="68"/>
      <c r="C93" s="103"/>
      <c r="D93" s="68"/>
      <c r="E93" s="103"/>
      <c r="F93" s="68"/>
      <c r="G93" s="103"/>
      <c r="H93" s="67"/>
      <c r="I93" s="67"/>
      <c r="J93" s="68"/>
      <c r="K93" s="68"/>
      <c r="L93" s="68"/>
      <c r="M93" s="103"/>
      <c r="N93" s="68"/>
      <c r="O93" s="103"/>
    </row>
    <row r="94" spans="1:15" ht="19.5" customHeight="1">
      <c r="A94" s="108"/>
      <c r="B94" s="68"/>
      <c r="C94" s="103"/>
      <c r="D94" s="68"/>
      <c r="E94" s="103"/>
      <c r="F94" s="68"/>
      <c r="G94" s="103"/>
      <c r="H94" s="67"/>
      <c r="I94" s="67"/>
      <c r="J94" s="68"/>
      <c r="K94" s="68"/>
      <c r="L94" s="68"/>
      <c r="M94" s="103"/>
      <c r="N94" s="68"/>
      <c r="O94" s="103"/>
    </row>
    <row r="95" spans="1:15" ht="19.5" customHeight="1">
      <c r="A95" s="108"/>
      <c r="B95" s="68"/>
      <c r="C95" s="103"/>
      <c r="D95" s="68"/>
      <c r="E95" s="103"/>
      <c r="F95" s="68"/>
      <c r="G95" s="103"/>
      <c r="H95" s="67"/>
      <c r="I95" s="67"/>
      <c r="J95" s="68"/>
      <c r="K95" s="68"/>
      <c r="L95" s="68"/>
      <c r="M95" s="103"/>
      <c r="N95" s="68"/>
      <c r="O95" s="103"/>
    </row>
    <row r="96" spans="1:15" ht="19.5" customHeight="1">
      <c r="A96" s="108"/>
      <c r="B96" s="68"/>
      <c r="C96" s="103"/>
      <c r="D96" s="68"/>
      <c r="E96" s="103"/>
      <c r="F96" s="68"/>
      <c r="G96" s="103"/>
      <c r="H96" s="67"/>
      <c r="I96" s="67"/>
      <c r="J96" s="68"/>
      <c r="K96" s="68"/>
      <c r="L96" s="68"/>
      <c r="M96" s="103"/>
      <c r="N96" s="68"/>
      <c r="O96" s="103"/>
    </row>
    <row r="97" spans="1:15" ht="19.5" customHeight="1">
      <c r="A97" s="108"/>
      <c r="B97" s="68"/>
      <c r="C97" s="103"/>
      <c r="D97" s="68"/>
      <c r="E97" s="103"/>
      <c r="F97" s="68"/>
      <c r="G97" s="103"/>
      <c r="H97" s="67"/>
      <c r="I97" s="67"/>
      <c r="J97" s="68"/>
      <c r="K97" s="68"/>
      <c r="L97" s="68"/>
      <c r="M97" s="103"/>
      <c r="N97" s="68"/>
      <c r="O97" s="103"/>
    </row>
    <row r="98" spans="1:15" ht="19.5" customHeight="1">
      <c r="A98" s="108"/>
      <c r="B98" s="68"/>
      <c r="C98" s="103"/>
      <c r="D98" s="68"/>
      <c r="E98" s="103"/>
      <c r="F98" s="68"/>
      <c r="G98" s="103"/>
      <c r="H98" s="67"/>
      <c r="I98" s="67"/>
      <c r="J98" s="68"/>
      <c r="K98" s="68"/>
      <c r="L98" s="68"/>
      <c r="M98" s="103"/>
      <c r="N98" s="68"/>
      <c r="O98" s="103"/>
    </row>
    <row r="99" spans="1:15" ht="19.5" customHeight="1">
      <c r="A99" s="108"/>
      <c r="B99" s="68"/>
      <c r="C99" s="103"/>
      <c r="D99" s="68"/>
      <c r="E99" s="103"/>
      <c r="F99" s="68"/>
      <c r="G99" s="103"/>
      <c r="H99" s="67"/>
      <c r="I99" s="67"/>
      <c r="J99" s="68"/>
      <c r="K99" s="68"/>
      <c r="L99" s="68"/>
      <c r="M99" s="103"/>
      <c r="N99" s="68"/>
      <c r="O99" s="103"/>
    </row>
    <row r="100" spans="1:15" ht="19.5" customHeight="1">
      <c r="A100" s="108"/>
      <c r="B100" s="68"/>
      <c r="C100" s="103"/>
      <c r="D100" s="68"/>
      <c r="E100" s="103"/>
      <c r="F100" s="68"/>
      <c r="G100" s="103"/>
      <c r="H100" s="67"/>
      <c r="I100" s="67"/>
      <c r="J100" s="68"/>
      <c r="K100" s="68"/>
      <c r="L100" s="68"/>
      <c r="M100" s="103"/>
      <c r="N100" s="68"/>
      <c r="O100" s="103"/>
    </row>
    <row r="101" spans="1:15" ht="19.5" customHeight="1">
      <c r="A101" s="108"/>
      <c r="B101" s="68"/>
      <c r="C101" s="103"/>
      <c r="D101" s="68"/>
      <c r="E101" s="103"/>
      <c r="F101" s="68"/>
      <c r="G101" s="103"/>
      <c r="H101" s="67"/>
      <c r="I101" s="67"/>
      <c r="J101" s="68"/>
      <c r="K101" s="68"/>
      <c r="L101" s="68"/>
      <c r="M101" s="103"/>
      <c r="N101" s="68"/>
      <c r="O101" s="103"/>
    </row>
    <row r="102" spans="1:15" ht="19.5" customHeight="1">
      <c r="A102" s="108"/>
      <c r="B102" s="68"/>
      <c r="C102" s="103"/>
      <c r="D102" s="68"/>
      <c r="E102" s="103"/>
      <c r="F102" s="68"/>
      <c r="G102" s="103"/>
      <c r="H102" s="67"/>
      <c r="I102" s="67"/>
      <c r="J102" s="68"/>
      <c r="K102" s="68"/>
      <c r="L102" s="68"/>
      <c r="M102" s="103"/>
      <c r="N102" s="68"/>
      <c r="O102" s="103"/>
    </row>
    <row r="103" spans="1:15" ht="19.5" customHeight="1">
      <c r="A103" s="108"/>
      <c r="B103" s="68"/>
      <c r="C103" s="103"/>
      <c r="D103" s="68"/>
      <c r="E103" s="103"/>
      <c r="F103" s="68"/>
      <c r="G103" s="103"/>
      <c r="H103" s="67"/>
      <c r="I103" s="67"/>
      <c r="J103" s="68"/>
      <c r="K103" s="68"/>
      <c r="L103" s="68"/>
      <c r="M103" s="103"/>
      <c r="N103" s="68"/>
      <c r="O103" s="103"/>
    </row>
    <row r="104" spans="1:15" ht="19.5" customHeight="1">
      <c r="A104" s="108"/>
      <c r="B104" s="68"/>
      <c r="C104" s="103"/>
      <c r="D104" s="68"/>
      <c r="E104" s="103"/>
      <c r="F104" s="68"/>
      <c r="G104" s="103"/>
      <c r="H104" s="67"/>
      <c r="I104" s="67"/>
      <c r="J104" s="68"/>
      <c r="K104" s="68"/>
      <c r="L104" s="68"/>
      <c r="M104" s="103"/>
      <c r="N104" s="68"/>
      <c r="O104" s="103"/>
    </row>
    <row r="105" spans="1:15" ht="19.5" customHeight="1">
      <c r="A105" s="108"/>
      <c r="B105" s="68"/>
      <c r="C105" s="103"/>
      <c r="D105" s="68"/>
      <c r="E105" s="103"/>
      <c r="F105" s="68"/>
      <c r="G105" s="103"/>
      <c r="H105" s="67"/>
      <c r="I105" s="67"/>
      <c r="J105" s="68"/>
      <c r="K105" s="68"/>
      <c r="L105" s="68"/>
      <c r="M105" s="103"/>
      <c r="N105" s="68"/>
      <c r="O105" s="103"/>
    </row>
    <row r="106" spans="1:15" ht="19.5" customHeight="1">
      <c r="A106" s="108"/>
      <c r="B106" s="68"/>
      <c r="C106" s="103"/>
      <c r="D106" s="68"/>
      <c r="E106" s="103"/>
      <c r="F106" s="68"/>
      <c r="G106" s="103"/>
      <c r="H106" s="67"/>
      <c r="I106" s="67"/>
      <c r="J106" s="68"/>
      <c r="K106" s="68"/>
      <c r="L106" s="68"/>
      <c r="M106" s="103"/>
      <c r="N106" s="68"/>
      <c r="O106" s="103"/>
    </row>
    <row r="107" spans="1:15" ht="19.5" customHeight="1">
      <c r="A107" s="108"/>
      <c r="B107" s="68"/>
      <c r="C107" s="103"/>
      <c r="D107" s="68"/>
      <c r="E107" s="103"/>
      <c r="F107" s="68"/>
      <c r="G107" s="103"/>
      <c r="H107" s="67"/>
      <c r="I107" s="67"/>
      <c r="J107" s="68"/>
      <c r="K107" s="68"/>
      <c r="L107" s="68"/>
      <c r="M107" s="103"/>
      <c r="N107" s="68"/>
      <c r="O107" s="103"/>
    </row>
    <row r="108" spans="1:15" ht="19.5" customHeight="1">
      <c r="A108" s="108"/>
      <c r="B108" s="68"/>
      <c r="C108" s="103"/>
      <c r="D108" s="68"/>
      <c r="E108" s="103"/>
      <c r="F108" s="68"/>
      <c r="G108" s="103"/>
      <c r="H108" s="67"/>
      <c r="I108" s="67"/>
      <c r="J108" s="68"/>
      <c r="K108" s="68"/>
      <c r="L108" s="68"/>
      <c r="M108" s="103"/>
      <c r="N108" s="68"/>
      <c r="O108" s="103"/>
    </row>
    <row r="109" spans="1:15" ht="19.5" customHeight="1">
      <c r="A109" s="108"/>
      <c r="B109" s="68"/>
      <c r="C109" s="103"/>
      <c r="D109" s="68"/>
      <c r="E109" s="103"/>
      <c r="F109" s="68"/>
      <c r="G109" s="103"/>
      <c r="H109" s="67"/>
      <c r="I109" s="67"/>
      <c r="J109" s="68"/>
      <c r="K109" s="68"/>
      <c r="L109" s="68"/>
      <c r="M109" s="103"/>
      <c r="N109" s="68"/>
      <c r="O109" s="103"/>
    </row>
    <row r="110" spans="1:15" ht="19.5" customHeight="1">
      <c r="A110" s="108"/>
      <c r="B110" s="68"/>
      <c r="C110" s="103"/>
      <c r="D110" s="68"/>
      <c r="E110" s="103"/>
      <c r="F110" s="68"/>
      <c r="G110" s="103"/>
      <c r="H110" s="67"/>
      <c r="I110" s="67"/>
      <c r="J110" s="68"/>
      <c r="K110" s="68"/>
      <c r="L110" s="68"/>
      <c r="M110" s="103"/>
      <c r="N110" s="68"/>
      <c r="O110" s="103"/>
    </row>
    <row r="111" spans="1:15" ht="19.5" customHeight="1">
      <c r="A111" s="108"/>
      <c r="B111" s="68"/>
      <c r="C111" s="103"/>
      <c r="D111" s="68"/>
      <c r="E111" s="103"/>
      <c r="F111" s="68"/>
      <c r="G111" s="103"/>
      <c r="H111" s="67"/>
      <c r="I111" s="67"/>
      <c r="J111" s="68"/>
      <c r="K111" s="68"/>
      <c r="L111" s="68"/>
      <c r="M111" s="103"/>
      <c r="N111" s="68"/>
      <c r="O111" s="103"/>
    </row>
    <row r="112" spans="1:15" ht="19.5" customHeight="1">
      <c r="A112" s="108"/>
      <c r="B112" s="68"/>
      <c r="C112" s="103"/>
      <c r="D112" s="68"/>
      <c r="E112" s="103"/>
      <c r="F112" s="68"/>
      <c r="G112" s="103"/>
      <c r="H112" s="67"/>
      <c r="I112" s="67"/>
      <c r="J112" s="68"/>
      <c r="K112" s="68"/>
      <c r="L112" s="68"/>
      <c r="M112" s="103"/>
      <c r="N112" s="68"/>
      <c r="O112" s="103"/>
    </row>
    <row r="113" spans="1:15" ht="19.5" customHeight="1">
      <c r="A113" s="108"/>
      <c r="B113" s="68"/>
      <c r="C113" s="103"/>
      <c r="D113" s="68"/>
      <c r="E113" s="103"/>
      <c r="F113" s="68"/>
      <c r="G113" s="103"/>
      <c r="H113" s="67"/>
      <c r="I113" s="67"/>
      <c r="J113" s="68"/>
      <c r="K113" s="68"/>
      <c r="L113" s="68"/>
      <c r="M113" s="103"/>
      <c r="N113" s="68"/>
      <c r="O113" s="103"/>
    </row>
    <row r="114" spans="1:15" ht="19.5" customHeight="1">
      <c r="A114" s="108"/>
      <c r="B114" s="68"/>
      <c r="C114" s="103"/>
      <c r="D114" s="68"/>
      <c r="E114" s="103"/>
      <c r="F114" s="68"/>
      <c r="G114" s="103"/>
      <c r="H114" s="67"/>
      <c r="I114" s="67"/>
      <c r="J114" s="68"/>
      <c r="K114" s="68"/>
      <c r="L114" s="68"/>
      <c r="M114" s="103"/>
      <c r="N114" s="68"/>
      <c r="O114" s="103"/>
    </row>
    <row r="115" spans="1:15" ht="19.5" customHeight="1">
      <c r="A115" s="108"/>
      <c r="B115" s="68"/>
      <c r="C115" s="103"/>
      <c r="D115" s="68"/>
      <c r="E115" s="103"/>
      <c r="F115" s="68"/>
      <c r="G115" s="103"/>
      <c r="H115" s="67"/>
      <c r="I115" s="67"/>
      <c r="J115" s="68"/>
      <c r="K115" s="68"/>
      <c r="L115" s="68"/>
      <c r="M115" s="103"/>
      <c r="N115" s="68"/>
      <c r="O115" s="103"/>
    </row>
    <row r="116" spans="1:15" ht="19.5" customHeight="1">
      <c r="A116" s="108"/>
      <c r="B116" s="68"/>
      <c r="C116" s="103"/>
      <c r="D116" s="68"/>
      <c r="E116" s="103"/>
      <c r="F116" s="68"/>
      <c r="G116" s="103"/>
      <c r="H116" s="67"/>
      <c r="I116" s="67"/>
      <c r="J116" s="68"/>
      <c r="K116" s="68"/>
      <c r="L116" s="68"/>
      <c r="M116" s="103"/>
      <c r="N116" s="68"/>
      <c r="O116" s="103"/>
    </row>
    <row r="117" spans="1:15" ht="19.5" customHeight="1">
      <c r="A117" s="108"/>
      <c r="B117" s="68"/>
      <c r="C117" s="103"/>
      <c r="D117" s="68"/>
      <c r="E117" s="103"/>
      <c r="F117" s="68"/>
      <c r="G117" s="103"/>
      <c r="H117" s="67"/>
      <c r="I117" s="67"/>
      <c r="J117" s="68"/>
      <c r="K117" s="68"/>
      <c r="L117" s="68"/>
      <c r="M117" s="103"/>
      <c r="N117" s="68"/>
      <c r="O117" s="103"/>
    </row>
    <row r="118" spans="1:15" ht="19.5" customHeight="1">
      <c r="A118" s="108"/>
      <c r="B118" s="68"/>
      <c r="C118" s="103"/>
      <c r="D118" s="68"/>
      <c r="E118" s="103"/>
      <c r="F118" s="68"/>
      <c r="G118" s="103"/>
      <c r="H118" s="67"/>
      <c r="I118" s="67"/>
      <c r="J118" s="68"/>
      <c r="K118" s="68"/>
      <c r="L118" s="68"/>
      <c r="M118" s="103"/>
      <c r="N118" s="68"/>
      <c r="O118" s="103"/>
    </row>
    <row r="119" spans="1:15" ht="19.5" customHeight="1">
      <c r="A119" s="108"/>
      <c r="B119" s="68"/>
      <c r="C119" s="103"/>
      <c r="D119" s="68"/>
      <c r="E119" s="103"/>
      <c r="F119" s="68"/>
      <c r="G119" s="103"/>
      <c r="H119" s="67"/>
      <c r="I119" s="67"/>
      <c r="J119" s="68"/>
      <c r="K119" s="68"/>
      <c r="L119" s="68"/>
      <c r="M119" s="103"/>
      <c r="N119" s="68"/>
      <c r="O119" s="103"/>
    </row>
    <row r="120" spans="1:15" ht="19.5" customHeight="1">
      <c r="A120" s="108"/>
      <c r="B120" s="68"/>
      <c r="C120" s="103"/>
      <c r="D120" s="68"/>
      <c r="E120" s="103"/>
      <c r="F120" s="68"/>
      <c r="G120" s="103"/>
      <c r="H120" s="67"/>
      <c r="I120" s="67"/>
      <c r="J120" s="68"/>
      <c r="K120" s="68"/>
      <c r="L120" s="68"/>
      <c r="M120" s="103"/>
      <c r="N120" s="68"/>
      <c r="O120" s="103"/>
    </row>
    <row r="121" spans="1:15" ht="19.5" customHeight="1">
      <c r="A121" s="96"/>
      <c r="B121" s="19"/>
      <c r="C121" s="96"/>
      <c r="D121" s="19"/>
      <c r="E121" s="96"/>
      <c r="F121" s="19"/>
      <c r="G121" s="96"/>
      <c r="H121" s="19"/>
      <c r="I121" s="19"/>
      <c r="J121" s="19"/>
      <c r="K121" s="19"/>
      <c r="L121" s="19"/>
      <c r="M121" s="96"/>
      <c r="N121" s="19"/>
      <c r="O121" s="96"/>
    </row>
    <row r="122" spans="1:15" ht="19.5" customHeight="1">
      <c r="A122" s="96"/>
      <c r="B122" s="19"/>
      <c r="C122" s="96"/>
      <c r="D122" s="19"/>
      <c r="E122" s="96"/>
      <c r="F122" s="19"/>
      <c r="G122" s="96"/>
      <c r="H122" s="19"/>
      <c r="I122" s="19"/>
      <c r="J122" s="19"/>
      <c r="K122" s="19"/>
      <c r="L122" s="19"/>
      <c r="M122" s="96"/>
      <c r="N122" s="19"/>
      <c r="O122" s="96"/>
    </row>
    <row r="123" spans="1:15">
      <c r="A123" s="96"/>
      <c r="B123" s="19"/>
      <c r="C123" s="96"/>
      <c r="D123" s="19"/>
      <c r="E123" s="96"/>
      <c r="F123" s="19"/>
      <c r="G123" s="96"/>
      <c r="H123" s="19"/>
      <c r="I123" s="19"/>
      <c r="J123" s="19"/>
      <c r="K123" s="19"/>
      <c r="L123" s="19"/>
      <c r="M123" s="96"/>
      <c r="N123" s="19"/>
      <c r="O123" s="96"/>
    </row>
    <row r="124" spans="1:15">
      <c r="A124" s="96"/>
      <c r="B124" s="19"/>
      <c r="C124" s="96"/>
      <c r="D124" s="19"/>
      <c r="E124" s="96"/>
      <c r="F124" s="19"/>
      <c r="G124" s="96"/>
      <c r="H124" s="19"/>
      <c r="I124" s="19"/>
      <c r="J124" s="19"/>
      <c r="K124" s="19"/>
      <c r="L124" s="19"/>
      <c r="M124" s="96"/>
      <c r="N124" s="19"/>
      <c r="O124" s="96"/>
    </row>
    <row r="125" spans="1:15">
      <c r="A125" s="96"/>
      <c r="B125" s="19"/>
      <c r="C125" s="96"/>
      <c r="D125" s="19"/>
      <c r="E125" s="96"/>
      <c r="F125" s="19"/>
      <c r="G125" s="96"/>
      <c r="H125" s="19"/>
      <c r="I125" s="19"/>
      <c r="J125" s="19"/>
      <c r="K125" s="19"/>
      <c r="L125" s="19"/>
      <c r="M125" s="96"/>
      <c r="N125" s="19"/>
      <c r="O125" s="96"/>
    </row>
    <row r="126" spans="1:15">
      <c r="A126" s="96"/>
      <c r="B126" s="19"/>
      <c r="C126" s="96"/>
      <c r="D126" s="19"/>
      <c r="E126" s="96"/>
      <c r="F126" s="19"/>
      <c r="G126" s="96"/>
      <c r="H126" s="19"/>
      <c r="I126" s="19"/>
      <c r="J126" s="19"/>
      <c r="K126" s="19"/>
      <c r="L126" s="19"/>
      <c r="M126" s="96"/>
      <c r="N126" s="19"/>
      <c r="O126" s="96"/>
    </row>
    <row r="127" spans="1:15">
      <c r="A127" s="96"/>
      <c r="B127" s="19"/>
      <c r="C127" s="96"/>
      <c r="D127" s="19"/>
      <c r="E127" s="96"/>
      <c r="F127" s="19"/>
      <c r="G127" s="96"/>
      <c r="H127" s="19"/>
      <c r="I127" s="19"/>
      <c r="J127" s="19"/>
      <c r="K127" s="19"/>
      <c r="L127" s="19"/>
      <c r="M127" s="96"/>
      <c r="N127" s="19"/>
      <c r="O127" s="96"/>
    </row>
    <row r="128" spans="1:15">
      <c r="A128" s="96"/>
      <c r="B128" s="19"/>
      <c r="C128" s="96"/>
      <c r="D128" s="19"/>
      <c r="E128" s="96"/>
      <c r="F128" s="19"/>
      <c r="G128" s="96"/>
      <c r="H128" s="19"/>
      <c r="I128" s="19"/>
      <c r="J128" s="19"/>
      <c r="K128" s="19"/>
      <c r="L128" s="19"/>
      <c r="M128" s="96"/>
      <c r="N128" s="19"/>
      <c r="O128" s="96"/>
    </row>
    <row r="129" spans="1:15">
      <c r="A129" s="96"/>
      <c r="B129" s="19"/>
      <c r="C129" s="96"/>
      <c r="D129" s="19"/>
      <c r="E129" s="96"/>
      <c r="F129" s="19"/>
      <c r="G129" s="96"/>
      <c r="H129" s="19"/>
      <c r="I129" s="19"/>
      <c r="J129" s="19"/>
      <c r="K129" s="19"/>
      <c r="L129" s="19"/>
      <c r="M129" s="96"/>
      <c r="N129" s="19"/>
      <c r="O129" s="96"/>
    </row>
    <row r="130" spans="1:15">
      <c r="A130" s="96"/>
      <c r="B130" s="19"/>
      <c r="C130" s="96"/>
      <c r="D130" s="19"/>
      <c r="E130" s="96"/>
      <c r="F130" s="19"/>
      <c r="G130" s="96"/>
      <c r="H130" s="19"/>
      <c r="I130" s="19"/>
      <c r="J130" s="19"/>
      <c r="K130" s="19"/>
      <c r="L130" s="19"/>
      <c r="M130" s="96"/>
      <c r="N130" s="19"/>
      <c r="O130" s="96"/>
    </row>
    <row r="131" spans="1:15">
      <c r="A131" s="96"/>
      <c r="B131" s="19"/>
      <c r="C131" s="96"/>
      <c r="D131" s="19"/>
      <c r="E131" s="96"/>
      <c r="F131" s="19"/>
      <c r="G131" s="96"/>
      <c r="H131" s="19"/>
      <c r="I131" s="19"/>
      <c r="J131" s="19"/>
      <c r="K131" s="19"/>
      <c r="L131" s="19"/>
      <c r="M131" s="96"/>
      <c r="N131" s="19"/>
      <c r="O131" s="96"/>
    </row>
    <row r="132" spans="1:15">
      <c r="A132" s="96"/>
      <c r="B132" s="19"/>
      <c r="C132" s="96"/>
      <c r="D132" s="19"/>
      <c r="E132" s="96"/>
      <c r="F132" s="19"/>
      <c r="G132" s="96"/>
      <c r="H132" s="19"/>
      <c r="I132" s="19"/>
      <c r="J132" s="19"/>
      <c r="K132" s="19"/>
      <c r="L132" s="19"/>
      <c r="M132" s="96"/>
      <c r="N132" s="19"/>
      <c r="O132" s="96"/>
    </row>
    <row r="133" spans="1:15">
      <c r="A133" s="96"/>
      <c r="B133" s="19"/>
      <c r="C133" s="96"/>
      <c r="D133" s="19"/>
      <c r="E133" s="96"/>
      <c r="F133" s="19"/>
      <c r="G133" s="96"/>
      <c r="H133" s="19"/>
      <c r="I133" s="19"/>
      <c r="J133" s="19"/>
      <c r="K133" s="19"/>
      <c r="L133" s="19"/>
      <c r="M133" s="96"/>
      <c r="N133" s="19"/>
      <c r="O133" s="96"/>
    </row>
    <row r="134" spans="1:15">
      <c r="A134" s="96"/>
      <c r="B134" s="19"/>
      <c r="C134" s="96"/>
      <c r="D134" s="19"/>
      <c r="E134" s="96"/>
      <c r="F134" s="19"/>
      <c r="G134" s="96"/>
      <c r="H134" s="19"/>
      <c r="I134" s="19"/>
      <c r="J134" s="19"/>
      <c r="K134" s="19"/>
      <c r="L134" s="19"/>
      <c r="M134" s="96"/>
      <c r="N134" s="19"/>
      <c r="O134" s="96"/>
    </row>
    <row r="135" spans="1:15">
      <c r="A135" s="96"/>
      <c r="B135" s="19"/>
      <c r="C135" s="96"/>
      <c r="D135" s="19"/>
      <c r="E135" s="96"/>
      <c r="F135" s="19"/>
      <c r="G135" s="96"/>
      <c r="H135" s="19"/>
      <c r="I135" s="19"/>
      <c r="J135" s="19"/>
      <c r="K135" s="19"/>
      <c r="L135" s="19"/>
      <c r="M135" s="96"/>
      <c r="N135" s="19"/>
      <c r="O135" s="96"/>
    </row>
    <row r="136" spans="1:15">
      <c r="A136" s="96"/>
      <c r="B136" s="19"/>
      <c r="C136" s="96"/>
      <c r="D136" s="19"/>
      <c r="E136" s="96"/>
      <c r="F136" s="19"/>
      <c r="G136" s="96"/>
      <c r="H136" s="19"/>
      <c r="I136" s="19"/>
      <c r="J136" s="19"/>
      <c r="K136" s="19"/>
      <c r="L136" s="19"/>
      <c r="M136" s="96"/>
      <c r="N136" s="19"/>
      <c r="O136" s="96"/>
    </row>
    <row r="137" spans="1:15">
      <c r="A137" s="96"/>
      <c r="B137" s="19"/>
      <c r="C137" s="96"/>
      <c r="D137" s="19"/>
      <c r="E137" s="96"/>
      <c r="F137" s="19"/>
      <c r="G137" s="96"/>
      <c r="H137" s="19"/>
      <c r="I137" s="19"/>
      <c r="J137" s="19"/>
      <c r="K137" s="19"/>
      <c r="L137" s="19"/>
      <c r="M137" s="96"/>
      <c r="N137" s="19"/>
      <c r="O137" s="96"/>
    </row>
    <row r="138" spans="1:15">
      <c r="A138" s="96"/>
      <c r="B138" s="19"/>
      <c r="C138" s="96"/>
      <c r="D138" s="19"/>
      <c r="E138" s="96"/>
      <c r="F138" s="19"/>
      <c r="G138" s="96"/>
      <c r="H138" s="19"/>
      <c r="I138" s="19"/>
      <c r="J138" s="19"/>
      <c r="K138" s="19"/>
      <c r="L138" s="19"/>
      <c r="M138" s="96"/>
      <c r="N138" s="19"/>
      <c r="O138" s="96"/>
    </row>
    <row r="139" spans="1:15">
      <c r="A139" s="96"/>
      <c r="B139" s="19"/>
      <c r="C139" s="96"/>
      <c r="D139" s="19"/>
      <c r="E139" s="96"/>
      <c r="F139" s="19"/>
      <c r="G139" s="96"/>
      <c r="H139" s="19"/>
      <c r="I139" s="19"/>
      <c r="J139" s="19"/>
      <c r="K139" s="19"/>
      <c r="L139" s="19"/>
      <c r="M139" s="96"/>
      <c r="N139" s="19"/>
      <c r="O139" s="96"/>
    </row>
    <row r="140" spans="1:15">
      <c r="A140" s="96"/>
      <c r="B140" s="19"/>
      <c r="C140" s="96"/>
      <c r="D140" s="19"/>
      <c r="E140" s="96"/>
      <c r="F140" s="19"/>
      <c r="G140" s="96"/>
      <c r="H140" s="19"/>
      <c r="I140" s="19"/>
      <c r="J140" s="19"/>
      <c r="K140" s="19"/>
      <c r="L140" s="19"/>
      <c r="M140" s="96"/>
      <c r="N140" s="19"/>
      <c r="O140" s="96"/>
    </row>
    <row r="141" spans="1:15">
      <c r="A141" s="96"/>
      <c r="B141" s="19"/>
      <c r="C141" s="96"/>
      <c r="D141" s="19"/>
      <c r="E141" s="96"/>
      <c r="F141" s="19"/>
      <c r="G141" s="96"/>
      <c r="H141" s="19"/>
      <c r="I141" s="19"/>
      <c r="J141" s="19"/>
      <c r="K141" s="19"/>
      <c r="L141" s="19"/>
      <c r="M141" s="96"/>
      <c r="N141" s="19"/>
      <c r="O141" s="96"/>
    </row>
    <row r="142" spans="1:15">
      <c r="A142" s="96"/>
      <c r="B142" s="19"/>
      <c r="C142" s="96"/>
      <c r="D142" s="19"/>
      <c r="E142" s="96"/>
      <c r="F142" s="19"/>
      <c r="G142" s="96"/>
      <c r="H142" s="19"/>
      <c r="I142" s="19"/>
      <c r="J142" s="19"/>
      <c r="K142" s="19"/>
      <c r="L142" s="19"/>
      <c r="M142" s="96"/>
      <c r="N142" s="19"/>
      <c r="O142" s="96"/>
    </row>
    <row r="143" spans="1:15">
      <c r="A143" s="96"/>
      <c r="B143" s="19"/>
      <c r="C143" s="96"/>
      <c r="D143" s="19"/>
      <c r="E143" s="96"/>
      <c r="F143" s="19"/>
      <c r="G143" s="96"/>
      <c r="H143" s="19"/>
      <c r="I143" s="19"/>
      <c r="J143" s="19"/>
      <c r="K143" s="19"/>
      <c r="L143" s="19"/>
      <c r="M143" s="96"/>
      <c r="N143" s="19"/>
      <c r="O143" s="96"/>
    </row>
    <row r="144" spans="1:15">
      <c r="A144" s="96"/>
      <c r="B144" s="19"/>
      <c r="C144" s="96"/>
      <c r="D144" s="19"/>
      <c r="E144" s="96"/>
      <c r="F144" s="19"/>
      <c r="G144" s="96"/>
      <c r="H144" s="19"/>
      <c r="I144" s="19"/>
      <c r="J144" s="19"/>
      <c r="K144" s="19"/>
      <c r="L144" s="19"/>
      <c r="M144" s="96"/>
      <c r="N144" s="19"/>
      <c r="O144" s="96"/>
    </row>
    <row r="145" spans="1:15">
      <c r="A145" s="96"/>
      <c r="B145" s="19"/>
      <c r="C145" s="96"/>
      <c r="D145" s="19"/>
      <c r="E145" s="96"/>
      <c r="F145" s="19"/>
      <c r="G145" s="96"/>
      <c r="H145" s="19"/>
      <c r="I145" s="19"/>
      <c r="J145" s="19"/>
      <c r="K145" s="19"/>
      <c r="L145" s="19"/>
      <c r="M145" s="96"/>
      <c r="N145" s="19"/>
      <c r="O145" s="96"/>
    </row>
    <row r="146" spans="1:15">
      <c r="A146" s="96"/>
      <c r="B146" s="19"/>
      <c r="C146" s="96"/>
      <c r="D146" s="19"/>
      <c r="E146" s="96"/>
      <c r="F146" s="19"/>
      <c r="G146" s="96"/>
      <c r="H146" s="19"/>
      <c r="I146" s="19"/>
      <c r="J146" s="19"/>
      <c r="K146" s="19"/>
      <c r="L146" s="19"/>
      <c r="M146" s="96"/>
      <c r="N146" s="19"/>
      <c r="O146" s="96"/>
    </row>
    <row r="147" spans="1:15">
      <c r="A147" s="96"/>
      <c r="B147" s="19"/>
      <c r="C147" s="96"/>
      <c r="D147" s="19"/>
      <c r="E147" s="96"/>
      <c r="F147" s="19"/>
      <c r="G147" s="96"/>
      <c r="H147" s="19"/>
      <c r="I147" s="19"/>
      <c r="J147" s="19"/>
      <c r="K147" s="19"/>
      <c r="L147" s="19"/>
      <c r="M147" s="96"/>
      <c r="N147" s="19"/>
      <c r="O147" s="96"/>
    </row>
    <row r="148" spans="1:15">
      <c r="A148" s="96"/>
      <c r="B148" s="19"/>
      <c r="C148" s="96"/>
      <c r="D148" s="19"/>
      <c r="E148" s="96"/>
      <c r="F148" s="19"/>
      <c r="G148" s="96"/>
      <c r="H148" s="19"/>
      <c r="I148" s="19"/>
      <c r="J148" s="19"/>
      <c r="K148" s="19"/>
      <c r="L148" s="19"/>
      <c r="M148" s="96"/>
      <c r="N148" s="19"/>
      <c r="O148" s="96"/>
    </row>
    <row r="149" spans="1:15">
      <c r="A149" s="96"/>
      <c r="B149" s="19"/>
      <c r="C149" s="96"/>
      <c r="D149" s="19"/>
      <c r="E149" s="96"/>
      <c r="F149" s="19"/>
      <c r="G149" s="96"/>
      <c r="H149" s="19"/>
      <c r="I149" s="19"/>
      <c r="J149" s="19"/>
      <c r="K149" s="19"/>
      <c r="L149" s="19"/>
      <c r="M149" s="96"/>
      <c r="N149" s="19"/>
      <c r="O149" s="96"/>
    </row>
    <row r="150" spans="1:15">
      <c r="A150" s="96"/>
      <c r="B150" s="19"/>
      <c r="C150" s="96"/>
      <c r="D150" s="19"/>
      <c r="E150" s="96"/>
      <c r="F150" s="19"/>
      <c r="G150" s="96"/>
      <c r="H150" s="19"/>
      <c r="I150" s="19"/>
      <c r="J150" s="19"/>
      <c r="K150" s="19"/>
      <c r="L150" s="19"/>
      <c r="M150" s="96"/>
      <c r="N150" s="19"/>
      <c r="O150" s="96"/>
    </row>
    <row r="151" spans="1:15">
      <c r="A151" s="96"/>
      <c r="B151" s="19"/>
      <c r="C151" s="96"/>
      <c r="D151" s="19"/>
      <c r="E151" s="96"/>
      <c r="F151" s="19"/>
      <c r="G151" s="96"/>
      <c r="H151" s="19"/>
      <c r="I151" s="19"/>
      <c r="J151" s="19"/>
      <c r="K151" s="19"/>
      <c r="L151" s="19"/>
      <c r="M151" s="96"/>
      <c r="N151" s="19"/>
      <c r="O151" s="96"/>
    </row>
    <row r="152" spans="1:15">
      <c r="A152" s="96"/>
      <c r="B152" s="19"/>
      <c r="C152" s="96"/>
      <c r="D152" s="19"/>
      <c r="E152" s="96"/>
      <c r="F152" s="19"/>
      <c r="G152" s="96"/>
      <c r="H152" s="19"/>
      <c r="I152" s="19"/>
      <c r="J152" s="19"/>
      <c r="K152" s="19"/>
      <c r="L152" s="19"/>
      <c r="M152" s="96"/>
      <c r="N152" s="19"/>
      <c r="O152" s="96"/>
    </row>
    <row r="153" spans="1:15">
      <c r="A153" s="96"/>
      <c r="B153" s="19"/>
      <c r="C153" s="96"/>
      <c r="D153" s="19"/>
      <c r="E153" s="96"/>
      <c r="F153" s="19"/>
      <c r="G153" s="96"/>
      <c r="H153" s="19"/>
      <c r="I153" s="19"/>
      <c r="J153" s="19"/>
      <c r="K153" s="19"/>
      <c r="L153" s="19"/>
      <c r="M153" s="96"/>
      <c r="N153" s="19"/>
      <c r="O153" s="96"/>
    </row>
    <row r="154" spans="1:15">
      <c r="A154" s="96"/>
      <c r="B154" s="19"/>
      <c r="C154" s="96"/>
      <c r="D154" s="19"/>
      <c r="E154" s="96"/>
      <c r="F154" s="19"/>
      <c r="G154" s="96"/>
      <c r="H154" s="19"/>
      <c r="I154" s="19"/>
      <c r="J154" s="19"/>
      <c r="K154" s="19"/>
      <c r="L154" s="19"/>
      <c r="M154" s="96"/>
      <c r="N154" s="19"/>
      <c r="O154" s="96"/>
    </row>
    <row r="155" spans="1:15">
      <c r="A155" s="96"/>
      <c r="B155" s="19"/>
      <c r="C155" s="96"/>
      <c r="D155" s="19"/>
      <c r="E155" s="96"/>
      <c r="F155" s="19"/>
      <c r="G155" s="96"/>
      <c r="H155" s="19"/>
      <c r="I155" s="19"/>
      <c r="J155" s="19"/>
      <c r="K155" s="19"/>
      <c r="L155" s="19"/>
      <c r="M155" s="96"/>
      <c r="N155" s="19"/>
      <c r="O155" s="96"/>
    </row>
    <row r="156" spans="1:15">
      <c r="A156" s="96"/>
      <c r="B156" s="19"/>
      <c r="C156" s="96"/>
      <c r="D156" s="19"/>
      <c r="E156" s="96"/>
      <c r="F156" s="19"/>
      <c r="G156" s="96"/>
      <c r="H156" s="19"/>
      <c r="I156" s="19"/>
      <c r="J156" s="19"/>
      <c r="K156" s="19"/>
      <c r="L156" s="19"/>
      <c r="M156" s="96"/>
      <c r="N156" s="19"/>
      <c r="O156" s="96"/>
    </row>
    <row r="157" spans="1:15">
      <c r="A157" s="96"/>
      <c r="B157" s="19"/>
      <c r="C157" s="96"/>
      <c r="D157" s="19"/>
      <c r="E157" s="96"/>
      <c r="F157" s="19"/>
      <c r="G157" s="96"/>
      <c r="H157" s="19"/>
      <c r="I157" s="19"/>
      <c r="J157" s="19"/>
      <c r="K157" s="19"/>
      <c r="L157" s="19"/>
      <c r="M157" s="96"/>
      <c r="N157" s="19"/>
      <c r="O157" s="96"/>
    </row>
    <row r="158" spans="1:15">
      <c r="A158" s="96"/>
      <c r="B158" s="19"/>
      <c r="C158" s="96"/>
      <c r="D158" s="19"/>
      <c r="E158" s="96"/>
      <c r="F158" s="19"/>
      <c r="G158" s="96"/>
      <c r="H158" s="19"/>
      <c r="I158" s="19"/>
      <c r="J158" s="19"/>
      <c r="K158" s="19"/>
      <c r="L158" s="19"/>
      <c r="M158" s="96"/>
      <c r="N158" s="19"/>
      <c r="O158" s="96"/>
    </row>
    <row r="159" spans="1:15">
      <c r="A159" s="96"/>
      <c r="B159" s="19"/>
      <c r="C159" s="96"/>
      <c r="D159" s="19"/>
      <c r="E159" s="96"/>
      <c r="F159" s="19"/>
      <c r="G159" s="96"/>
      <c r="H159" s="19"/>
      <c r="I159" s="19"/>
      <c r="J159" s="19"/>
      <c r="K159" s="19"/>
      <c r="L159" s="19"/>
      <c r="M159" s="96"/>
      <c r="N159" s="19"/>
      <c r="O159" s="96"/>
    </row>
    <row r="160" spans="1:15">
      <c r="A160" s="96"/>
      <c r="B160" s="19"/>
      <c r="C160" s="96"/>
      <c r="D160" s="19"/>
      <c r="E160" s="96"/>
      <c r="F160" s="19"/>
      <c r="G160" s="96"/>
      <c r="H160" s="19"/>
      <c r="I160" s="19"/>
      <c r="J160" s="19"/>
      <c r="K160" s="19"/>
      <c r="L160" s="19"/>
      <c r="M160" s="96"/>
      <c r="N160" s="19"/>
      <c r="O160" s="96"/>
    </row>
    <row r="161" spans="1:15">
      <c r="A161" s="96"/>
      <c r="B161" s="19"/>
      <c r="C161" s="96"/>
      <c r="D161" s="19"/>
      <c r="E161" s="96"/>
      <c r="F161" s="19"/>
      <c r="G161" s="96"/>
      <c r="H161" s="19"/>
      <c r="I161" s="19"/>
      <c r="J161" s="19"/>
      <c r="K161" s="19"/>
      <c r="L161" s="19"/>
      <c r="M161" s="96"/>
      <c r="N161" s="19"/>
      <c r="O161" s="96"/>
    </row>
    <row r="162" spans="1:15">
      <c r="A162" s="96"/>
      <c r="B162" s="19"/>
      <c r="C162" s="96"/>
      <c r="D162" s="19"/>
      <c r="E162" s="96"/>
      <c r="F162" s="19"/>
      <c r="G162" s="96"/>
      <c r="H162" s="19"/>
      <c r="I162" s="19"/>
      <c r="J162" s="19"/>
      <c r="K162" s="19"/>
      <c r="L162" s="19"/>
      <c r="M162" s="96"/>
      <c r="N162" s="19"/>
      <c r="O162" s="96"/>
    </row>
    <row r="163" spans="1:15">
      <c r="A163" s="96"/>
      <c r="B163" s="19"/>
      <c r="C163" s="96"/>
      <c r="D163" s="19"/>
      <c r="E163" s="96"/>
      <c r="F163" s="19"/>
      <c r="G163" s="96"/>
      <c r="H163" s="19"/>
      <c r="I163" s="19"/>
      <c r="J163" s="19"/>
      <c r="K163" s="19"/>
      <c r="L163" s="19"/>
      <c r="M163" s="96"/>
      <c r="N163" s="19"/>
      <c r="O163" s="96"/>
    </row>
    <row r="164" spans="1:15">
      <c r="A164" s="96"/>
      <c r="B164" s="19"/>
      <c r="C164" s="96"/>
      <c r="D164" s="19"/>
      <c r="E164" s="96"/>
      <c r="F164" s="19"/>
      <c r="G164" s="96"/>
      <c r="H164" s="19"/>
      <c r="I164" s="19"/>
      <c r="J164" s="19"/>
      <c r="K164" s="19"/>
      <c r="L164" s="19"/>
      <c r="M164" s="96"/>
      <c r="N164" s="19"/>
      <c r="O164" s="96"/>
    </row>
    <row r="165" spans="1:15">
      <c r="A165" s="96"/>
      <c r="B165" s="19"/>
      <c r="C165" s="96"/>
      <c r="D165" s="19"/>
      <c r="E165" s="96"/>
      <c r="F165" s="19"/>
      <c r="G165" s="96"/>
      <c r="H165" s="19"/>
      <c r="I165" s="19"/>
      <c r="J165" s="19"/>
      <c r="K165" s="19"/>
      <c r="L165" s="19"/>
      <c r="M165" s="96"/>
      <c r="N165" s="19"/>
      <c r="O165" s="96"/>
    </row>
    <row r="166" spans="1:15">
      <c r="A166" s="96"/>
      <c r="B166" s="19"/>
      <c r="C166" s="96"/>
      <c r="D166" s="19"/>
      <c r="E166" s="96"/>
      <c r="F166" s="19"/>
      <c r="G166" s="96"/>
      <c r="H166" s="19"/>
      <c r="I166" s="19"/>
      <c r="J166" s="19"/>
      <c r="K166" s="19"/>
      <c r="L166" s="19"/>
      <c r="M166" s="96"/>
      <c r="N166" s="19"/>
      <c r="O166" s="96"/>
    </row>
    <row r="167" spans="1:15">
      <c r="A167" s="96"/>
      <c r="B167" s="19"/>
      <c r="C167" s="96"/>
      <c r="D167" s="19"/>
      <c r="E167" s="96"/>
      <c r="F167" s="19"/>
      <c r="G167" s="96"/>
      <c r="H167" s="19"/>
      <c r="I167" s="19"/>
      <c r="J167" s="19"/>
      <c r="K167" s="19"/>
      <c r="L167" s="19"/>
      <c r="M167" s="96"/>
      <c r="N167" s="19"/>
      <c r="O167" s="96"/>
    </row>
    <row r="168" spans="1:15">
      <c r="A168" s="96"/>
      <c r="B168" s="19"/>
      <c r="C168" s="96"/>
      <c r="D168" s="19"/>
      <c r="E168" s="96"/>
      <c r="F168" s="19"/>
      <c r="G168" s="96"/>
      <c r="H168" s="19"/>
      <c r="I168" s="19"/>
      <c r="J168" s="19"/>
      <c r="K168" s="19"/>
      <c r="L168" s="19"/>
      <c r="M168" s="96"/>
      <c r="N168" s="19"/>
      <c r="O168" s="96"/>
    </row>
    <row r="169" spans="1:15">
      <c r="A169" s="96"/>
      <c r="B169" s="19"/>
      <c r="C169" s="96"/>
      <c r="D169" s="19"/>
      <c r="E169" s="96"/>
      <c r="F169" s="19"/>
      <c r="G169" s="96"/>
      <c r="H169" s="19"/>
      <c r="I169" s="19"/>
      <c r="J169" s="19"/>
      <c r="K169" s="19"/>
      <c r="L169" s="19"/>
      <c r="M169" s="96"/>
      <c r="N169" s="19"/>
      <c r="O169" s="96"/>
    </row>
    <row r="170" spans="1:15">
      <c r="A170" s="96"/>
      <c r="B170" s="19"/>
      <c r="C170" s="96"/>
      <c r="D170" s="19"/>
      <c r="E170" s="96"/>
      <c r="F170" s="19"/>
      <c r="G170" s="96"/>
      <c r="H170" s="19"/>
      <c r="I170" s="19"/>
      <c r="J170" s="19"/>
      <c r="K170" s="19"/>
      <c r="L170" s="19"/>
      <c r="M170" s="96"/>
      <c r="N170" s="19"/>
      <c r="O170" s="96"/>
    </row>
    <row r="171" spans="1:15">
      <c r="A171" s="96"/>
      <c r="B171" s="19"/>
      <c r="C171" s="96"/>
      <c r="D171" s="19"/>
      <c r="E171" s="96"/>
      <c r="F171" s="19"/>
      <c r="G171" s="96"/>
      <c r="H171" s="19"/>
      <c r="I171" s="19"/>
      <c r="J171" s="19"/>
      <c r="K171" s="19"/>
      <c r="L171" s="19"/>
      <c r="M171" s="96"/>
      <c r="N171" s="19"/>
      <c r="O171" s="96"/>
    </row>
    <row r="172" spans="1:15">
      <c r="A172" s="96"/>
      <c r="B172" s="19"/>
      <c r="C172" s="96"/>
      <c r="D172" s="19"/>
      <c r="E172" s="96"/>
      <c r="F172" s="19"/>
      <c r="G172" s="96"/>
      <c r="H172" s="19"/>
      <c r="I172" s="19"/>
      <c r="J172" s="19"/>
      <c r="K172" s="19"/>
      <c r="L172" s="19"/>
      <c r="M172" s="96"/>
      <c r="N172" s="19"/>
      <c r="O172" s="96"/>
    </row>
    <row r="173" spans="1:15">
      <c r="A173" s="96"/>
      <c r="B173" s="19"/>
      <c r="C173" s="96"/>
      <c r="D173" s="19"/>
      <c r="E173" s="96"/>
      <c r="F173" s="19"/>
      <c r="G173" s="96"/>
      <c r="H173" s="19"/>
      <c r="I173" s="19"/>
      <c r="J173" s="19"/>
      <c r="K173" s="19"/>
      <c r="L173" s="19"/>
      <c r="M173" s="96"/>
      <c r="N173" s="19"/>
      <c r="O173" s="96"/>
    </row>
    <row r="174" spans="1:15">
      <c r="A174" s="96"/>
      <c r="B174" s="19"/>
      <c r="C174" s="96"/>
      <c r="D174" s="19"/>
      <c r="E174" s="96"/>
      <c r="F174" s="19"/>
      <c r="G174" s="96"/>
      <c r="H174" s="19"/>
      <c r="I174" s="19"/>
      <c r="J174" s="19"/>
      <c r="K174" s="19"/>
      <c r="L174" s="19"/>
      <c r="M174" s="96"/>
      <c r="N174" s="19"/>
      <c r="O174" s="96"/>
    </row>
    <row r="175" spans="1:15">
      <c r="A175" s="96"/>
      <c r="B175" s="19"/>
      <c r="C175" s="96"/>
      <c r="D175" s="19"/>
      <c r="E175" s="96"/>
      <c r="F175" s="19"/>
      <c r="G175" s="96"/>
      <c r="H175" s="19"/>
      <c r="I175" s="19"/>
      <c r="J175" s="19"/>
      <c r="K175" s="19"/>
      <c r="L175" s="19"/>
      <c r="M175" s="96"/>
      <c r="N175" s="19"/>
      <c r="O175" s="96"/>
    </row>
    <row r="176" spans="1:15">
      <c r="A176" s="96"/>
      <c r="B176" s="19"/>
      <c r="C176" s="96"/>
      <c r="D176" s="19"/>
      <c r="E176" s="96"/>
      <c r="F176" s="19"/>
      <c r="G176" s="96"/>
      <c r="H176" s="19"/>
      <c r="I176" s="19"/>
      <c r="J176" s="19"/>
      <c r="K176" s="19"/>
      <c r="L176" s="19"/>
      <c r="M176" s="96"/>
      <c r="N176" s="19"/>
      <c r="O176" s="96"/>
    </row>
    <row r="177" spans="1:15">
      <c r="A177" s="96"/>
      <c r="B177" s="19"/>
      <c r="C177" s="96"/>
      <c r="D177" s="19"/>
      <c r="E177" s="96"/>
      <c r="F177" s="19"/>
      <c r="G177" s="96"/>
      <c r="H177" s="19"/>
      <c r="I177" s="19"/>
      <c r="J177" s="19"/>
      <c r="K177" s="19"/>
      <c r="L177" s="19"/>
      <c r="M177" s="96"/>
      <c r="N177" s="19"/>
      <c r="O177" s="96"/>
    </row>
    <row r="178" spans="1:15">
      <c r="A178" s="96"/>
      <c r="B178" s="19"/>
      <c r="C178" s="96"/>
      <c r="D178" s="19"/>
      <c r="E178" s="96"/>
      <c r="F178" s="19"/>
      <c r="G178" s="96"/>
      <c r="H178" s="19"/>
      <c r="I178" s="19"/>
      <c r="J178" s="19"/>
      <c r="K178" s="19"/>
      <c r="L178" s="19"/>
      <c r="M178" s="96"/>
      <c r="N178" s="19"/>
      <c r="O178" s="96"/>
    </row>
    <row r="179" spans="1:15">
      <c r="A179" s="96"/>
      <c r="B179" s="19"/>
      <c r="C179" s="96"/>
      <c r="D179" s="19"/>
      <c r="E179" s="96"/>
      <c r="F179" s="19"/>
      <c r="G179" s="96"/>
      <c r="H179" s="19"/>
      <c r="I179" s="19"/>
      <c r="J179" s="19"/>
      <c r="K179" s="19"/>
      <c r="L179" s="19"/>
      <c r="M179" s="96"/>
      <c r="N179" s="19"/>
      <c r="O179" s="96"/>
    </row>
    <row r="180" spans="1:15">
      <c r="A180" s="96"/>
      <c r="B180" s="19"/>
      <c r="C180" s="96"/>
      <c r="D180" s="19"/>
      <c r="E180" s="96"/>
      <c r="F180" s="19"/>
      <c r="G180" s="96"/>
      <c r="H180" s="19"/>
      <c r="I180" s="19"/>
      <c r="J180" s="19"/>
      <c r="K180" s="19"/>
      <c r="L180" s="19"/>
      <c r="M180" s="96"/>
      <c r="N180" s="19"/>
      <c r="O180" s="96"/>
    </row>
    <row r="181" spans="1:15">
      <c r="A181" s="96"/>
      <c r="B181" s="19"/>
      <c r="C181" s="96"/>
      <c r="D181" s="19"/>
      <c r="E181" s="96"/>
      <c r="F181" s="19"/>
      <c r="G181" s="96"/>
      <c r="H181" s="19"/>
      <c r="I181" s="19"/>
      <c r="J181" s="19"/>
      <c r="K181" s="19"/>
      <c r="L181" s="19"/>
      <c r="M181" s="96"/>
      <c r="N181" s="19"/>
      <c r="O181" s="96"/>
    </row>
    <row r="182" spans="1:15">
      <c r="A182" s="96"/>
      <c r="B182" s="19"/>
      <c r="C182" s="96"/>
      <c r="D182" s="19"/>
      <c r="E182" s="96"/>
      <c r="F182" s="19"/>
      <c r="G182" s="96"/>
      <c r="H182" s="19"/>
      <c r="I182" s="19"/>
      <c r="J182" s="19"/>
      <c r="K182" s="19"/>
      <c r="L182" s="19"/>
      <c r="M182" s="96"/>
      <c r="N182" s="19"/>
      <c r="O182" s="96"/>
    </row>
    <row r="183" spans="1:15">
      <c r="A183" s="96"/>
      <c r="B183" s="19"/>
      <c r="C183" s="96"/>
      <c r="D183" s="19"/>
      <c r="E183" s="96"/>
      <c r="F183" s="19"/>
      <c r="G183" s="96"/>
      <c r="H183" s="19"/>
      <c r="I183" s="19"/>
      <c r="J183" s="19"/>
      <c r="K183" s="19"/>
      <c r="L183" s="19"/>
      <c r="M183" s="96"/>
      <c r="N183" s="19"/>
      <c r="O183" s="96"/>
    </row>
    <row r="184" spans="1:15">
      <c r="A184" s="96"/>
      <c r="B184" s="19"/>
      <c r="C184" s="96"/>
      <c r="D184" s="19"/>
      <c r="E184" s="96"/>
      <c r="F184" s="19"/>
      <c r="G184" s="96"/>
      <c r="H184" s="19"/>
      <c r="I184" s="19"/>
      <c r="J184" s="19"/>
      <c r="K184" s="19"/>
      <c r="L184" s="19"/>
      <c r="M184" s="96"/>
      <c r="N184" s="19"/>
      <c r="O184" s="96"/>
    </row>
    <row r="185" spans="1:15">
      <c r="A185" s="96"/>
      <c r="B185" s="19"/>
      <c r="C185" s="96"/>
      <c r="D185" s="19"/>
      <c r="E185" s="96"/>
      <c r="F185" s="19"/>
      <c r="G185" s="96"/>
      <c r="H185" s="19"/>
      <c r="I185" s="19"/>
      <c r="J185" s="19"/>
      <c r="K185" s="19"/>
      <c r="L185" s="19"/>
      <c r="M185" s="96"/>
      <c r="N185" s="19"/>
      <c r="O185" s="96"/>
    </row>
    <row r="186" spans="1:15">
      <c r="A186" s="96"/>
      <c r="B186" s="19"/>
      <c r="C186" s="96"/>
      <c r="D186" s="19"/>
      <c r="E186" s="96"/>
      <c r="F186" s="19"/>
      <c r="G186" s="96"/>
      <c r="H186" s="19"/>
      <c r="I186" s="19"/>
      <c r="J186" s="19"/>
      <c r="K186" s="19"/>
      <c r="L186" s="19"/>
      <c r="M186" s="96"/>
      <c r="N186" s="19"/>
      <c r="O186" s="96"/>
    </row>
    <row r="187" spans="1:15">
      <c r="A187" s="96"/>
      <c r="B187" s="19"/>
      <c r="C187" s="96"/>
      <c r="D187" s="19"/>
      <c r="E187" s="96"/>
      <c r="F187" s="19"/>
      <c r="G187" s="96"/>
      <c r="H187" s="19"/>
      <c r="I187" s="19"/>
      <c r="J187" s="19"/>
      <c r="K187" s="19"/>
      <c r="L187" s="19"/>
      <c r="M187" s="96"/>
      <c r="N187" s="19"/>
      <c r="O187" s="96"/>
    </row>
    <row r="188" spans="1:15">
      <c r="A188" s="96"/>
      <c r="B188" s="19"/>
      <c r="C188" s="96"/>
      <c r="D188" s="19"/>
      <c r="E188" s="96"/>
      <c r="F188" s="19"/>
      <c r="G188" s="96"/>
      <c r="H188" s="19"/>
      <c r="I188" s="19"/>
      <c r="J188" s="19"/>
      <c r="K188" s="19"/>
      <c r="L188" s="19"/>
      <c r="M188" s="96"/>
      <c r="N188" s="19"/>
      <c r="O188" s="96"/>
    </row>
    <row r="189" spans="1:15">
      <c r="A189" s="96"/>
      <c r="B189" s="19"/>
      <c r="C189" s="96"/>
      <c r="D189" s="19"/>
      <c r="E189" s="96"/>
      <c r="F189" s="19"/>
      <c r="G189" s="96"/>
      <c r="H189" s="19"/>
      <c r="I189" s="19"/>
      <c r="J189" s="19"/>
      <c r="K189" s="19"/>
      <c r="L189" s="19"/>
      <c r="M189" s="96"/>
      <c r="N189" s="19"/>
      <c r="O189" s="96"/>
    </row>
    <row r="190" spans="1:15">
      <c r="A190" s="96"/>
      <c r="B190" s="19"/>
      <c r="C190" s="96"/>
      <c r="D190" s="19"/>
      <c r="E190" s="96"/>
      <c r="F190" s="19"/>
      <c r="G190" s="96"/>
      <c r="H190" s="19"/>
      <c r="I190" s="19"/>
      <c r="J190" s="19"/>
      <c r="K190" s="19"/>
      <c r="L190" s="19"/>
      <c r="M190" s="96"/>
      <c r="N190" s="19"/>
      <c r="O190" s="96"/>
    </row>
    <row r="191" spans="1:15">
      <c r="A191" s="96"/>
      <c r="B191" s="19"/>
      <c r="C191" s="96"/>
      <c r="D191" s="19"/>
      <c r="E191" s="96"/>
      <c r="F191" s="19"/>
      <c r="G191" s="96"/>
      <c r="H191" s="19"/>
      <c r="I191" s="19"/>
      <c r="J191" s="19"/>
      <c r="K191" s="19"/>
      <c r="L191" s="19"/>
      <c r="M191" s="96"/>
      <c r="N191" s="19"/>
      <c r="O191" s="96"/>
    </row>
    <row r="192" spans="1:15">
      <c r="A192" s="96"/>
      <c r="B192" s="19"/>
      <c r="C192" s="96"/>
      <c r="D192" s="19"/>
      <c r="E192" s="96"/>
      <c r="F192" s="19"/>
      <c r="G192" s="96"/>
      <c r="H192" s="19"/>
      <c r="I192" s="19"/>
      <c r="J192" s="19"/>
      <c r="K192" s="19"/>
      <c r="L192" s="19"/>
      <c r="M192" s="96"/>
      <c r="N192" s="19"/>
      <c r="O192" s="96"/>
    </row>
    <row r="193" spans="1:15">
      <c r="A193" s="96"/>
      <c r="B193" s="19"/>
      <c r="C193" s="96"/>
      <c r="D193" s="19"/>
      <c r="E193" s="96"/>
      <c r="F193" s="19"/>
      <c r="G193" s="96"/>
      <c r="H193" s="19"/>
      <c r="I193" s="19"/>
      <c r="J193" s="19"/>
      <c r="K193" s="19"/>
      <c r="L193" s="19"/>
      <c r="M193" s="96"/>
      <c r="N193" s="19"/>
      <c r="O193" s="96"/>
    </row>
    <row r="194" spans="1:15">
      <c r="A194" s="96"/>
      <c r="B194" s="19"/>
      <c r="C194" s="96"/>
      <c r="D194" s="19"/>
      <c r="E194" s="96"/>
      <c r="F194" s="19"/>
      <c r="G194" s="96"/>
      <c r="H194" s="19"/>
      <c r="I194" s="19"/>
      <c r="J194" s="19"/>
      <c r="K194" s="19"/>
      <c r="L194" s="19"/>
      <c r="M194" s="96"/>
      <c r="N194" s="19"/>
      <c r="O194" s="96"/>
    </row>
    <row r="195" spans="1:15">
      <c r="A195" s="96"/>
      <c r="B195" s="19"/>
      <c r="C195" s="96"/>
      <c r="D195" s="19"/>
      <c r="E195" s="96"/>
      <c r="F195" s="19"/>
      <c r="G195" s="96"/>
      <c r="H195" s="19"/>
      <c r="I195" s="19"/>
      <c r="J195" s="19"/>
      <c r="K195" s="19"/>
      <c r="L195" s="19"/>
      <c r="M195" s="96"/>
      <c r="N195" s="19"/>
      <c r="O195" s="96"/>
    </row>
    <row r="196" spans="1:15">
      <c r="A196" s="96"/>
      <c r="B196" s="19"/>
      <c r="C196" s="96"/>
      <c r="D196" s="19"/>
      <c r="E196" s="96"/>
      <c r="F196" s="19"/>
      <c r="G196" s="96"/>
      <c r="H196" s="19"/>
      <c r="I196" s="19"/>
      <c r="J196" s="19"/>
      <c r="K196" s="19"/>
      <c r="L196" s="19"/>
      <c r="M196" s="96"/>
      <c r="N196" s="19"/>
      <c r="O196" s="96"/>
    </row>
    <row r="197" spans="1:15">
      <c r="A197" s="96"/>
      <c r="B197" s="19"/>
      <c r="C197" s="96"/>
      <c r="D197" s="19"/>
      <c r="E197" s="96"/>
      <c r="F197" s="19"/>
      <c r="G197" s="96"/>
      <c r="H197" s="19"/>
      <c r="I197" s="19"/>
      <c r="J197" s="19"/>
      <c r="K197" s="19"/>
      <c r="L197" s="19"/>
      <c r="M197" s="96"/>
      <c r="N197" s="19"/>
      <c r="O197" s="96"/>
    </row>
    <row r="198" spans="1:15">
      <c r="A198" s="96"/>
      <c r="B198" s="19"/>
      <c r="C198" s="96"/>
      <c r="D198" s="19"/>
      <c r="E198" s="96"/>
      <c r="F198" s="19"/>
      <c r="G198" s="96"/>
      <c r="H198" s="19"/>
      <c r="I198" s="19"/>
      <c r="J198" s="19"/>
      <c r="K198" s="19"/>
      <c r="L198" s="19"/>
      <c r="M198" s="96"/>
      <c r="N198" s="19"/>
      <c r="O198" s="96"/>
    </row>
    <row r="199" spans="1:15">
      <c r="A199" s="96"/>
      <c r="B199" s="19"/>
      <c r="C199" s="96"/>
      <c r="D199" s="19"/>
      <c r="E199" s="96"/>
      <c r="F199" s="19"/>
      <c r="G199" s="96"/>
      <c r="H199" s="19"/>
      <c r="I199" s="19"/>
      <c r="J199" s="19"/>
      <c r="K199" s="19"/>
      <c r="L199" s="19"/>
      <c r="M199" s="96"/>
      <c r="N199" s="19"/>
      <c r="O199" s="96"/>
    </row>
    <row r="200" spans="1:15">
      <c r="A200" s="96"/>
      <c r="B200" s="19"/>
      <c r="C200" s="96"/>
      <c r="D200" s="19"/>
      <c r="E200" s="96"/>
      <c r="F200" s="19"/>
      <c r="G200" s="96"/>
      <c r="H200" s="19"/>
      <c r="I200" s="19"/>
      <c r="J200" s="19"/>
      <c r="K200" s="19"/>
      <c r="L200" s="19"/>
      <c r="M200" s="96"/>
      <c r="N200" s="19"/>
      <c r="O200" s="96"/>
    </row>
    <row r="201" spans="1:15">
      <c r="A201" s="96"/>
      <c r="B201" s="19"/>
      <c r="C201" s="96"/>
      <c r="D201" s="19"/>
      <c r="E201" s="96"/>
      <c r="F201" s="19"/>
      <c r="G201" s="96"/>
      <c r="H201" s="19"/>
      <c r="I201" s="19"/>
      <c r="J201" s="19"/>
      <c r="K201" s="19"/>
      <c r="L201" s="19"/>
      <c r="M201" s="96"/>
      <c r="N201" s="19"/>
      <c r="O201" s="96"/>
    </row>
    <row r="202" spans="1:15">
      <c r="A202" s="96"/>
      <c r="B202" s="19"/>
      <c r="C202" s="96"/>
      <c r="D202" s="19"/>
      <c r="E202" s="96"/>
      <c r="F202" s="19"/>
      <c r="G202" s="96"/>
      <c r="H202" s="19"/>
      <c r="I202" s="19"/>
      <c r="J202" s="19"/>
      <c r="K202" s="19"/>
      <c r="L202" s="19"/>
      <c r="M202" s="96"/>
      <c r="N202" s="19"/>
      <c r="O202" s="96"/>
    </row>
    <row r="203" spans="1:15">
      <c r="A203" s="96"/>
      <c r="B203" s="19"/>
      <c r="C203" s="96"/>
      <c r="D203" s="19"/>
      <c r="E203" s="96"/>
      <c r="F203" s="19"/>
      <c r="G203" s="96"/>
      <c r="H203" s="19"/>
      <c r="I203" s="19"/>
      <c r="J203" s="19"/>
      <c r="K203" s="19"/>
      <c r="L203" s="19"/>
      <c r="M203" s="96"/>
      <c r="N203" s="19"/>
      <c r="O203" s="96"/>
    </row>
    <row r="204" spans="1:15">
      <c r="A204" s="96"/>
      <c r="B204" s="19"/>
      <c r="C204" s="96"/>
      <c r="D204" s="19"/>
      <c r="E204" s="96"/>
      <c r="F204" s="19"/>
      <c r="G204" s="96"/>
      <c r="H204" s="19"/>
      <c r="I204" s="19"/>
      <c r="J204" s="19"/>
      <c r="K204" s="19"/>
      <c r="L204" s="19"/>
      <c r="M204" s="96"/>
      <c r="N204" s="19"/>
      <c r="O204" s="96"/>
    </row>
    <row r="205" spans="1:15">
      <c r="A205" s="96"/>
      <c r="B205" s="19"/>
      <c r="C205" s="96"/>
      <c r="D205" s="19"/>
      <c r="E205" s="96"/>
      <c r="F205" s="19"/>
      <c r="G205" s="96"/>
      <c r="H205" s="19"/>
      <c r="I205" s="19"/>
      <c r="J205" s="19"/>
      <c r="K205" s="19"/>
      <c r="L205" s="19"/>
      <c r="M205" s="96"/>
      <c r="N205" s="19"/>
      <c r="O205" s="96"/>
    </row>
    <row r="206" spans="1:15">
      <c r="A206" s="96"/>
      <c r="B206" s="19"/>
      <c r="C206" s="96"/>
      <c r="D206" s="19"/>
      <c r="E206" s="96"/>
      <c r="F206" s="19"/>
      <c r="G206" s="96"/>
      <c r="H206" s="19"/>
      <c r="I206" s="19"/>
      <c r="J206" s="19"/>
      <c r="K206" s="19"/>
      <c r="L206" s="19"/>
      <c r="M206" s="96"/>
      <c r="N206" s="19"/>
      <c r="O206" s="96"/>
    </row>
    <row r="207" spans="1:15">
      <c r="A207" s="96"/>
      <c r="B207" s="19"/>
      <c r="C207" s="96"/>
      <c r="D207" s="19"/>
      <c r="E207" s="96"/>
      <c r="F207" s="19"/>
      <c r="G207" s="96"/>
      <c r="H207" s="19"/>
      <c r="I207" s="19"/>
      <c r="J207" s="19"/>
      <c r="K207" s="19"/>
      <c r="L207" s="19"/>
      <c r="M207" s="96"/>
      <c r="N207" s="19"/>
      <c r="O207" s="96"/>
    </row>
    <row r="208" spans="1:15">
      <c r="A208" s="96"/>
      <c r="B208" s="19"/>
      <c r="C208" s="96"/>
      <c r="D208" s="19"/>
      <c r="E208" s="96"/>
      <c r="F208" s="19"/>
      <c r="G208" s="96"/>
      <c r="H208" s="19"/>
      <c r="I208" s="19"/>
      <c r="J208" s="19"/>
      <c r="K208" s="19"/>
      <c r="L208" s="19"/>
      <c r="M208" s="96"/>
      <c r="N208" s="19"/>
      <c r="O208" s="96"/>
    </row>
    <row r="209" spans="1:15">
      <c r="A209" s="96"/>
      <c r="B209" s="19"/>
      <c r="C209" s="96"/>
      <c r="D209" s="19"/>
      <c r="E209" s="96"/>
      <c r="F209" s="19"/>
      <c r="G209" s="96"/>
      <c r="H209" s="19"/>
      <c r="I209" s="19"/>
      <c r="J209" s="19"/>
      <c r="K209" s="19"/>
      <c r="L209" s="19"/>
      <c r="M209" s="96"/>
      <c r="N209" s="19"/>
      <c r="O209" s="96"/>
    </row>
    <row r="210" spans="1:15">
      <c r="A210" s="96"/>
      <c r="B210" s="19"/>
      <c r="C210" s="96"/>
      <c r="D210" s="19"/>
      <c r="E210" s="96"/>
      <c r="F210" s="19"/>
      <c r="G210" s="96"/>
      <c r="H210" s="19"/>
      <c r="I210" s="19"/>
      <c r="J210" s="19"/>
      <c r="K210" s="19"/>
      <c r="L210" s="19"/>
      <c r="M210" s="96"/>
      <c r="N210" s="19"/>
      <c r="O210" s="96"/>
    </row>
    <row r="211" spans="1:15">
      <c r="A211" s="96"/>
      <c r="B211" s="19"/>
      <c r="C211" s="96"/>
      <c r="D211" s="19"/>
      <c r="E211" s="96"/>
      <c r="F211" s="19"/>
      <c r="G211" s="96"/>
      <c r="H211" s="19"/>
      <c r="I211" s="19"/>
      <c r="J211" s="19"/>
      <c r="K211" s="19"/>
      <c r="L211" s="19"/>
      <c r="M211" s="96"/>
      <c r="N211" s="19"/>
      <c r="O211" s="96"/>
    </row>
    <row r="212" spans="1:15">
      <c r="A212" s="96"/>
      <c r="B212" s="19"/>
      <c r="C212" s="96"/>
      <c r="D212" s="19"/>
      <c r="E212" s="96"/>
      <c r="F212" s="19"/>
      <c r="G212" s="96"/>
      <c r="H212" s="19"/>
      <c r="I212" s="19"/>
      <c r="J212" s="19"/>
      <c r="K212" s="19"/>
      <c r="L212" s="19"/>
      <c r="M212" s="96"/>
      <c r="N212" s="19"/>
      <c r="O212" s="96"/>
    </row>
    <row r="213" spans="1:15">
      <c r="A213" s="96"/>
      <c r="B213" s="19"/>
      <c r="C213" s="96"/>
      <c r="D213" s="19"/>
      <c r="E213" s="96"/>
      <c r="F213" s="19"/>
      <c r="G213" s="96"/>
      <c r="H213" s="19"/>
      <c r="I213" s="19"/>
      <c r="J213" s="19"/>
      <c r="K213" s="19"/>
      <c r="L213" s="19"/>
      <c r="M213" s="96"/>
      <c r="N213" s="19"/>
      <c r="O213" s="96"/>
    </row>
    <row r="214" spans="1:15">
      <c r="A214" s="96"/>
      <c r="B214" s="19"/>
      <c r="C214" s="96"/>
      <c r="D214" s="19"/>
      <c r="E214" s="96"/>
      <c r="F214" s="19"/>
      <c r="G214" s="96"/>
      <c r="H214" s="19"/>
      <c r="I214" s="19"/>
      <c r="J214" s="19"/>
      <c r="K214" s="19"/>
      <c r="L214" s="19"/>
      <c r="M214" s="96"/>
      <c r="N214" s="19"/>
      <c r="O214" s="96"/>
    </row>
    <row r="215" spans="1:15">
      <c r="A215" s="96"/>
      <c r="B215" s="19"/>
      <c r="C215" s="96"/>
      <c r="D215" s="19"/>
      <c r="E215" s="96"/>
      <c r="F215" s="19"/>
      <c r="G215" s="96"/>
      <c r="H215" s="19"/>
      <c r="I215" s="19"/>
      <c r="J215" s="19"/>
      <c r="K215" s="19"/>
      <c r="L215" s="19"/>
      <c r="M215" s="96"/>
      <c r="N215" s="19"/>
      <c r="O215" s="96"/>
    </row>
    <row r="216" spans="1:15">
      <c r="A216" s="96"/>
      <c r="B216" s="19"/>
      <c r="C216" s="96"/>
      <c r="D216" s="19"/>
      <c r="E216" s="96"/>
      <c r="F216" s="19"/>
      <c r="G216" s="96"/>
      <c r="H216" s="19"/>
      <c r="I216" s="19"/>
      <c r="J216" s="19"/>
      <c r="K216" s="19"/>
      <c r="L216" s="19"/>
      <c r="M216" s="96"/>
      <c r="N216" s="19"/>
      <c r="O216" s="96"/>
    </row>
    <row r="217" spans="1:15">
      <c r="A217" s="96"/>
      <c r="B217" s="19"/>
      <c r="C217" s="96"/>
      <c r="D217" s="19"/>
      <c r="E217" s="96"/>
      <c r="F217" s="19"/>
      <c r="G217" s="96"/>
      <c r="H217" s="19"/>
      <c r="I217" s="19"/>
      <c r="J217" s="19"/>
      <c r="K217" s="19"/>
      <c r="L217" s="19"/>
      <c r="M217" s="96"/>
      <c r="N217" s="19"/>
      <c r="O217" s="96"/>
    </row>
    <row r="218" spans="1:15">
      <c r="A218" s="96"/>
      <c r="B218" s="19"/>
      <c r="C218" s="96"/>
      <c r="D218" s="19"/>
      <c r="E218" s="96"/>
      <c r="F218" s="19"/>
      <c r="G218" s="96"/>
      <c r="H218" s="19"/>
      <c r="I218" s="19"/>
      <c r="J218" s="19"/>
      <c r="K218" s="19"/>
      <c r="L218" s="19"/>
      <c r="M218" s="96"/>
      <c r="N218" s="19"/>
      <c r="O218" s="96"/>
    </row>
    <row r="219" spans="1:15">
      <c r="A219" s="96"/>
      <c r="B219" s="19"/>
      <c r="C219" s="96"/>
      <c r="D219" s="19"/>
      <c r="E219" s="96"/>
      <c r="F219" s="19"/>
      <c r="G219" s="96"/>
      <c r="H219" s="19"/>
      <c r="I219" s="19"/>
      <c r="J219" s="19"/>
      <c r="K219" s="19"/>
      <c r="L219" s="19"/>
      <c r="M219" s="96"/>
      <c r="N219" s="19"/>
      <c r="O219" s="96"/>
    </row>
    <row r="220" spans="1:15">
      <c r="A220" s="96"/>
      <c r="B220" s="19"/>
      <c r="C220" s="96"/>
      <c r="D220" s="19"/>
      <c r="E220" s="96"/>
      <c r="F220" s="19"/>
      <c r="G220" s="96"/>
      <c r="H220" s="19"/>
      <c r="I220" s="19"/>
      <c r="J220" s="19"/>
      <c r="K220" s="19"/>
      <c r="L220" s="19"/>
      <c r="M220" s="96"/>
      <c r="N220" s="19"/>
      <c r="O220" s="96"/>
    </row>
    <row r="221" spans="1:15">
      <c r="A221" s="96"/>
      <c r="B221" s="19"/>
      <c r="C221" s="96"/>
      <c r="D221" s="19"/>
      <c r="E221" s="96"/>
      <c r="F221" s="19"/>
      <c r="G221" s="96"/>
      <c r="H221" s="19"/>
      <c r="I221" s="19"/>
      <c r="J221" s="19"/>
      <c r="K221" s="19"/>
      <c r="L221" s="19"/>
      <c r="M221" s="96"/>
      <c r="N221" s="19"/>
      <c r="O221" s="96"/>
    </row>
    <row r="222" spans="1:15">
      <c r="A222" s="96"/>
      <c r="B222" s="19"/>
      <c r="C222" s="96"/>
      <c r="D222" s="19"/>
      <c r="E222" s="96"/>
      <c r="F222" s="19"/>
      <c r="G222" s="96"/>
      <c r="H222" s="19"/>
      <c r="I222" s="19"/>
      <c r="J222" s="19"/>
      <c r="K222" s="19"/>
      <c r="L222" s="19"/>
      <c r="M222" s="96"/>
      <c r="N222" s="19"/>
      <c r="O222" s="96"/>
    </row>
    <row r="223" spans="1:15">
      <c r="A223" s="96"/>
      <c r="B223" s="19"/>
      <c r="C223" s="96"/>
      <c r="D223" s="19"/>
      <c r="E223" s="96"/>
      <c r="F223" s="19"/>
      <c r="G223" s="96"/>
      <c r="H223" s="19"/>
      <c r="I223" s="19"/>
      <c r="J223" s="19"/>
      <c r="K223" s="19"/>
      <c r="L223" s="19"/>
      <c r="M223" s="96"/>
      <c r="N223" s="19"/>
      <c r="O223" s="96"/>
    </row>
    <row r="224" spans="1:15">
      <c r="A224" s="96"/>
      <c r="B224" s="19"/>
      <c r="C224" s="96"/>
      <c r="D224" s="19"/>
      <c r="E224" s="96"/>
      <c r="F224" s="19"/>
      <c r="G224" s="96"/>
      <c r="H224" s="19"/>
      <c r="I224" s="19"/>
      <c r="J224" s="19"/>
      <c r="K224" s="19"/>
      <c r="L224" s="19"/>
      <c r="M224" s="96"/>
      <c r="N224" s="19"/>
      <c r="O224" s="96"/>
    </row>
    <row r="225" spans="1:15">
      <c r="A225" s="96"/>
      <c r="B225" s="19"/>
      <c r="C225" s="96"/>
      <c r="D225" s="19"/>
      <c r="E225" s="96"/>
      <c r="F225" s="19"/>
      <c r="G225" s="96"/>
      <c r="H225" s="19"/>
      <c r="I225" s="19"/>
      <c r="J225" s="19"/>
      <c r="K225" s="19"/>
      <c r="L225" s="19"/>
      <c r="M225" s="96"/>
      <c r="N225" s="19"/>
      <c r="O225" s="96"/>
    </row>
    <row r="226" spans="1:15">
      <c r="A226" s="96"/>
      <c r="B226" s="19"/>
      <c r="C226" s="96"/>
      <c r="D226" s="19"/>
      <c r="E226" s="96"/>
      <c r="F226" s="19"/>
      <c r="G226" s="96"/>
      <c r="H226" s="19"/>
      <c r="I226" s="19"/>
      <c r="J226" s="19"/>
      <c r="K226" s="19"/>
      <c r="L226" s="19"/>
      <c r="M226" s="96"/>
      <c r="N226" s="19"/>
      <c r="O226" s="96"/>
    </row>
    <row r="227" spans="1:15">
      <c r="A227" s="96"/>
      <c r="B227" s="19"/>
      <c r="C227" s="96"/>
      <c r="D227" s="19"/>
      <c r="E227" s="96"/>
      <c r="F227" s="19"/>
      <c r="G227" s="96"/>
      <c r="H227" s="19"/>
      <c r="I227" s="19"/>
      <c r="J227" s="19"/>
      <c r="K227" s="19"/>
      <c r="L227" s="19"/>
      <c r="M227" s="96"/>
      <c r="N227" s="19"/>
      <c r="O227" s="96"/>
    </row>
    <row r="228" spans="1:15">
      <c r="A228" s="96"/>
      <c r="B228" s="19"/>
      <c r="C228" s="96"/>
      <c r="D228" s="19"/>
      <c r="E228" s="96"/>
      <c r="F228" s="19"/>
      <c r="G228" s="96"/>
      <c r="H228" s="19"/>
      <c r="I228" s="19"/>
      <c r="J228" s="19"/>
      <c r="K228" s="19"/>
      <c r="L228" s="19"/>
      <c r="M228" s="96"/>
      <c r="N228" s="19"/>
      <c r="O228" s="96"/>
    </row>
    <row r="229" spans="1:15">
      <c r="A229" s="96"/>
      <c r="B229" s="19"/>
      <c r="C229" s="96"/>
      <c r="D229" s="19"/>
      <c r="E229" s="96"/>
      <c r="F229" s="19"/>
      <c r="G229" s="96"/>
      <c r="H229" s="19"/>
      <c r="I229" s="19"/>
      <c r="J229" s="19"/>
      <c r="K229" s="19"/>
      <c r="L229" s="19"/>
      <c r="M229" s="96"/>
      <c r="N229" s="19"/>
      <c r="O229" s="96"/>
    </row>
    <row r="230" spans="1:15">
      <c r="A230" s="96"/>
      <c r="B230" s="19"/>
      <c r="C230" s="96"/>
      <c r="D230" s="19"/>
      <c r="E230" s="96"/>
      <c r="F230" s="19"/>
      <c r="G230" s="96"/>
      <c r="H230" s="19"/>
      <c r="I230" s="19"/>
      <c r="J230" s="19"/>
      <c r="K230" s="19"/>
      <c r="L230" s="19"/>
      <c r="M230" s="96"/>
      <c r="N230" s="19"/>
      <c r="O230" s="96"/>
    </row>
    <row r="231" spans="1:15">
      <c r="A231" s="96"/>
      <c r="B231" s="19"/>
      <c r="C231" s="96"/>
      <c r="D231" s="19"/>
      <c r="E231" s="96"/>
      <c r="F231" s="19"/>
      <c r="G231" s="96"/>
      <c r="H231" s="19"/>
      <c r="I231" s="19"/>
      <c r="J231" s="19"/>
      <c r="K231" s="19"/>
      <c r="L231" s="19"/>
      <c r="M231" s="96"/>
      <c r="N231" s="19"/>
      <c r="O231" s="96"/>
    </row>
    <row r="232" spans="1:15">
      <c r="A232" s="96"/>
      <c r="B232" s="19"/>
      <c r="C232" s="96"/>
      <c r="D232" s="19"/>
      <c r="E232" s="96"/>
      <c r="F232" s="19"/>
      <c r="G232" s="96"/>
      <c r="H232" s="19"/>
      <c r="I232" s="19"/>
      <c r="J232" s="19"/>
      <c r="K232" s="19"/>
      <c r="L232" s="19"/>
      <c r="M232" s="96"/>
      <c r="N232" s="19"/>
      <c r="O232" s="96"/>
    </row>
    <row r="233" spans="1:15">
      <c r="A233" s="96"/>
      <c r="B233" s="19"/>
      <c r="C233" s="96"/>
      <c r="D233" s="19"/>
      <c r="E233" s="96"/>
      <c r="F233" s="19"/>
      <c r="G233" s="96"/>
      <c r="H233" s="19"/>
      <c r="I233" s="19"/>
      <c r="J233" s="19"/>
      <c r="K233" s="19"/>
      <c r="L233" s="19"/>
      <c r="M233" s="96"/>
      <c r="N233" s="19"/>
      <c r="O233" s="96"/>
    </row>
    <row r="234" spans="1:15">
      <c r="A234" s="96"/>
      <c r="B234" s="19"/>
      <c r="C234" s="96"/>
      <c r="D234" s="19"/>
      <c r="E234" s="96"/>
      <c r="F234" s="19"/>
      <c r="G234" s="96"/>
      <c r="H234" s="19"/>
      <c r="I234" s="19"/>
      <c r="J234" s="19"/>
      <c r="K234" s="19"/>
      <c r="L234" s="19"/>
      <c r="M234" s="96"/>
      <c r="N234" s="19"/>
      <c r="O234" s="96"/>
    </row>
    <row r="235" spans="1:15">
      <c r="A235" s="96"/>
      <c r="B235" s="19"/>
      <c r="C235" s="96"/>
      <c r="D235" s="19"/>
      <c r="E235" s="96"/>
      <c r="F235" s="19"/>
      <c r="G235" s="96"/>
      <c r="H235" s="19"/>
      <c r="I235" s="19"/>
      <c r="J235" s="19"/>
      <c r="K235" s="19"/>
      <c r="L235" s="19"/>
      <c r="M235" s="96"/>
      <c r="N235" s="19"/>
      <c r="O235" s="96"/>
    </row>
    <row r="236" spans="1:15">
      <c r="A236" s="96"/>
      <c r="B236" s="19"/>
      <c r="C236" s="96"/>
      <c r="D236" s="19"/>
      <c r="E236" s="96"/>
      <c r="F236" s="19"/>
      <c r="G236" s="96"/>
      <c r="H236" s="19"/>
      <c r="I236" s="19"/>
      <c r="J236" s="19"/>
      <c r="K236" s="19"/>
      <c r="L236" s="19"/>
      <c r="M236" s="96"/>
      <c r="N236" s="19"/>
      <c r="O236" s="96"/>
    </row>
    <row r="237" spans="1:15">
      <c r="A237" s="96"/>
      <c r="B237" s="19"/>
      <c r="C237" s="96"/>
      <c r="D237" s="19"/>
      <c r="E237" s="96"/>
      <c r="F237" s="19"/>
      <c r="G237" s="96"/>
      <c r="H237" s="19"/>
      <c r="I237" s="19"/>
      <c r="J237" s="19"/>
      <c r="K237" s="19"/>
      <c r="L237" s="19"/>
      <c r="M237" s="96"/>
      <c r="N237" s="19"/>
      <c r="O237" s="96"/>
    </row>
    <row r="238" spans="1:15">
      <c r="A238" s="96"/>
      <c r="B238" s="19"/>
      <c r="C238" s="96"/>
      <c r="D238" s="19"/>
      <c r="E238" s="96"/>
      <c r="F238" s="19"/>
      <c r="G238" s="96"/>
      <c r="H238" s="19"/>
      <c r="I238" s="19"/>
      <c r="J238" s="19"/>
      <c r="K238" s="19"/>
      <c r="L238" s="19"/>
      <c r="M238" s="96"/>
      <c r="N238" s="19"/>
      <c r="O238" s="96"/>
    </row>
    <row r="239" spans="1:15">
      <c r="A239" s="96"/>
      <c r="B239" s="19"/>
      <c r="C239" s="96"/>
      <c r="D239" s="19"/>
      <c r="E239" s="96"/>
      <c r="F239" s="19"/>
      <c r="G239" s="96"/>
      <c r="H239" s="19"/>
      <c r="I239" s="19"/>
      <c r="J239" s="19"/>
      <c r="K239" s="19"/>
      <c r="L239" s="19"/>
      <c r="M239" s="96"/>
      <c r="N239" s="19"/>
      <c r="O239" s="96"/>
    </row>
    <row r="240" spans="1:15">
      <c r="A240" s="96"/>
      <c r="B240" s="19"/>
      <c r="C240" s="96"/>
      <c r="D240" s="19"/>
      <c r="E240" s="96"/>
      <c r="F240" s="19"/>
      <c r="G240" s="96"/>
      <c r="H240" s="19"/>
      <c r="I240" s="19"/>
      <c r="J240" s="19"/>
      <c r="K240" s="19"/>
      <c r="L240" s="19"/>
      <c r="M240" s="96"/>
      <c r="N240" s="19"/>
      <c r="O240" s="96"/>
    </row>
    <row r="241" spans="1:15">
      <c r="A241" s="96"/>
      <c r="B241" s="19"/>
      <c r="C241" s="96"/>
      <c r="D241" s="19"/>
      <c r="E241" s="96"/>
      <c r="F241" s="19"/>
      <c r="G241" s="96"/>
      <c r="H241" s="19"/>
      <c r="I241" s="19"/>
      <c r="J241" s="19"/>
      <c r="K241" s="19"/>
      <c r="L241" s="19"/>
      <c r="M241" s="96"/>
      <c r="N241" s="19"/>
      <c r="O241" s="96"/>
    </row>
    <row r="242" spans="1:15">
      <c r="A242" s="96"/>
      <c r="B242" s="19"/>
      <c r="C242" s="96"/>
      <c r="D242" s="19"/>
      <c r="E242" s="96"/>
      <c r="F242" s="19"/>
      <c r="G242" s="96"/>
      <c r="H242" s="19"/>
      <c r="I242" s="19"/>
      <c r="J242" s="19"/>
      <c r="K242" s="19"/>
      <c r="L242" s="19"/>
      <c r="M242" s="96"/>
      <c r="N242" s="19"/>
      <c r="O242" s="96"/>
    </row>
    <row r="243" spans="1:15">
      <c r="A243" s="96"/>
      <c r="B243" s="19"/>
      <c r="C243" s="96"/>
      <c r="D243" s="19"/>
      <c r="E243" s="96"/>
      <c r="F243" s="19"/>
      <c r="G243" s="96"/>
      <c r="H243" s="19"/>
      <c r="I243" s="19"/>
      <c r="J243" s="19"/>
      <c r="K243" s="19"/>
      <c r="L243" s="19"/>
      <c r="M243" s="96"/>
      <c r="N243" s="19"/>
      <c r="O243" s="96"/>
    </row>
    <row r="244" spans="1:15">
      <c r="A244" s="96"/>
      <c r="B244" s="19"/>
      <c r="C244" s="96"/>
      <c r="D244" s="19"/>
      <c r="E244" s="96"/>
      <c r="F244" s="19"/>
      <c r="G244" s="96"/>
      <c r="H244" s="19"/>
      <c r="I244" s="19"/>
      <c r="J244" s="19"/>
      <c r="K244" s="19"/>
      <c r="L244" s="19"/>
      <c r="M244" s="96"/>
      <c r="N244" s="19"/>
      <c r="O244" s="96"/>
    </row>
    <row r="245" spans="1:15">
      <c r="A245" s="96"/>
      <c r="B245" s="19"/>
      <c r="C245" s="96"/>
      <c r="D245" s="19"/>
      <c r="E245" s="96"/>
      <c r="F245" s="19"/>
      <c r="G245" s="96"/>
      <c r="H245" s="19"/>
      <c r="I245" s="19"/>
      <c r="J245" s="19"/>
      <c r="K245" s="19"/>
      <c r="L245" s="19"/>
      <c r="M245" s="96"/>
      <c r="N245" s="19"/>
      <c r="O245" s="96"/>
    </row>
    <row r="246" spans="1:15">
      <c r="A246" s="96"/>
      <c r="B246" s="19"/>
      <c r="C246" s="96"/>
      <c r="D246" s="19"/>
      <c r="E246" s="96"/>
      <c r="F246" s="19"/>
      <c r="G246" s="96"/>
      <c r="H246" s="19"/>
      <c r="I246" s="19"/>
      <c r="J246" s="19"/>
      <c r="K246" s="19"/>
      <c r="L246" s="19"/>
      <c r="M246" s="96"/>
      <c r="N246" s="19"/>
      <c r="O246" s="96"/>
    </row>
    <row r="247" spans="1:15">
      <c r="A247" s="96"/>
      <c r="B247" s="19"/>
      <c r="C247" s="96"/>
      <c r="D247" s="19"/>
      <c r="E247" s="96"/>
      <c r="F247" s="19"/>
      <c r="G247" s="96"/>
      <c r="H247" s="19"/>
      <c r="I247" s="19"/>
      <c r="J247" s="19"/>
      <c r="K247" s="19"/>
      <c r="L247" s="19"/>
      <c r="M247" s="96"/>
      <c r="N247" s="19"/>
      <c r="O247" s="96"/>
    </row>
    <row r="248" spans="1:15">
      <c r="A248" s="96"/>
      <c r="B248" s="19"/>
      <c r="C248" s="96"/>
      <c r="D248" s="19"/>
      <c r="E248" s="96"/>
      <c r="F248" s="19"/>
      <c r="G248" s="96"/>
      <c r="H248" s="19"/>
      <c r="I248" s="19"/>
      <c r="J248" s="19"/>
      <c r="K248" s="19"/>
      <c r="L248" s="19"/>
      <c r="M248" s="96"/>
      <c r="N248" s="19"/>
      <c r="O248" s="96"/>
    </row>
    <row r="249" spans="1:15">
      <c r="A249" s="96"/>
      <c r="B249" s="19"/>
      <c r="C249" s="96"/>
      <c r="D249" s="19"/>
      <c r="E249" s="96"/>
      <c r="F249" s="19"/>
      <c r="G249" s="96"/>
      <c r="H249" s="19"/>
      <c r="I249" s="19"/>
      <c r="J249" s="19"/>
      <c r="K249" s="19"/>
      <c r="L249" s="19"/>
      <c r="M249" s="96"/>
      <c r="N249" s="19"/>
      <c r="O249" s="96"/>
    </row>
    <row r="250" spans="1:15">
      <c r="A250" s="96"/>
      <c r="B250" s="19"/>
      <c r="C250" s="96"/>
      <c r="D250" s="19"/>
      <c r="E250" s="96"/>
      <c r="F250" s="19"/>
      <c r="G250" s="96"/>
      <c r="H250" s="19"/>
      <c r="I250" s="19"/>
      <c r="J250" s="19"/>
      <c r="K250" s="19"/>
      <c r="L250" s="19"/>
      <c r="M250" s="96"/>
      <c r="N250" s="19"/>
      <c r="O250" s="96"/>
    </row>
    <row r="251" spans="1:15">
      <c r="A251" s="96"/>
      <c r="B251" s="19"/>
      <c r="C251" s="96"/>
      <c r="D251" s="19"/>
      <c r="E251" s="96"/>
      <c r="F251" s="19"/>
      <c r="G251" s="96"/>
      <c r="H251" s="19"/>
      <c r="I251" s="19"/>
      <c r="J251" s="19"/>
      <c r="K251" s="19"/>
      <c r="L251" s="19"/>
      <c r="M251" s="96"/>
      <c r="N251" s="19"/>
      <c r="O251" s="96"/>
    </row>
    <row r="252" spans="1:15">
      <c r="A252" s="96"/>
      <c r="B252" s="19"/>
      <c r="C252" s="96"/>
      <c r="D252" s="19"/>
      <c r="E252" s="96"/>
      <c r="F252" s="19"/>
      <c r="G252" s="96"/>
      <c r="H252" s="19"/>
      <c r="I252" s="19"/>
      <c r="J252" s="19"/>
      <c r="K252" s="19"/>
      <c r="L252" s="19"/>
      <c r="M252" s="96"/>
      <c r="N252" s="19"/>
      <c r="O252" s="96"/>
    </row>
    <row r="253" spans="1:15">
      <c r="A253" s="96"/>
      <c r="B253" s="19"/>
      <c r="C253" s="96"/>
      <c r="D253" s="19"/>
      <c r="E253" s="96"/>
      <c r="F253" s="19"/>
      <c r="G253" s="96"/>
      <c r="H253" s="19"/>
      <c r="I253" s="19"/>
      <c r="J253" s="19"/>
      <c r="K253" s="19"/>
      <c r="L253" s="19"/>
      <c r="M253" s="96"/>
      <c r="N253" s="19"/>
      <c r="O253" s="96"/>
    </row>
    <row r="254" spans="1:15">
      <c r="A254" s="96"/>
      <c r="B254" s="19"/>
      <c r="C254" s="96"/>
      <c r="D254" s="19"/>
      <c r="E254" s="96"/>
      <c r="F254" s="19"/>
      <c r="G254" s="96"/>
      <c r="H254" s="19"/>
      <c r="I254" s="19"/>
      <c r="J254" s="19"/>
      <c r="K254" s="19"/>
      <c r="L254" s="19"/>
      <c r="M254" s="96"/>
      <c r="N254" s="19"/>
      <c r="O254" s="96"/>
    </row>
    <row r="255" spans="1:15">
      <c r="A255" s="96"/>
      <c r="B255" s="19"/>
      <c r="C255" s="96"/>
      <c r="D255" s="19"/>
      <c r="E255" s="96"/>
      <c r="F255" s="19"/>
      <c r="G255" s="96"/>
      <c r="H255" s="19"/>
      <c r="I255" s="19"/>
      <c r="J255" s="19"/>
      <c r="K255" s="19"/>
      <c r="L255" s="19"/>
      <c r="M255" s="96"/>
      <c r="N255" s="19"/>
      <c r="O255" s="96"/>
    </row>
    <row r="256" spans="1:15">
      <c r="A256" s="96"/>
      <c r="B256" s="19"/>
      <c r="C256" s="96"/>
      <c r="D256" s="19"/>
      <c r="E256" s="96"/>
      <c r="F256" s="19"/>
      <c r="G256" s="96"/>
      <c r="H256" s="19"/>
      <c r="I256" s="19"/>
      <c r="J256" s="19"/>
      <c r="K256" s="19"/>
      <c r="L256" s="19"/>
      <c r="M256" s="96"/>
      <c r="N256" s="19"/>
      <c r="O256" s="96"/>
    </row>
    <row r="257" spans="1:15">
      <c r="A257" s="96"/>
      <c r="B257" s="19"/>
      <c r="C257" s="96"/>
      <c r="D257" s="19"/>
      <c r="E257" s="96"/>
      <c r="F257" s="19"/>
      <c r="G257" s="96"/>
      <c r="H257" s="19"/>
      <c r="I257" s="19"/>
      <c r="J257" s="19"/>
      <c r="K257" s="19"/>
      <c r="L257" s="19"/>
      <c r="M257" s="96"/>
      <c r="N257" s="19"/>
      <c r="O257" s="96"/>
    </row>
    <row r="258" spans="1:15">
      <c r="A258" s="96"/>
      <c r="B258" s="19"/>
      <c r="C258" s="96"/>
      <c r="D258" s="19"/>
      <c r="E258" s="96"/>
      <c r="F258" s="19"/>
      <c r="G258" s="96"/>
      <c r="H258" s="19"/>
      <c r="I258" s="19"/>
      <c r="J258" s="19"/>
      <c r="K258" s="19"/>
      <c r="L258" s="19"/>
      <c r="M258" s="96"/>
      <c r="N258" s="19"/>
      <c r="O258" s="96"/>
    </row>
    <row r="259" spans="1:15">
      <c r="A259" s="96"/>
      <c r="B259" s="19"/>
      <c r="C259" s="96"/>
      <c r="D259" s="19"/>
      <c r="E259" s="96"/>
      <c r="F259" s="19"/>
      <c r="G259" s="96"/>
      <c r="H259" s="19"/>
      <c r="I259" s="19"/>
      <c r="J259" s="19"/>
      <c r="K259" s="19"/>
      <c r="L259" s="19"/>
      <c r="M259" s="96"/>
      <c r="N259" s="19"/>
      <c r="O259" s="96"/>
    </row>
    <row r="260" spans="1:15">
      <c r="A260" s="96"/>
      <c r="B260" s="19"/>
      <c r="C260" s="96"/>
      <c r="D260" s="19"/>
      <c r="E260" s="96"/>
      <c r="F260" s="19"/>
      <c r="G260" s="96"/>
      <c r="H260" s="19"/>
      <c r="I260" s="19"/>
      <c r="J260" s="19"/>
      <c r="K260" s="19"/>
      <c r="L260" s="19"/>
      <c r="M260" s="96"/>
      <c r="N260" s="19"/>
      <c r="O260" s="96"/>
    </row>
    <row r="261" spans="1:15">
      <c r="A261" s="96"/>
      <c r="B261" s="19"/>
      <c r="C261" s="96"/>
      <c r="D261" s="19"/>
      <c r="E261" s="96"/>
      <c r="F261" s="19"/>
      <c r="G261" s="96"/>
      <c r="H261" s="19"/>
      <c r="I261" s="19"/>
      <c r="J261" s="19"/>
      <c r="K261" s="19"/>
      <c r="L261" s="19"/>
      <c r="M261" s="96"/>
      <c r="N261" s="19"/>
      <c r="O261" s="96"/>
    </row>
    <row r="262" spans="1:15">
      <c r="A262" s="96"/>
      <c r="B262" s="19"/>
      <c r="C262" s="96"/>
      <c r="D262" s="19"/>
      <c r="E262" s="96"/>
      <c r="F262" s="19"/>
      <c r="G262" s="96"/>
      <c r="H262" s="19"/>
      <c r="I262" s="19"/>
      <c r="J262" s="19"/>
      <c r="K262" s="19"/>
      <c r="L262" s="19"/>
      <c r="M262" s="96"/>
      <c r="N262" s="19"/>
      <c r="O262" s="96"/>
    </row>
    <row r="263" spans="1:15">
      <c r="A263" s="96"/>
      <c r="B263" s="19"/>
      <c r="C263" s="96"/>
      <c r="D263" s="19"/>
      <c r="E263" s="96"/>
      <c r="F263" s="19"/>
      <c r="G263" s="96"/>
      <c r="H263" s="19"/>
      <c r="I263" s="19"/>
      <c r="J263" s="19"/>
      <c r="K263" s="19"/>
      <c r="L263" s="19"/>
      <c r="M263" s="96"/>
      <c r="N263" s="19"/>
      <c r="O263" s="96"/>
    </row>
    <row r="264" spans="1:15">
      <c r="A264" s="96"/>
      <c r="B264" s="19"/>
      <c r="C264" s="96"/>
      <c r="D264" s="19"/>
      <c r="E264" s="96"/>
      <c r="F264" s="19"/>
      <c r="G264" s="96"/>
      <c r="H264" s="19"/>
      <c r="I264" s="19"/>
      <c r="J264" s="19"/>
      <c r="K264" s="19"/>
      <c r="L264" s="19"/>
      <c r="M264" s="96"/>
      <c r="N264" s="19"/>
      <c r="O264" s="96"/>
    </row>
    <row r="265" spans="1:15">
      <c r="A265" s="96"/>
      <c r="B265" s="19"/>
      <c r="C265" s="96"/>
      <c r="D265" s="19"/>
      <c r="E265" s="96"/>
      <c r="F265" s="19"/>
      <c r="G265" s="96"/>
      <c r="H265" s="19"/>
      <c r="I265" s="19"/>
      <c r="J265" s="19"/>
      <c r="K265" s="19"/>
      <c r="L265" s="19"/>
      <c r="M265" s="96"/>
      <c r="N265" s="19"/>
      <c r="O265" s="96"/>
    </row>
    <row r="266" spans="1:15">
      <c r="A266" s="96"/>
      <c r="B266" s="19"/>
      <c r="C266" s="96"/>
      <c r="D266" s="19"/>
      <c r="E266" s="96"/>
      <c r="F266" s="19"/>
      <c r="G266" s="96"/>
      <c r="H266" s="19"/>
      <c r="I266" s="19"/>
      <c r="J266" s="19"/>
      <c r="K266" s="19"/>
      <c r="L266" s="19"/>
      <c r="M266" s="96"/>
      <c r="N266" s="19"/>
      <c r="O266" s="96"/>
    </row>
    <row r="267" spans="1:15">
      <c r="A267" s="96"/>
      <c r="B267" s="19"/>
      <c r="C267" s="96"/>
      <c r="D267" s="19"/>
      <c r="E267" s="96"/>
      <c r="F267" s="19"/>
      <c r="G267" s="96"/>
      <c r="H267" s="19"/>
      <c r="I267" s="19"/>
      <c r="J267" s="19"/>
      <c r="K267" s="19"/>
      <c r="L267" s="19"/>
      <c r="M267" s="96"/>
      <c r="N267" s="19"/>
      <c r="O267" s="96"/>
    </row>
    <row r="268" spans="1:15">
      <c r="A268" s="96"/>
      <c r="B268" s="19"/>
      <c r="C268" s="96"/>
      <c r="D268" s="19"/>
      <c r="E268" s="96"/>
      <c r="F268" s="19"/>
      <c r="G268" s="96"/>
      <c r="H268" s="19"/>
      <c r="I268" s="19"/>
      <c r="J268" s="19"/>
      <c r="K268" s="19"/>
      <c r="L268" s="19"/>
      <c r="M268" s="96"/>
      <c r="N268" s="19"/>
      <c r="O268" s="96"/>
    </row>
    <row r="269" spans="1:15">
      <c r="A269" s="96"/>
      <c r="B269" s="19"/>
      <c r="C269" s="96"/>
      <c r="D269" s="19"/>
      <c r="E269" s="96"/>
      <c r="F269" s="19"/>
      <c r="G269" s="96"/>
      <c r="H269" s="19"/>
      <c r="I269" s="19"/>
      <c r="J269" s="19"/>
      <c r="K269" s="19"/>
      <c r="L269" s="19"/>
      <c r="M269" s="96"/>
      <c r="N269" s="19"/>
      <c r="O269" s="96"/>
    </row>
    <row r="270" spans="1:15">
      <c r="A270" s="96"/>
      <c r="B270" s="19"/>
      <c r="C270" s="96"/>
      <c r="D270" s="19"/>
      <c r="E270" s="96"/>
      <c r="F270" s="19"/>
      <c r="G270" s="96"/>
      <c r="H270" s="19"/>
      <c r="I270" s="19"/>
      <c r="J270" s="19"/>
      <c r="K270" s="19"/>
      <c r="L270" s="19"/>
      <c r="M270" s="96"/>
      <c r="N270" s="19"/>
      <c r="O270" s="96"/>
    </row>
    <row r="271" spans="1:15">
      <c r="A271" s="96"/>
      <c r="B271" s="19"/>
      <c r="C271" s="96"/>
      <c r="D271" s="19"/>
      <c r="E271" s="96"/>
      <c r="F271" s="19"/>
      <c r="G271" s="96"/>
      <c r="H271" s="19"/>
      <c r="I271" s="19"/>
      <c r="J271" s="19"/>
      <c r="K271" s="19"/>
      <c r="L271" s="19"/>
      <c r="M271" s="96"/>
      <c r="N271" s="19"/>
      <c r="O271" s="96"/>
    </row>
    <row r="272" spans="1:15">
      <c r="A272" s="96"/>
      <c r="B272" s="19"/>
      <c r="C272" s="96"/>
      <c r="D272" s="19"/>
      <c r="E272" s="96"/>
      <c r="F272" s="19"/>
      <c r="G272" s="96"/>
      <c r="H272" s="19"/>
      <c r="I272" s="19"/>
      <c r="J272" s="19"/>
      <c r="K272" s="19"/>
      <c r="L272" s="19"/>
      <c r="M272" s="96"/>
      <c r="N272" s="19"/>
      <c r="O272" s="96"/>
    </row>
    <row r="273" spans="1:15">
      <c r="A273" s="96"/>
      <c r="B273" s="19"/>
      <c r="C273" s="96"/>
      <c r="D273" s="19"/>
      <c r="E273" s="96"/>
      <c r="F273" s="19"/>
      <c r="G273" s="96"/>
      <c r="H273" s="19"/>
      <c r="I273" s="19"/>
      <c r="J273" s="19"/>
      <c r="K273" s="19"/>
      <c r="L273" s="19"/>
      <c r="M273" s="96"/>
      <c r="N273" s="19"/>
      <c r="O273" s="96"/>
    </row>
    <row r="274" spans="1:15">
      <c r="A274" s="96"/>
      <c r="B274" s="19"/>
      <c r="C274" s="96"/>
      <c r="D274" s="19"/>
      <c r="E274" s="96"/>
      <c r="F274" s="19"/>
      <c r="G274" s="96"/>
      <c r="H274" s="19"/>
      <c r="I274" s="19"/>
      <c r="J274" s="19"/>
      <c r="K274" s="19"/>
      <c r="L274" s="19"/>
      <c r="M274" s="96"/>
      <c r="N274" s="19"/>
      <c r="O274" s="96"/>
    </row>
    <row r="275" spans="1:15">
      <c r="A275" s="96"/>
      <c r="B275" s="19"/>
      <c r="C275" s="96"/>
      <c r="D275" s="19"/>
      <c r="E275" s="96"/>
      <c r="F275" s="19"/>
      <c r="G275" s="96"/>
      <c r="H275" s="19"/>
      <c r="I275" s="19"/>
      <c r="J275" s="19"/>
      <c r="K275" s="19"/>
      <c r="L275" s="19"/>
      <c r="M275" s="96"/>
      <c r="N275" s="19"/>
      <c r="O275" s="96"/>
    </row>
    <row r="276" spans="1:15">
      <c r="A276" s="96"/>
      <c r="B276" s="19"/>
      <c r="C276" s="96"/>
      <c r="D276" s="19"/>
      <c r="E276" s="96"/>
      <c r="F276" s="19"/>
      <c r="G276" s="96"/>
      <c r="H276" s="19"/>
      <c r="I276" s="19"/>
      <c r="J276" s="19"/>
      <c r="K276" s="19"/>
      <c r="L276" s="19"/>
      <c r="M276" s="96"/>
      <c r="N276" s="19"/>
      <c r="O276" s="96"/>
    </row>
    <row r="277" spans="1:15">
      <c r="A277" s="19"/>
      <c r="B277" s="19"/>
      <c r="C277" s="96"/>
      <c r="D277" s="19"/>
      <c r="E277" s="96"/>
      <c r="F277" s="19"/>
      <c r="G277" s="96"/>
      <c r="H277" s="19"/>
      <c r="I277" s="19"/>
      <c r="J277" s="19"/>
      <c r="K277" s="19"/>
      <c r="L277" s="19"/>
      <c r="M277" s="96"/>
      <c r="N277" s="19"/>
      <c r="O277" s="96"/>
    </row>
    <row r="278" spans="1:15">
      <c r="A278" s="19"/>
      <c r="B278" s="19"/>
      <c r="C278" s="96"/>
      <c r="D278" s="19"/>
      <c r="E278" s="96"/>
      <c r="F278" s="19"/>
      <c r="G278" s="96"/>
      <c r="H278" s="19"/>
      <c r="I278" s="19"/>
      <c r="J278" s="19"/>
      <c r="K278" s="19"/>
      <c r="L278" s="19"/>
      <c r="M278" s="96"/>
      <c r="N278" s="19"/>
      <c r="O278" s="96"/>
    </row>
    <row r="279" spans="1:15">
      <c r="A279" s="19"/>
      <c r="B279" s="19"/>
      <c r="C279" s="96"/>
      <c r="D279" s="19"/>
      <c r="E279" s="96"/>
      <c r="F279" s="19"/>
      <c r="G279" s="96"/>
      <c r="H279" s="19"/>
      <c r="I279" s="19"/>
      <c r="J279" s="19"/>
      <c r="K279" s="19"/>
      <c r="L279" s="19"/>
      <c r="M279" s="96"/>
      <c r="N279" s="19"/>
      <c r="O279" s="96"/>
    </row>
    <row r="280" spans="1:15">
      <c r="A280" s="19"/>
      <c r="B280" s="19"/>
      <c r="C280" s="96"/>
      <c r="D280" s="19"/>
      <c r="E280" s="96"/>
      <c r="F280" s="19"/>
      <c r="G280" s="96"/>
      <c r="H280" s="19"/>
      <c r="I280" s="19"/>
      <c r="J280" s="19"/>
      <c r="K280" s="19"/>
      <c r="L280" s="19"/>
      <c r="M280" s="96"/>
      <c r="N280" s="19"/>
      <c r="O280" s="96"/>
    </row>
  </sheetData>
  <conditionalFormatting sqref="A14:G15">
    <cfRule type="expression" dxfId="10" priority="1">
      <formula>$B14&lt;&gt;""</formula>
    </cfRule>
  </conditionalFormatting>
  <conditionalFormatting sqref="A25:G26">
    <cfRule type="expression" dxfId="9" priority="3">
      <formula>$B25&lt;&gt;""</formula>
    </cfRule>
  </conditionalFormatting>
  <conditionalFormatting sqref="A36:G37">
    <cfRule type="expression" dxfId="8" priority="5">
      <formula>$B36&lt;&gt;""</formula>
    </cfRule>
  </conditionalFormatting>
  <conditionalFormatting sqref="A47:G48">
    <cfRule type="expression" dxfId="7" priority="7">
      <formula>$B47&lt;&gt;""</formula>
    </cfRule>
  </conditionalFormatting>
  <conditionalFormatting sqref="I14:O15">
    <cfRule type="expression" dxfId="4" priority="2">
      <formula>$J14&lt;&gt;""</formula>
    </cfRule>
  </conditionalFormatting>
  <conditionalFormatting sqref="I25:O26">
    <cfRule type="expression" dxfId="3" priority="4">
      <formula>$J25&lt;&gt;""</formula>
    </cfRule>
  </conditionalFormatting>
  <conditionalFormatting sqref="I36:O37">
    <cfRule type="expression" dxfId="2" priority="6">
      <formula>$J36&lt;&gt;""</formula>
    </cfRule>
  </conditionalFormatting>
  <conditionalFormatting sqref="I47:O48">
    <cfRule type="expression" dxfId="1" priority="8">
      <formula>$J47&lt;&gt;""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id="{00000000-000E-0000-0900-000009000000}">
            <xm:f>Setup!$B$5&lt;5</xm:f>
            <x14:dxf>
              <font>
                <color rgb="FFFFFFFF"/>
              </font>
              <fill>
                <patternFill>
                  <bgColor rgb="FFFFFFFF"/>
                </patternFill>
              </fill>
            </x14:dxf>
          </x14:cfRule>
          <xm:sqref>A23:C32</xm:sqref>
        </x14:conditionalFormatting>
        <x14:conditionalFormatting xmlns:xm="http://schemas.microsoft.com/office/excel/2006/main">
          <x14:cfRule type="expression" priority="10" id="{00000000-000E-0000-0900-00000A000000}">
            <xm:f>Setup!$B$5&lt;6</xm:f>
            <x14:dxf>
              <font>
                <color rgb="FFFFFFFF"/>
              </font>
              <fill>
                <patternFill>
                  <bgColor rgb="FFFFFFFF"/>
                </patternFill>
              </fill>
            </x14:dxf>
          </x14:cfRule>
          <xm:sqref>E23:G32</xm:sqref>
        </x14:conditionalFormatting>
        <x14:conditionalFormatting xmlns:xm="http://schemas.microsoft.com/office/excel/2006/main">
          <x14:cfRule type="expression" priority="11" id="{00000000-000E-0000-0900-00000B000000}">
            <xm:f>Setup!$B$5&lt;7</xm:f>
            <x14:dxf>
              <font>
                <color rgb="FFFFFFFF"/>
              </font>
              <fill>
                <patternFill>
                  <bgColor rgb="FFFFFFFF"/>
                </patternFill>
              </fill>
            </x14:dxf>
          </x14:cfRule>
          <xm:sqref>I23:K32</xm:sqref>
        </x14:conditionalFormatting>
        <x14:conditionalFormatting xmlns:xm="http://schemas.microsoft.com/office/excel/2006/main">
          <x14:cfRule type="expression" priority="12" id="{00000000-000E-0000-0900-00000C000000}">
            <xm:f>Setup!$B$5&lt;8</xm:f>
            <x14:dxf>
              <font>
                <color rgb="FFFFFFFF"/>
              </font>
              <fill>
                <patternFill>
                  <bgColor rgb="FFFFFFFF"/>
                </patternFill>
              </fill>
            </x14:dxf>
          </x14:cfRule>
          <xm:sqref>M23:O32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HOME</vt:lpstr>
      <vt:lpstr>Setup</vt:lpstr>
      <vt:lpstr>Teams</vt:lpstr>
      <vt:lpstr>Scores</vt:lpstr>
      <vt:lpstr>Calculations</vt:lpstr>
      <vt:lpstr>Pool Tables</vt:lpstr>
      <vt:lpstr>Finals</vt:lpstr>
      <vt:lpstr>Fixture Library</vt:lpstr>
      <vt:lpstr>Finals Bracket</vt:lpstr>
      <vt:lpstr>Competition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Brian Minikin</cp:lastModifiedBy>
  <dcterms:created xsi:type="dcterms:W3CDTF">2026-08-28T04:48:06Z</dcterms:created>
  <dcterms:modified xsi:type="dcterms:W3CDTF">2026-08-28T04:48:26Z</dcterms:modified>
</cp:coreProperties>
</file>