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My Projects\Excel Draw Sheets\Finalised Draws\"/>
    </mc:Choice>
  </mc:AlternateContent>
  <xr:revisionPtr revIDLastSave="0" documentId="13_ncr:1_{97C01497-33FD-435C-A1BD-DFC67B16F438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Guide" sheetId="1" r:id="rId1"/>
    <sheet name="Setup" sheetId="2" r:id="rId2"/>
    <sheet name="Teams" sheetId="3" r:id="rId3"/>
    <sheet name="Knockout Draw" sheetId="4" r:id="rId4"/>
    <sheet name="Summary" sheetId="5" r:id="rId5"/>
    <sheet name="Seed Map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3" l="1"/>
  <c r="B11" i="5"/>
  <c r="B10" i="5"/>
  <c r="B6" i="5"/>
  <c r="B5" i="5"/>
  <c r="B4" i="5"/>
  <c r="D68" i="4"/>
  <c r="B68" i="4"/>
  <c r="G68" i="4" s="1"/>
  <c r="L36" i="4" s="1"/>
  <c r="A68" i="4"/>
  <c r="D67" i="4"/>
  <c r="B67" i="4"/>
  <c r="G67" i="4" s="1"/>
  <c r="A67" i="4"/>
  <c r="D66" i="4"/>
  <c r="B66" i="4"/>
  <c r="A66" i="4"/>
  <c r="D65" i="4"/>
  <c r="B65" i="4"/>
  <c r="A65" i="4"/>
  <c r="D64" i="4"/>
  <c r="B64" i="4"/>
  <c r="G64" i="4" s="1"/>
  <c r="L34" i="4" s="1"/>
  <c r="A64" i="4"/>
  <c r="D63" i="4"/>
  <c r="B63" i="4"/>
  <c r="G63" i="4" s="1"/>
  <c r="A63" i="4"/>
  <c r="D62" i="4"/>
  <c r="B62" i="4"/>
  <c r="A62" i="4"/>
  <c r="D61" i="4"/>
  <c r="B61" i="4"/>
  <c r="A61" i="4"/>
  <c r="D60" i="4"/>
  <c r="B60" i="4"/>
  <c r="G60" i="4" s="1"/>
  <c r="L32" i="4" s="1"/>
  <c r="A60" i="4"/>
  <c r="D59" i="4"/>
  <c r="B59" i="4"/>
  <c r="G59" i="4" s="1"/>
  <c r="A59" i="4"/>
  <c r="D58" i="4"/>
  <c r="B58" i="4"/>
  <c r="A58" i="4"/>
  <c r="D57" i="4"/>
  <c r="B57" i="4"/>
  <c r="A57" i="4"/>
  <c r="D56" i="4"/>
  <c r="B56" i="4"/>
  <c r="G56" i="4" s="1"/>
  <c r="L30" i="4" s="1"/>
  <c r="A56" i="4"/>
  <c r="D55" i="4"/>
  <c r="B55" i="4"/>
  <c r="G55" i="4" s="1"/>
  <c r="A55" i="4"/>
  <c r="D54" i="4"/>
  <c r="B54" i="4"/>
  <c r="A54" i="4"/>
  <c r="D53" i="4"/>
  <c r="B53" i="4"/>
  <c r="A53" i="4"/>
  <c r="D52" i="4"/>
  <c r="B52" i="4"/>
  <c r="G52" i="4" s="1"/>
  <c r="L28" i="4" s="1"/>
  <c r="A52" i="4"/>
  <c r="D51" i="4"/>
  <c r="B51" i="4"/>
  <c r="G51" i="4" s="1"/>
  <c r="A51" i="4"/>
  <c r="D50" i="4"/>
  <c r="B50" i="4"/>
  <c r="A50" i="4"/>
  <c r="D49" i="4"/>
  <c r="B49" i="4"/>
  <c r="A49" i="4"/>
  <c r="D48" i="4"/>
  <c r="B48" i="4"/>
  <c r="G48" i="4" s="1"/>
  <c r="L26" i="4" s="1"/>
  <c r="A48" i="4"/>
  <c r="D47" i="4"/>
  <c r="B47" i="4"/>
  <c r="G47" i="4" s="1"/>
  <c r="A47" i="4"/>
  <c r="D46" i="4"/>
  <c r="B46" i="4"/>
  <c r="A46" i="4"/>
  <c r="D45" i="4"/>
  <c r="B45" i="4"/>
  <c r="A45" i="4"/>
  <c r="D44" i="4"/>
  <c r="B44" i="4"/>
  <c r="G44" i="4" s="1"/>
  <c r="L24" i="4" s="1"/>
  <c r="A44" i="4"/>
  <c r="D43" i="4"/>
  <c r="B43" i="4"/>
  <c r="G43" i="4" s="1"/>
  <c r="A43" i="4"/>
  <c r="D42" i="4"/>
  <c r="B42" i="4"/>
  <c r="A42" i="4"/>
  <c r="D41" i="4"/>
  <c r="B41" i="4"/>
  <c r="A41" i="4"/>
  <c r="D40" i="4"/>
  <c r="B40" i="4"/>
  <c r="G40" i="4" s="1"/>
  <c r="L22" i="4" s="1"/>
  <c r="A40" i="4"/>
  <c r="D39" i="4"/>
  <c r="B39" i="4"/>
  <c r="G39" i="4" s="1"/>
  <c r="A39" i="4"/>
  <c r="D38" i="4"/>
  <c r="B38" i="4"/>
  <c r="A38" i="4"/>
  <c r="D37" i="4"/>
  <c r="B37" i="4"/>
  <c r="A37" i="4"/>
  <c r="J36" i="4"/>
  <c r="I36" i="4"/>
  <c r="D36" i="4"/>
  <c r="B36" i="4"/>
  <c r="G36" i="4" s="1"/>
  <c r="L20" i="4" s="1"/>
  <c r="A36" i="4"/>
  <c r="I35" i="4"/>
  <c r="D35" i="4"/>
  <c r="B35" i="4"/>
  <c r="A35" i="4"/>
  <c r="J34" i="4"/>
  <c r="I34" i="4"/>
  <c r="D34" i="4"/>
  <c r="B34" i="4"/>
  <c r="G34" i="4" s="1"/>
  <c r="A34" i="4"/>
  <c r="I33" i="4"/>
  <c r="D33" i="4"/>
  <c r="B33" i="4"/>
  <c r="A33" i="4"/>
  <c r="J32" i="4"/>
  <c r="I32" i="4"/>
  <c r="D32" i="4"/>
  <c r="B32" i="4"/>
  <c r="G32" i="4" s="1"/>
  <c r="A32" i="4"/>
  <c r="I31" i="4"/>
  <c r="D31" i="4"/>
  <c r="B31" i="4"/>
  <c r="A31" i="4"/>
  <c r="J30" i="4"/>
  <c r="I30" i="4"/>
  <c r="D30" i="4"/>
  <c r="B30" i="4"/>
  <c r="G30" i="4" s="1"/>
  <c r="A30" i="4"/>
  <c r="I29" i="4"/>
  <c r="D29" i="4"/>
  <c r="B29" i="4"/>
  <c r="A29" i="4"/>
  <c r="J28" i="4"/>
  <c r="I28" i="4"/>
  <c r="D28" i="4"/>
  <c r="B28" i="4"/>
  <c r="G28" i="4" s="1"/>
  <c r="L16" i="4" s="1"/>
  <c r="A28" i="4"/>
  <c r="I27" i="4"/>
  <c r="D27" i="4"/>
  <c r="B27" i="4"/>
  <c r="A27" i="4"/>
  <c r="J26" i="4"/>
  <c r="I26" i="4"/>
  <c r="D26" i="4"/>
  <c r="B26" i="4"/>
  <c r="G26" i="4" s="1"/>
  <c r="A26" i="4"/>
  <c r="I25" i="4"/>
  <c r="D25" i="4"/>
  <c r="B25" i="4"/>
  <c r="A25" i="4"/>
  <c r="J24" i="4"/>
  <c r="I24" i="4"/>
  <c r="D24" i="4"/>
  <c r="B24" i="4"/>
  <c r="G24" i="4" s="1"/>
  <c r="A24" i="4"/>
  <c r="I23" i="4"/>
  <c r="D23" i="4"/>
  <c r="B23" i="4"/>
  <c r="A23" i="4"/>
  <c r="J22" i="4"/>
  <c r="I22" i="4"/>
  <c r="D22" i="4"/>
  <c r="B22" i="4"/>
  <c r="G22" i="4" s="1"/>
  <c r="L13" i="4" s="1"/>
  <c r="A22" i="4"/>
  <c r="I21" i="4"/>
  <c r="D21" i="4"/>
  <c r="B21" i="4"/>
  <c r="A21" i="4"/>
  <c r="Q20" i="4"/>
  <c r="I20" i="4"/>
  <c r="D20" i="4"/>
  <c r="B20" i="4"/>
  <c r="A20" i="4"/>
  <c r="Q19" i="4"/>
  <c r="L19" i="4"/>
  <c r="I19" i="4"/>
  <c r="D19" i="4"/>
  <c r="B19" i="4"/>
  <c r="G19" i="4" s="1"/>
  <c r="J12" i="4" s="1"/>
  <c r="A19" i="4"/>
  <c r="Q18" i="4"/>
  <c r="L18" i="4"/>
  <c r="I18" i="4"/>
  <c r="D18" i="4"/>
  <c r="B18" i="4"/>
  <c r="G18" i="4" s="1"/>
  <c r="A18" i="4"/>
  <c r="Q17" i="4"/>
  <c r="L17" i="4"/>
  <c r="I17" i="4"/>
  <c r="D17" i="4"/>
  <c r="B17" i="4"/>
  <c r="A17" i="4"/>
  <c r="Q16" i="4"/>
  <c r="I16" i="4"/>
  <c r="D16" i="4"/>
  <c r="B16" i="4"/>
  <c r="A16" i="4"/>
  <c r="Q15" i="4"/>
  <c r="L15" i="4"/>
  <c r="I15" i="4"/>
  <c r="D15" i="4"/>
  <c r="B15" i="4"/>
  <c r="G15" i="4" s="1"/>
  <c r="A15" i="4"/>
  <c r="AW14" i="4"/>
  <c r="Q14" i="4"/>
  <c r="L14" i="4"/>
  <c r="I14" i="4"/>
  <c r="D14" i="4"/>
  <c r="B14" i="4"/>
  <c r="A14" i="4"/>
  <c r="Q13" i="4"/>
  <c r="I13" i="4"/>
  <c r="D13" i="4"/>
  <c r="G13" i="4" s="1"/>
  <c r="J9" i="4" s="1"/>
  <c r="B13" i="4"/>
  <c r="A13" i="4"/>
  <c r="Y12" i="4"/>
  <c r="Q12" i="4"/>
  <c r="I12" i="4"/>
  <c r="D12" i="4"/>
  <c r="B12" i="4"/>
  <c r="A12" i="4"/>
  <c r="Y11" i="4"/>
  <c r="Q11" i="4"/>
  <c r="L11" i="4"/>
  <c r="I11" i="4"/>
  <c r="D11" i="4"/>
  <c r="B11" i="4"/>
  <c r="A11" i="4"/>
  <c r="Y10" i="4"/>
  <c r="Q10" i="4"/>
  <c r="J10" i="4"/>
  <c r="I10" i="4"/>
  <c r="D10" i="4"/>
  <c r="B10" i="4"/>
  <c r="A10" i="4"/>
  <c r="Y9" i="4"/>
  <c r="Q9" i="4"/>
  <c r="I9" i="4"/>
  <c r="D9" i="4"/>
  <c r="B9" i="4"/>
  <c r="A9" i="4"/>
  <c r="AG8" i="4"/>
  <c r="Y8" i="4"/>
  <c r="Q8" i="4"/>
  <c r="I8" i="4"/>
  <c r="D8" i="4"/>
  <c r="B8" i="4"/>
  <c r="A8" i="4"/>
  <c r="AG7" i="4"/>
  <c r="Y7" i="4"/>
  <c r="Q7" i="4"/>
  <c r="I7" i="4"/>
  <c r="D7" i="4"/>
  <c r="B7" i="4"/>
  <c r="A7" i="4"/>
  <c r="AO6" i="4"/>
  <c r="AG6" i="4"/>
  <c r="Y6" i="4"/>
  <c r="Q6" i="4"/>
  <c r="I6" i="4"/>
  <c r="D6" i="4"/>
  <c r="B6" i="4"/>
  <c r="A6" i="4"/>
  <c r="AW5" i="4"/>
  <c r="AO5" i="4"/>
  <c r="AG5" i="4"/>
  <c r="Y5" i="4"/>
  <c r="Q5" i="4"/>
  <c r="I5" i="4"/>
  <c r="D5" i="4"/>
  <c r="B5" i="4"/>
  <c r="A5" i="4"/>
  <c r="A1" i="4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O13" i="4" l="1"/>
  <c r="R9" i="4" s="1"/>
  <c r="G9" i="4"/>
  <c r="J7" i="4" s="1"/>
  <c r="G8" i="4"/>
  <c r="L6" i="4" s="1"/>
  <c r="G11" i="4"/>
  <c r="J8" i="4" s="1"/>
  <c r="O11" i="4"/>
  <c r="R8" i="4" s="1"/>
  <c r="G12" i="4"/>
  <c r="L8" i="4" s="1"/>
  <c r="O8" i="4" s="1"/>
  <c r="T6" i="4" s="1"/>
  <c r="G14" i="4"/>
  <c r="L9" i="4" s="1"/>
  <c r="O9" i="4" s="1"/>
  <c r="R7" i="4" s="1"/>
  <c r="O22" i="4"/>
  <c r="T13" i="4" s="1"/>
  <c r="O24" i="4"/>
  <c r="T14" i="4" s="1"/>
  <c r="O26" i="4"/>
  <c r="T15" i="4" s="1"/>
  <c r="O28" i="4"/>
  <c r="T16" i="4" s="1"/>
  <c r="O30" i="4"/>
  <c r="T17" i="4" s="1"/>
  <c r="O32" i="4"/>
  <c r="T18" i="4" s="1"/>
  <c r="O34" i="4"/>
  <c r="T19" i="4" s="1"/>
  <c r="O36" i="4"/>
  <c r="T20" i="4" s="1"/>
  <c r="G5" i="4"/>
  <c r="J5" i="4" s="1"/>
  <c r="G6" i="4"/>
  <c r="L5" i="4" s="1"/>
  <c r="O5" i="4" s="1"/>
  <c r="R5" i="4" s="1"/>
  <c r="G7" i="4"/>
  <c r="J6" i="4" s="1"/>
  <c r="G10" i="4"/>
  <c r="L7" i="4" s="1"/>
  <c r="G16" i="4"/>
  <c r="L10" i="4" s="1"/>
  <c r="O10" i="4" s="1"/>
  <c r="T7" i="4" s="1"/>
  <c r="W7" i="4" s="1"/>
  <c r="Z6" i="4" s="1"/>
  <c r="G20" i="4"/>
  <c r="L12" i="4" s="1"/>
  <c r="O12" i="4" s="1"/>
  <c r="T8" i="4" s="1"/>
  <c r="G38" i="4"/>
  <c r="L21" i="4" s="1"/>
  <c r="G42" i="4"/>
  <c r="L23" i="4" s="1"/>
  <c r="G46" i="4"/>
  <c r="L25" i="4" s="1"/>
  <c r="G50" i="4"/>
  <c r="L27" i="4" s="1"/>
  <c r="G54" i="4"/>
  <c r="L29" i="4" s="1"/>
  <c r="G58" i="4"/>
  <c r="L31" i="4" s="1"/>
  <c r="G62" i="4"/>
  <c r="L33" i="4" s="1"/>
  <c r="G66" i="4"/>
  <c r="L35" i="4" s="1"/>
  <c r="W14" i="4"/>
  <c r="AB9" i="4" s="1"/>
  <c r="G17" i="4"/>
  <c r="J11" i="4" s="1"/>
  <c r="O18" i="4"/>
  <c r="T11" i="4" s="1"/>
  <c r="W11" i="4" s="1"/>
  <c r="Z8" i="4" s="1"/>
  <c r="W19" i="4"/>
  <c r="Z12" i="4" s="1"/>
  <c r="G21" i="4"/>
  <c r="J13" i="4" s="1"/>
  <c r="G23" i="4"/>
  <c r="J14" i="4" s="1"/>
  <c r="O14" i="4" s="1"/>
  <c r="T9" i="4" s="1"/>
  <c r="W9" i="4" s="1"/>
  <c r="Z7" i="4" s="1"/>
  <c r="AE7" i="4" s="1"/>
  <c r="AH6" i="4" s="1"/>
  <c r="G25" i="4"/>
  <c r="J15" i="4" s="1"/>
  <c r="O15" i="4" s="1"/>
  <c r="R10" i="4" s="1"/>
  <c r="G27" i="4"/>
  <c r="J16" i="4" s="1"/>
  <c r="O16" i="4" s="1"/>
  <c r="T10" i="4" s="1"/>
  <c r="W10" i="4" s="1"/>
  <c r="AB7" i="4" s="1"/>
  <c r="G29" i="4"/>
  <c r="J17" i="4" s="1"/>
  <c r="O17" i="4" s="1"/>
  <c r="R11" i="4" s="1"/>
  <c r="G31" i="4"/>
  <c r="J18" i="4" s="1"/>
  <c r="G33" i="4"/>
  <c r="J19" i="4" s="1"/>
  <c r="O19" i="4" s="1"/>
  <c r="R12" i="4" s="1"/>
  <c r="G35" i="4"/>
  <c r="J20" i="4" s="1"/>
  <c r="O20" i="4" s="1"/>
  <c r="T12" i="4" s="1"/>
  <c r="W12" i="4" s="1"/>
  <c r="AB8" i="4" s="1"/>
  <c r="G37" i="4"/>
  <c r="J21" i="4" s="1"/>
  <c r="G41" i="4"/>
  <c r="J23" i="4" s="1"/>
  <c r="O23" i="4" s="1"/>
  <c r="R14" i="4" s="1"/>
  <c r="G45" i="4"/>
  <c r="J25" i="4" s="1"/>
  <c r="O25" i="4" s="1"/>
  <c r="R15" i="4" s="1"/>
  <c r="W15" i="4" s="1"/>
  <c r="Z10" i="4" s="1"/>
  <c r="AE10" i="4" s="1"/>
  <c r="AJ7" i="4" s="1"/>
  <c r="G49" i="4"/>
  <c r="J27" i="4" s="1"/>
  <c r="O27" i="4" s="1"/>
  <c r="R16" i="4" s="1"/>
  <c r="W16" i="4" s="1"/>
  <c r="AB10" i="4" s="1"/>
  <c r="G53" i="4"/>
  <c r="J29" i="4" s="1"/>
  <c r="G57" i="4"/>
  <c r="J31" i="4" s="1"/>
  <c r="O31" i="4" s="1"/>
  <c r="R18" i="4" s="1"/>
  <c r="G61" i="4"/>
  <c r="J33" i="4" s="1"/>
  <c r="O33" i="4" s="1"/>
  <c r="R19" i="4" s="1"/>
  <c r="G65" i="4"/>
  <c r="J35" i="4" s="1"/>
  <c r="O35" i="4" s="1"/>
  <c r="R20" i="4" s="1"/>
  <c r="W20" i="4" s="1"/>
  <c r="AB12" i="4" s="1"/>
  <c r="B12" i="5"/>
  <c r="AM6" i="4" l="1"/>
  <c r="AR5" i="4" s="1"/>
  <c r="AE8" i="4"/>
  <c r="AJ6" i="4" s="1"/>
  <c r="W8" i="4"/>
  <c r="AB6" i="4" s="1"/>
  <c r="AE6" i="4" s="1"/>
  <c r="AJ5" i="4" s="1"/>
  <c r="W18" i="4"/>
  <c r="AB11" i="4" s="1"/>
  <c r="O29" i="4"/>
  <c r="R17" i="4" s="1"/>
  <c r="W17" i="4" s="1"/>
  <c r="Z11" i="4" s="1"/>
  <c r="O21" i="4"/>
  <c r="R13" i="4" s="1"/>
  <c r="W13" i="4" s="1"/>
  <c r="Z9" i="4" s="1"/>
  <c r="AE9" i="4" s="1"/>
  <c r="AH7" i="4" s="1"/>
  <c r="AM7" i="4" s="1"/>
  <c r="AP6" i="4" s="1"/>
  <c r="O7" i="4"/>
  <c r="R6" i="4" s="1"/>
  <c r="W6" i="4" s="1"/>
  <c r="AB5" i="4" s="1"/>
  <c r="AE12" i="4"/>
  <c r="AJ8" i="4" s="1"/>
  <c r="O6" i="4"/>
  <c r="T5" i="4" s="1"/>
  <c r="W5" i="4" s="1"/>
  <c r="Z5" i="4" s="1"/>
  <c r="AE5" i="4" l="1"/>
  <c r="AH5" i="4" s="1"/>
  <c r="AM5" i="4" s="1"/>
  <c r="AP5" i="4" s="1"/>
  <c r="AE11" i="4"/>
  <c r="AH8" i="4" s="1"/>
  <c r="AM8" i="4" s="1"/>
  <c r="AR6" i="4" s="1"/>
  <c r="AU6" i="4" s="1"/>
  <c r="AZ5" i="4" s="1"/>
  <c r="AX14" i="4" l="1"/>
  <c r="AU5" i="4"/>
  <c r="AX5" i="4" s="1"/>
  <c r="BC5" i="4" s="1"/>
  <c r="AZ14" i="4"/>
  <c r="B8" i="5" l="1"/>
  <c r="B7" i="5"/>
  <c r="BC14" i="4"/>
  <c r="B9" i="5" s="1"/>
</calcChain>
</file>

<file path=xl/sharedStrings.xml><?xml version="1.0" encoding="utf-8"?>
<sst xmlns="http://schemas.openxmlformats.org/spreadsheetml/2006/main" count="283" uniqueCount="229">
  <si>
    <t>Knockout Master — Up to 128 Teams</t>
  </si>
  <si>
    <t>Purpose</t>
  </si>
  <si>
    <t>This workbook manages knockout draws for 4, 8, 16, 32, 64, or 128 teams.</t>
  </si>
  <si>
    <t>Enter the team names on the Teams sheet. Enter match scores on the Knockout Draw sheet only.</t>
  </si>
  <si>
    <t>If a match is tied, decided by penalties, or decided by organiser ruling, type the winner's name into Winner Override.</t>
  </si>
  <si>
    <t>Recommended workflow</t>
  </si>
  <si>
    <t>1</t>
  </si>
  <si>
    <t>Choose the number of teams on the Setup sheet.</t>
  </si>
  <si>
    <t>2</t>
  </si>
  <si>
    <t>Choose whether a third-place match is required.</t>
  </si>
  <si>
    <t>3</t>
  </si>
  <si>
    <t>Enter teams in seed order on the Teams sheet.</t>
  </si>
  <si>
    <t>4</t>
  </si>
  <si>
    <t>Enter scores on the Knockout Draw sheet.</t>
  </si>
  <si>
    <t>5</t>
  </si>
  <si>
    <t>Use Winner Override only when the score alone cannot determine the winner.</t>
  </si>
  <si>
    <t>6</t>
  </si>
  <si>
    <t>Check the Summary sheet for champion, runner-up, third place, and completed match count.</t>
  </si>
  <si>
    <t>Notes</t>
  </si>
  <si>
    <t>The draw uses seeded bracket order. Seed 1 and Seed 2 are placed in opposite halves of the draw.</t>
  </si>
  <si>
    <t>The workbook is deliberately formula-driven and macro-free.</t>
  </si>
  <si>
    <t>No calculate button should be required if Excel Calculation Options are set to Automatic.</t>
  </si>
  <si>
    <t>If Excel is set to Manual, press F9 or change Formulas → Calculation Options → Automatic.</t>
  </si>
  <si>
    <t>Competition Setup</t>
  </si>
  <si>
    <t>Setting</t>
  </si>
  <si>
    <t>Value</t>
  </si>
  <si>
    <t>Allowed Values</t>
  </si>
  <si>
    <t>Competition Name</t>
  </si>
  <si>
    <t>Knockout Tournament</t>
  </si>
  <si>
    <t>Shown on the draw and summary.</t>
  </si>
  <si>
    <t>Number of Teams</t>
  </si>
  <si>
    <t>Choose 4, 8, 16, 32, 64, or 128.</t>
  </si>
  <si>
    <t>4,8,16,32,64,128</t>
  </si>
  <si>
    <t>Third Place Match</t>
  </si>
  <si>
    <t>Yes</t>
  </si>
  <si>
    <t>Choose Yes or No.</t>
  </si>
  <si>
    <t>Yes,No</t>
  </si>
  <si>
    <t>Scoring rule</t>
  </si>
  <si>
    <t>Higher score wins</t>
  </si>
  <si>
    <t>Use Winner Override for penalties or decisions.</t>
  </si>
  <si>
    <t>Score entry</t>
  </si>
  <si>
    <t>Manual</t>
  </si>
  <si>
    <t>Enter scores on the Knockout Draw sheet only.</t>
  </si>
  <si>
    <t>Winner override</t>
  </si>
  <si>
    <t>Optional</t>
  </si>
  <si>
    <t>Use only if the score alone does not decide the winner.</t>
  </si>
  <si>
    <t>Calculation reminder</t>
  </si>
  <si>
    <t>Automatic</t>
  </si>
  <si>
    <t>If needed, press F9 in Excel.</t>
  </si>
  <si>
    <t>Teams and Seeds</t>
  </si>
  <si>
    <t>Seed</t>
  </si>
  <si>
    <t>Team Name</t>
  </si>
  <si>
    <t>Active?</t>
  </si>
  <si>
    <t>Team 1</t>
  </si>
  <si>
    <t>Team 2</t>
  </si>
  <si>
    <t>Team 3</t>
  </si>
  <si>
    <t>Team 4</t>
  </si>
  <si>
    <t>Team 5</t>
  </si>
  <si>
    <t>Team 6</t>
  </si>
  <si>
    <t>Team 7</t>
  </si>
  <si>
    <t>Team 8</t>
  </si>
  <si>
    <t>Team 9</t>
  </si>
  <si>
    <t>Team 10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</si>
  <si>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</si>
  <si>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</si>
  <si>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</si>
  <si>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</si>
  <si>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</si>
  <si>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</si>
  <si>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</si>
  <si>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</si>
  <si>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</si>
  <si>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</si>
  <si>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</si>
  <si>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</si>
  <si>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</si>
  <si>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Team 24</t>
  </si>
  <si>
    <t>Team 25</t>
  </si>
  <si>
    <t>Team 26</t>
  </si>
  <si>
    <t>Team 27</t>
  </si>
  <si>
    <t>Team 28</t>
  </si>
  <si>
    <t>Team 29</t>
  </si>
  <si>
    <t>Team 30</t>
  </si>
  <si>
    <t>Team 31</t>
  </si>
  <si>
    <t>Team 32</t>
  </si>
  <si>
    <t>Team 33</t>
  </si>
  <si>
    <t>Team 34</t>
  </si>
  <si>
    <t>Team 35</t>
  </si>
  <si>
    <t>Team 36</t>
  </si>
  <si>
    <t>Team 37</t>
  </si>
  <si>
    <t>Team 38</t>
  </si>
  <si>
    <t>Team 39</t>
  </si>
  <si>
    <t>Team 40</t>
  </si>
  <si>
    <t>Team 41</t>
  </si>
  <si>
    <t>Team 42</t>
  </si>
  <si>
    <t>Team 43</t>
  </si>
  <si>
    <t>Team 44</t>
  </si>
  <si>
    <t>Team 45</t>
  </si>
  <si>
    <t>Team 46</t>
  </si>
  <si>
    <t>Team 47</t>
  </si>
  <si>
    <t>Team 48</t>
  </si>
  <si>
    <t>Team 49</t>
  </si>
  <si>
    <t>Team 50</t>
  </si>
  <si>
    <t>Team 51</t>
  </si>
  <si>
    <t>Team 52</t>
  </si>
  <si>
    <t>Team 53</t>
  </si>
  <si>
    <t>Team 54</t>
  </si>
  <si>
    <t>Team 55</t>
  </si>
  <si>
    <t>Team 56</t>
  </si>
  <si>
    <t>Team 57</t>
  </si>
  <si>
    <t>Team 58</t>
  </si>
  <si>
    <t>Team 59</t>
  </si>
  <si>
    <t>Team 60</t>
  </si>
  <si>
    <t>Team 61</t>
  </si>
  <si>
    <t>Team 62</t>
  </si>
  <si>
    <t>Team 63</t>
  </si>
  <si>
    <t>Team 64</t>
  </si>
  <si>
    <t>Team 65</t>
  </si>
  <si>
    <t>Team 66</t>
  </si>
  <si>
    <t>Team 67</t>
  </si>
  <si>
    <t>Team 68</t>
  </si>
  <si>
    <t>Team 69</t>
  </si>
  <si>
    <t>Team 70</t>
  </si>
  <si>
    <t>Team 71</t>
  </si>
  <si>
    <t>Team 72</t>
  </si>
  <si>
    <t>Team 73</t>
  </si>
  <si>
    <t>Team 74</t>
  </si>
  <si>
    <t>Team 75</t>
  </si>
  <si>
    <t>Team 76</t>
  </si>
  <si>
    <t>Team 77</t>
  </si>
  <si>
    <t>Team 78</t>
  </si>
  <si>
    <t>Team 79</t>
  </si>
  <si>
    <t>Team 80</t>
  </si>
  <si>
    <t>Team 81</t>
  </si>
  <si>
    <t>Team 82</t>
  </si>
  <si>
    <t>Team 83</t>
  </si>
  <si>
    <t>Team 84</t>
  </si>
  <si>
    <t>Team 85</t>
  </si>
  <si>
    <t>Team 86</t>
  </si>
  <si>
    <t>Team 87</t>
  </si>
  <si>
    <t>Team 88</t>
  </si>
  <si>
    <t>Team 89</t>
  </si>
  <si>
    <t>Team 90</t>
  </si>
  <si>
    <t>Team 91</t>
  </si>
  <si>
    <t>Team 92</t>
  </si>
  <si>
    <t>Team 93</t>
  </si>
  <si>
    <t>Team 94</t>
  </si>
  <si>
    <t>Team 95</t>
  </si>
  <si>
    <t>Team 96</t>
  </si>
  <si>
    <t>Team 97</t>
  </si>
  <si>
    <t>Team 98</t>
  </si>
  <si>
    <t>Team 99</t>
  </si>
  <si>
    <t>Team 100</t>
  </si>
  <si>
    <t>Team 101</t>
  </si>
  <si>
    <t>Team 102</t>
  </si>
  <si>
    <t>Team 103</t>
  </si>
  <si>
    <t>Team 104</t>
  </si>
  <si>
    <t>Team 105</t>
  </si>
  <si>
    <t>Team 106</t>
  </si>
  <si>
    <t>Team 107</t>
  </si>
  <si>
    <t>Team 108</t>
  </si>
  <si>
    <t>Team 109</t>
  </si>
  <si>
    <t>Team 110</t>
  </si>
  <si>
    <t>Team 111</t>
  </si>
  <si>
    <t>Team 112</t>
  </si>
  <si>
    <t>Team 113</t>
  </si>
  <si>
    <t>Team 114</t>
  </si>
  <si>
    <t>Team 115</t>
  </si>
  <si>
    <t>Team 116</t>
  </si>
  <si>
    <t>Team 117</t>
  </si>
  <si>
    <t>Team 118</t>
  </si>
  <si>
    <t>Team 119</t>
  </si>
  <si>
    <t>Team 120</t>
  </si>
  <si>
    <t>Team 121</t>
  </si>
  <si>
    <t>Team 122</t>
  </si>
  <si>
    <t>Team 123</t>
  </si>
  <si>
    <t>Team 124</t>
  </si>
  <si>
    <t>Team 125</t>
  </si>
  <si>
    <t>Team 126</t>
  </si>
  <si>
    <t>Team 127</t>
  </si>
  <si>
    <t>Team 128</t>
  </si>
  <si>
    <t>Enter scores only in the yellow Score columns. Use Winner Override if a tied match is decided by penalties, extra time, or organiser ruling.</t>
  </si>
  <si>
    <t>Round of 128</t>
  </si>
  <si>
    <t>Round of 64</t>
  </si>
  <si>
    <t>Round of 32</t>
  </si>
  <si>
    <t>Round of 16</t>
  </si>
  <si>
    <t>Quarter-finals</t>
  </si>
  <si>
    <t>Semi-finals</t>
  </si>
  <si>
    <t>Final</t>
  </si>
  <si>
    <t>Match</t>
  </si>
  <si>
    <t>Score 1</t>
  </si>
  <si>
    <t>Score 2</t>
  </si>
  <si>
    <t>Winner Override</t>
  </si>
  <si>
    <t>Winner</t>
  </si>
  <si>
    <t>Knockout Summary</t>
  </si>
  <si>
    <t>Item</t>
  </si>
  <si>
    <t>Result</t>
  </si>
  <si>
    <t>Check</t>
  </si>
  <si>
    <t>Competition</t>
  </si>
  <si>
    <t>Name from Setup</t>
  </si>
  <si>
    <t>Draw Size</t>
  </si>
  <si>
    <t>Number of teams selected</t>
  </si>
  <si>
    <t>Yes/No</t>
  </si>
  <si>
    <t>Champion</t>
  </si>
  <si>
    <t>Final winner</t>
  </si>
  <si>
    <t>Runner-up</t>
  </si>
  <si>
    <t>Final loser</t>
  </si>
  <si>
    <t>Third Place</t>
  </si>
  <si>
    <t>Third place winner</t>
  </si>
  <si>
    <t>Matches With Scores</t>
  </si>
  <si>
    <t>Counts matches where both score cells are entered</t>
  </si>
  <si>
    <t>Possible Matches</t>
  </si>
  <si>
    <t>Draw size - 1, plus third-place match if used</t>
  </si>
  <si>
    <t>Completion %</t>
  </si>
  <si>
    <t>Completed / possible</t>
  </si>
  <si>
    <t>Practical notes</t>
  </si>
  <si>
    <t>Use Winner Override when scores are tied or a match is decided outside normal score calculation.</t>
  </si>
  <si>
    <t>A blank winner usually means either scores are missing, scores are tied, or the previous round has not been completed.</t>
  </si>
  <si>
    <t>For 128 teams, the first active round is Round of 128. For 32 teams, earlier round columns remain blank.</t>
  </si>
  <si>
    <t>The Seed Map sheet shows the bracket order used to place seeded teams.</t>
  </si>
  <si>
    <t>Seed Map — bracket placement reference</t>
  </si>
  <si>
    <t>Slot</t>
  </si>
  <si>
    <t>8</t>
  </si>
  <si>
    <t>16</t>
  </si>
  <si>
    <t>32</t>
  </si>
  <si>
    <t>64</t>
  </si>
  <si>
    <t>128</t>
  </si>
  <si>
    <t>Note</t>
  </si>
  <si>
    <t>Replace default name with actual team names in Column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</si>
</sst>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i/>
      <sz val="11"/>
      <name val="Carlito"/>
    </font>
    <font>
      <sz val="24"/>
      <name val="Carlito"/>
    </font>
    <font>
      <b/>
      <sz val="14"/>
      <name val="Carlito"/>
    </font>
    <font>
      <sz val="14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0" fillId="5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7" borderId="0" xfId="0" applyFill="1" applyAlignment="1">
      <alignment wrapText="1"/>
    </xf>
    <xf numFmtId="1" fontId="0" fillId="5" borderId="0" xfId="0" applyNumberFormat="1" applyFill="1" applyAlignment="1">
      <alignment wrapText="1"/>
    </xf>
    <xf numFmtId="1" fontId="0" fillId="0" borderId="0" xfId="0" applyNumberFormat="1" applyAlignment="1">
      <alignment wrapText="1"/>
    </xf>
    <xf numFmtId="1" fontId="3" fillId="4" borderId="0" xfId="0" applyNumberFormat="1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1" fontId="0" fillId="5" borderId="1" xfId="0" applyNumberForma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7" borderId="0" xfId="0" applyFill="1" applyAlignment="1">
      <alignment horizontal="center" vertical="center" wrapText="1"/>
    </xf>
    <xf numFmtId="9" fontId="0" fillId="7" borderId="0" xfId="0" applyNumberForma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1" fontId="0" fillId="0" borderId="0" xfId="0" applyNumberFormat="1" applyAlignment="1">
      <alignment wrapText="1"/>
    </xf>
    <xf numFmtId="0" fontId="4" fillId="6" borderId="0" xfId="0" applyFont="1" applyFill="1" applyAlignment="1">
      <alignment wrapText="1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0" fillId="5" borderId="2" xfId="0" applyFill="1" applyBorder="1" applyAlignment="1" applyProtection="1">
      <alignment wrapText="1"/>
      <protection locked="0"/>
    </xf>
    <xf numFmtId="0" fontId="0" fillId="5" borderId="3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6" fillId="4" borderId="0" xfId="0" applyFont="1" applyFill="1" applyAlignment="1">
      <alignment horizontal="center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workbookViewId="0">
      <selection activeCell="D15" sqref="D15"/>
    </sheetView>
  </sheetViews>
  <sheetFormatPr defaultRowHeight="14.25"/>
  <cols>
    <col min="1" max="1" width="8" customWidth="1"/>
    <col min="2" max="8" width="20" customWidth="1"/>
  </cols>
  <sheetData>
    <row r="1" spans="1:8" ht="24" customHeight="1">
      <c r="A1" s="18" t="s">
        <v>0</v>
      </c>
      <c r="B1" s="19"/>
      <c r="C1" s="19"/>
      <c r="D1" s="19"/>
      <c r="E1" s="19"/>
      <c r="F1" s="19"/>
      <c r="G1" s="19"/>
      <c r="H1" s="19"/>
    </row>
    <row r="2" spans="1:8">
      <c r="A2" s="1"/>
      <c r="B2" s="1"/>
      <c r="C2" s="1"/>
      <c r="D2" s="1"/>
      <c r="E2" s="1"/>
      <c r="F2" s="1"/>
      <c r="G2" s="1"/>
      <c r="H2" s="1"/>
    </row>
    <row r="3" spans="1:8" ht="15">
      <c r="A3" s="20" t="s">
        <v>1</v>
      </c>
      <c r="B3" s="19"/>
      <c r="C3" s="19"/>
      <c r="D3" s="19"/>
      <c r="E3" s="19"/>
      <c r="F3" s="19"/>
      <c r="G3" s="19"/>
      <c r="H3" s="19"/>
    </row>
    <row r="4" spans="1:8">
      <c r="A4" t="s">
        <v>2</v>
      </c>
    </row>
    <row r="5" spans="1:8">
      <c r="A5" t="s">
        <v>3</v>
      </c>
    </row>
    <row r="6" spans="1:8">
      <c r="A6" t="s">
        <v>4</v>
      </c>
    </row>
    <row r="8" spans="1:8" ht="15">
      <c r="A8" s="21" t="s">
        <v>5</v>
      </c>
      <c r="B8" s="17"/>
      <c r="C8" s="17"/>
      <c r="D8" s="17"/>
      <c r="E8" s="17"/>
      <c r="F8" s="17"/>
      <c r="G8" s="17"/>
      <c r="H8" s="17"/>
    </row>
    <row r="9" spans="1:8">
      <c r="A9" t="s">
        <v>6</v>
      </c>
      <c r="B9" t="s">
        <v>7</v>
      </c>
    </row>
    <row r="10" spans="1:8">
      <c r="A10" t="s">
        <v>8</v>
      </c>
      <c r="B10" t="s">
        <v>9</v>
      </c>
    </row>
    <row r="11" spans="1:8">
      <c r="A11" t="s">
        <v>10</v>
      </c>
      <c r="B11" t="s">
        <v>11</v>
      </c>
    </row>
    <row r="12" spans="1:8">
      <c r="A12" t="s">
        <v>12</v>
      </c>
      <c r="B12" t="s">
        <v>13</v>
      </c>
    </row>
    <row r="13" spans="1:8">
      <c r="A13" t="s">
        <v>14</v>
      </c>
      <c r="B13" t="s">
        <v>15</v>
      </c>
    </row>
    <row r="14" spans="1:8">
      <c r="A14" t="s">
        <v>16</v>
      </c>
      <c r="B14" t="s">
        <v>17</v>
      </c>
    </row>
    <row r="16" spans="1:8" ht="15">
      <c r="A16" s="21" t="s">
        <v>18</v>
      </c>
      <c r="B16" s="17"/>
      <c r="C16" s="17"/>
      <c r="D16" s="17"/>
      <c r="E16" s="17"/>
      <c r="F16" s="17"/>
      <c r="G16" s="17"/>
      <c r="H16" s="17"/>
    </row>
    <row r="17" spans="1:1">
      <c r="A17" t="s">
        <v>19</v>
      </c>
    </row>
    <row r="18" spans="1:1">
      <c r="A18" t="s">
        <v>20</v>
      </c>
    </row>
    <row r="19" spans="1:1">
      <c r="A19" t="s">
        <v>21</v>
      </c>
    </row>
    <row r="20" spans="1:1">
      <c r="A20" t="s">
        <v>22</v>
      </c>
    </row>
  </sheetData>
  <mergeCells count="4">
    <mergeCell ref="A1:H1"/>
    <mergeCell ref="A3:H3"/>
    <mergeCell ref="A8:H8"/>
    <mergeCell ref="A16:H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B5" sqref="B5"/>
    </sheetView>
  </sheetViews>
  <sheetFormatPr defaultRowHeight="14.25"/>
  <cols>
    <col min="1" max="1" width="24" customWidth="1"/>
    <col min="2" max="2" width="20" customWidth="1"/>
    <col min="3" max="3" width="38" customWidth="1"/>
    <col min="4" max="4" width="22" customWidth="1"/>
  </cols>
  <sheetData>
    <row r="1" spans="1:4" ht="24" customHeight="1">
      <c r="A1" s="18" t="s">
        <v>23</v>
      </c>
      <c r="B1" s="19"/>
      <c r="C1" s="19"/>
      <c r="D1" s="19"/>
    </row>
    <row r="2" spans="1:4">
      <c r="A2" s="1"/>
      <c r="B2" s="1"/>
      <c r="C2" s="1"/>
      <c r="D2" s="1"/>
    </row>
    <row r="3" spans="1:4" ht="15">
      <c r="A3" s="3" t="s">
        <v>24</v>
      </c>
      <c r="B3" s="3" t="s">
        <v>25</v>
      </c>
      <c r="C3" s="3" t="s">
        <v>18</v>
      </c>
      <c r="D3" s="3" t="s">
        <v>26</v>
      </c>
    </row>
    <row r="4" spans="1:4">
      <c r="A4" s="1" t="s">
        <v>27</v>
      </c>
      <c r="B4" s="4" t="s">
        <v>28</v>
      </c>
      <c r="C4" s="1" t="s">
        <v>29</v>
      </c>
      <c r="D4" s="1"/>
    </row>
    <row r="5" spans="1:4">
      <c r="A5" s="1" t="s">
        <v>30</v>
      </c>
      <c r="B5" s="10">
        <v>128</v>
      </c>
      <c r="C5" s="1" t="s">
        <v>31</v>
      </c>
      <c r="D5" s="1" t="s">
        <v>32</v>
      </c>
    </row>
    <row r="6" spans="1:4">
      <c r="A6" s="1" t="s">
        <v>33</v>
      </c>
      <c r="B6" s="4" t="s">
        <v>34</v>
      </c>
      <c r="C6" s="1" t="s">
        <v>35</v>
      </c>
      <c r="D6" s="1" t="s">
        <v>36</v>
      </c>
    </row>
    <row r="7" spans="1:4" ht="28.5">
      <c r="A7" s="1" t="s">
        <v>37</v>
      </c>
      <c r="B7" s="4" t="s">
        <v>38</v>
      </c>
      <c r="C7" s="1" t="s">
        <v>39</v>
      </c>
      <c r="D7" s="1"/>
    </row>
    <row r="8" spans="1:4" ht="28.5">
      <c r="A8" s="1" t="s">
        <v>40</v>
      </c>
      <c r="B8" s="4" t="s">
        <v>41</v>
      </c>
      <c r="C8" s="1" t="s">
        <v>42</v>
      </c>
      <c r="D8" s="1"/>
    </row>
    <row r="9" spans="1:4" ht="28.5">
      <c r="A9" s="1" t="s">
        <v>43</v>
      </c>
      <c r="B9" s="4" t="s">
        <v>44</v>
      </c>
      <c r="C9" s="1" t="s">
        <v>45</v>
      </c>
      <c r="D9" s="1"/>
    </row>
    <row r="10" spans="1:4">
      <c r="A10" s="1" t="s">
        <v>46</v>
      </c>
      <c r="B10" s="4" t="s">
        <v>47</v>
      </c>
      <c r="C10" s="1" t="s">
        <v>48</v>
      </c>
      <c r="D10" s="1"/>
    </row>
  </sheetData>
  <mergeCells count="1">
    <mergeCell ref="A1:D1"/>
  </mergeCells>
  <dataValidations count="2">
    <dataValidation type="list" sqref="B5" xr:uid="{00000000-0002-0000-0100-000000000000}">
      <formula1>"4,8,16,32,64,128"</formula1>
    </dataValidation>
    <dataValidation type="list" sqref="B6" xr:uid="{00000000-0002-0000-0100-000001000000}">
      <formula1>"Yes,No"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2"/>
  <sheetViews>
    <sheetView topLeftCell="A34" workbookViewId="0">
      <selection activeCell="I12" sqref="I12"/>
    </sheetView>
  </sheetViews>
  <sheetFormatPr defaultRowHeight="14.25"/>
  <cols>
    <col min="1" max="1" width="10" customWidth="1"/>
    <col min="2" max="2" width="28" customWidth="1"/>
    <col min="3" max="3" width="12" customWidth="1"/>
    <col min="4" max="4" width="30" customWidth="1"/>
  </cols>
  <sheetData>
    <row r="1" spans="1:4" ht="24" customHeight="1">
      <c r="A1" s="18" t="s">
        <v>49</v>
      </c>
      <c r="B1" s="19"/>
      <c r="C1" s="19"/>
      <c r="D1" s="19"/>
    </row>
    <row r="2" spans="1:4" ht="38.25" customHeight="1">
      <c r="A2" s="24" t="str">
        <f>Setup!B4</f>
        <v>Knockout Tournament</v>
      </c>
      <c r="B2" s="25"/>
      <c r="C2" s="25"/>
      <c r="D2" s="1"/>
    </row>
    <row r="3" spans="1:4" s="31" customFormat="1" ht="18.75" thickBot="1">
      <c r="A3" s="30" t="s">
        <v>50</v>
      </c>
      <c r="B3" s="30" t="s">
        <v>51</v>
      </c>
      <c r="C3" s="30" t="s">
        <v>52</v>
      </c>
      <c r="D3" s="30" t="s">
        <v>18</v>
      </c>
    </row>
    <row r="4" spans="1:4" ht="15" thickTop="1">
      <c r="A4" s="5">
        <v>1</v>
      </c>
      <c r="B4" s="27" t="s">
        <v>53</v>
      </c>
      <c r="C4" s="5" t="str">
        <f>IF(A4&lt;=Setup!$B$5,"Yes","")</f>
        <v>Yes</v>
      </c>
      <c r="D4" s="26" t="s">
        <v>228</v>
      </c>
    </row>
    <row r="5" spans="1:4">
      <c r="A5" s="5">
        <v>2</v>
      </c>
      <c r="B5" s="28" t="s">
        <v>54</v>
      </c>
      <c r="C5" s="5" t="str">
        <f>IF(A5&lt;=Setup!$B$5,"Yes","")</f>
        <v>Yes</v>
      </c>
      <c r="D5" s="19"/>
    </row>
    <row r="6" spans="1:4">
      <c r="A6" s="5">
        <v>3</v>
      </c>
      <c r="B6" s="28" t="s">
        <v>55</v>
      </c>
      <c r="C6" s="5" t="str">
        <f>IF(A6&lt;=Setup!$B$5,"Yes","")</f>
        <v>Yes</v>
      </c>
      <c r="D6" s="1"/>
    </row>
    <row r="7" spans="1:4">
      <c r="A7" s="5">
        <v>4</v>
      </c>
      <c r="B7" s="28" t="s">
        <v>56</v>
      </c>
      <c r="C7" s="5" t="str">
        <f>IF(A7&lt;=Setup!$B$5,"Yes","")</f>
        <v>Yes</v>
      </c>
      <c r="D7" s="1"/>
    </row>
    <row r="8" spans="1:4">
      <c r="A8" s="5">
        <v>5</v>
      </c>
      <c r="B8" s="28" t="s">
        <v>57</v>
      </c>
      <c r="C8" s="5" t="str">
        <f>IF(A8&lt;=Setup!$B$5,"Yes","")</f>
        <v>Yes</v>
      </c>
      <c r="D8" s="1"/>
    </row>
    <row r="9" spans="1:4">
      <c r="A9" s="5">
        <v>6</v>
      </c>
      <c r="B9" s="28" t="s">
        <v>58</v>
      </c>
      <c r="C9" s="5" t="str">
        <f>IF(A9&lt;=Setup!$B$5,"Yes","")</f>
        <v>Yes</v>
      </c>
      <c r="D9" s="1"/>
    </row>
    <row r="10" spans="1:4">
      <c r="A10" s="5">
        <v>7</v>
      </c>
      <c r="B10" s="28" t="s">
        <v>59</v>
      </c>
      <c r="C10" s="5" t="str">
        <f>IF(A10&lt;=Setup!$B$5,"Yes","")</f>
        <v>Yes</v>
      </c>
      <c r="D10" s="1"/>
    </row>
    <row r="11" spans="1:4">
      <c r="A11" s="5">
        <v>8</v>
      </c>
      <c r="B11" s="28" t="s">
        <v>60</v>
      </c>
      <c r="C11" s="5" t="str">
        <f>IF(A11&lt;=Setup!$B$5,"Yes","")</f>
        <v>Yes</v>
      </c>
      <c r="D11" s="1"/>
    </row>
    <row r="12" spans="1:4">
      <c r="A12" s="5">
        <v>9</v>
      </c>
      <c r="B12" s="28" t="s">
        <v>61</v>
      </c>
      <c r="C12" s="5" t="str">
        <f>IF(A12&lt;=Setup!$B$5,"Yes","")</f>
        <v>Yes</v>
      </c>
      <c r="D12" s="1"/>
    </row>
    <row r="13" spans="1:4">
      <c r="A13" s="5">
        <v>10</v>
      </c>
      <c r="B13" s="28" t="s">
        <v>62</v>
      </c>
      <c r="C13" s="5" t="str">
        <f>IF(A13&lt;=Setup!$B$5,"Yes","")</f>
        <v>Yes</v>
      </c>
      <c r="D13" s="1"/>
    </row>
    <row r="14" spans="1:4">
      <c r="A14" s="5">
        <v>11</v>
      </c>
      <c r="B14" s="28" t="s">
        <v>63</v>
      </c>
      <c r="C14" s="5" t="str">
        <f>IF(A14&lt;=Setup!$B$5,"Yes","")</f>
        <v>Yes</v>
      </c>
      <c r="D14" s="1"/>
    </row>
    <row r="15" spans="1:4">
      <c r="A15" s="5">
        <v>12</v>
      </c>
      <c r="B15" s="28" t="s">
        <v>64</v>
      </c>
      <c r="C15" s="5" t="str">
        <f>IF(A15&lt;=Setup!$B$5,"Yes","")</f>
        <v>Yes</v>
      </c>
      <c r="D15" s="1"/>
    </row>
    <row r="16" spans="1:4">
      <c r="A16" s="5">
        <v>13</v>
      </c>
      <c r="B16" s="28" t="s">
        <v>65</v>
      </c>
      <c r="C16" s="5" t="str">
        <f>IF(A16&lt;=Setup!$B$5,"Yes","")</f>
        <v>Yes</v>
      </c>
      <c r="D16" s="1"/>
    </row>
    <row r="17" spans="1:4">
      <c r="A17" s="5">
        <v>14</v>
      </c>
      <c r="B17" s="28" t="s">
        <v>66</v>
      </c>
      <c r="C17" s="5" t="str">
        <f>IF(A17&lt;=Setup!$B$5,"Yes","")</f>
        <v>Yes</v>
      </c>
      <c r="D17" s="1"/>
    </row>
    <row r="18" spans="1:4">
      <c r="A18" s="5">
        <v>15</v>
      </c>
      <c r="B18" s="28" t="s">
        <v>67</v>
      </c>
      <c r="C18" s="5" t="str">
        <f>IF(A18&lt;=Setup!$B$5,"Yes","")</f>
        <v>Yes</v>
      </c>
      <c r="D18" s="1"/>
    </row>
    <row r="19" spans="1:4">
      <c r="A19" s="5">
        <v>16</v>
      </c>
      <c r="B19" s="28" t="s">
        <v>68</v>
      </c>
      <c r="C19" s="5" t="str">
        <f>IF(A19&lt;=Setup!$B$5,"Yes","")</f>
        <v>Yes</v>
      </c>
      <c r="D19" s="1"/>
    </row>
    <row r="20" spans="1:4">
      <c r="A20" s="5">
        <v>17</v>
      </c>
      <c r="B20" s="28" t="s">
        <v>69</v>
      </c>
      <c r="C20" s="5" t="str">
        <f>IF(A20&lt;=Setup!$B$5,"Yes","")</f>
        <v>Yes</v>
      </c>
      <c r="D20" s="1"/>
    </row>
    <row r="21" spans="1:4">
      <c r="A21" s="5">
        <v>18</v>
      </c>
      <c r="B21" s="28" t="s">
        <v>70</v>
      </c>
      <c r="C21" s="5" t="str">
        <f>IF(A21&lt;=Setup!$B$5,"Yes","")</f>
        <v>Yes</v>
      </c>
      <c r="D21" s="1"/>
    </row>
    <row r="22" spans="1:4">
      <c r="A22" s="5">
        <v>19</v>
      </c>
      <c r="B22" s="28" t="s">
        <v>71</v>
      </c>
      <c r="C22" s="5" t="str">
        <f>IF(A22&lt;=Setup!$B$5,"Yes","")</f>
        <v>Yes</v>
      </c>
      <c r="D22" s="1"/>
    </row>
    <row r="23" spans="1:4">
      <c r="A23" s="5">
        <v>20</v>
      </c>
      <c r="B23" s="28" t="s">
        <v>72</v>
      </c>
      <c r="C23" s="5" t="str">
        <f>IF(A23&lt;=Setup!$B$5,"Yes","")</f>
        <v>Yes</v>
      </c>
      <c r="D23" s="1"/>
    </row>
    <row r="24" spans="1:4">
      <c r="A24" s="5">
        <v>21</v>
      </c>
      <c r="B24" s="28" t="s">
        <v>73</v>
      </c>
      <c r="C24" s="5" t="str">
        <f>IF(A24&lt;=Setup!$B$5,"Yes","")</f>
        <v>Yes</v>
      </c>
      <c r="D24" s="1"/>
    </row>
    <row r="25" spans="1:4">
      <c r="A25" s="5">
        <v>22</v>
      </c>
      <c r="B25" s="28" t="s">
        <v>74</v>
      </c>
      <c r="C25" s="5" t="str">
        <f>IF(A25&lt;=Setup!$B$5,"Yes","")</f>
        <v>Yes</v>
      </c>
      <c r="D25" s="1"/>
    </row>
    <row r="26" spans="1:4">
      <c r="A26" s="5">
        <v>23</v>
      </c>
      <c r="B26" s="28" t="s">
        <v>75</v>
      </c>
      <c r="C26" s="5" t="str">
        <f>IF(A26&lt;=Setup!$B$5,"Yes","")</f>
        <v>Yes</v>
      </c>
      <c r="D26" s="1"/>
    </row>
    <row r="27" spans="1:4">
      <c r="A27" s="5">
        <v>24</v>
      </c>
      <c r="B27" s="28" t="s">
        <v>76</v>
      </c>
      <c r="C27" s="5" t="str">
        <f>IF(A27&lt;=Setup!$B$5,"Yes","")</f>
        <v>Yes</v>
      </c>
      <c r="D27" s="1"/>
    </row>
    <row r="28" spans="1:4">
      <c r="A28" s="5">
        <v>25</v>
      </c>
      <c r="B28" s="28" t="s">
        <v>77</v>
      </c>
      <c r="C28" s="5" t="str">
        <f>IF(A28&lt;=Setup!$B$5,"Yes","")</f>
        <v>Yes</v>
      </c>
      <c r="D28" s="1"/>
    </row>
    <row r="29" spans="1:4">
      <c r="A29" s="5">
        <v>26</v>
      </c>
      <c r="B29" s="28" t="s">
        <v>78</v>
      </c>
      <c r="C29" s="5" t="str">
        <f>IF(A29&lt;=Setup!$B$5,"Yes","")</f>
        <v>Yes</v>
      </c>
      <c r="D29" s="1"/>
    </row>
    <row r="30" spans="1:4">
      <c r="A30" s="5">
        <v>27</v>
      </c>
      <c r="B30" s="28" t="s">
        <v>79</v>
      </c>
      <c r="C30" s="5" t="str">
        <f>IF(A30&lt;=Setup!$B$5,"Yes","")</f>
        <v>Yes</v>
      </c>
      <c r="D30" s="1"/>
    </row>
    <row r="31" spans="1:4">
      <c r="A31" s="5">
        <v>28</v>
      </c>
      <c r="B31" s="28" t="s">
        <v>80</v>
      </c>
      <c r="C31" s="5" t="str">
        <f>IF(A31&lt;=Setup!$B$5,"Yes","")</f>
        <v>Yes</v>
      </c>
      <c r="D31" s="1"/>
    </row>
    <row r="32" spans="1:4">
      <c r="A32" s="5">
        <v>29</v>
      </c>
      <c r="B32" s="28" t="s">
        <v>81</v>
      </c>
      <c r="C32" s="5" t="str">
        <f>IF(A32&lt;=Setup!$B$5,"Yes","")</f>
        <v>Yes</v>
      </c>
      <c r="D32" s="1"/>
    </row>
    <row r="33" spans="1:4">
      <c r="A33" s="5">
        <v>30</v>
      </c>
      <c r="B33" s="28" t="s">
        <v>82</v>
      </c>
      <c r="C33" s="5" t="str">
        <f>IF(A33&lt;=Setup!$B$5,"Yes","")</f>
        <v>Yes</v>
      </c>
      <c r="D33" s="1"/>
    </row>
    <row r="34" spans="1:4">
      <c r="A34" s="5">
        <v>31</v>
      </c>
      <c r="B34" s="28" t="s">
        <v>83</v>
      </c>
      <c r="C34" s="5" t="str">
        <f>IF(A34&lt;=Setup!$B$5,"Yes","")</f>
        <v>Yes</v>
      </c>
      <c r="D34" s="1"/>
    </row>
    <row r="35" spans="1:4">
      <c r="A35" s="5">
        <v>32</v>
      </c>
      <c r="B35" s="28" t="s">
        <v>84</v>
      </c>
      <c r="C35" s="5" t="str">
        <f>IF(A35&lt;=Setup!$B$5,"Yes","")</f>
        <v>Yes</v>
      </c>
      <c r="D35" s="1"/>
    </row>
    <row r="36" spans="1:4">
      <c r="A36" s="5">
        <v>33</v>
      </c>
      <c r="B36" s="28" t="s">
        <v>85</v>
      </c>
      <c r="C36" s="5" t="str">
        <f>IF(A36&lt;=Setup!$B$5,"Yes","")</f>
        <v>Yes</v>
      </c>
      <c r="D36" s="1"/>
    </row>
    <row r="37" spans="1:4">
      <c r="A37" s="5">
        <v>34</v>
      </c>
      <c r="B37" s="28" t="s">
        <v>86</v>
      </c>
      <c r="C37" s="5" t="str">
        <f>IF(A37&lt;=Setup!$B$5,"Yes","")</f>
        <v>Yes</v>
      </c>
      <c r="D37" s="1"/>
    </row>
    <row r="38" spans="1:4">
      <c r="A38" s="5">
        <v>35</v>
      </c>
      <c r="B38" s="28" t="s">
        <v>87</v>
      </c>
      <c r="C38" s="5" t="str">
        <f>IF(A38&lt;=Setup!$B$5,"Yes","")</f>
        <v>Yes</v>
      </c>
      <c r="D38" s="1"/>
    </row>
    <row r="39" spans="1:4">
      <c r="A39" s="5">
        <v>36</v>
      </c>
      <c r="B39" s="28" t="s">
        <v>88</v>
      </c>
      <c r="C39" s="5" t="str">
        <f>IF(A39&lt;=Setup!$B$5,"Yes","")</f>
        <v>Yes</v>
      </c>
      <c r="D39" s="1"/>
    </row>
    <row r="40" spans="1:4">
      <c r="A40" s="5">
        <v>37</v>
      </c>
      <c r="B40" s="28" t="s">
        <v>89</v>
      </c>
      <c r="C40" s="5" t="str">
        <f>IF(A40&lt;=Setup!$B$5,"Yes","")</f>
        <v>Yes</v>
      </c>
      <c r="D40" s="1"/>
    </row>
    <row r="41" spans="1:4">
      <c r="A41" s="5">
        <v>38</v>
      </c>
      <c r="B41" s="28" t="s">
        <v>90</v>
      </c>
      <c r="C41" s="5" t="str">
        <f>IF(A41&lt;=Setup!$B$5,"Yes","")</f>
        <v>Yes</v>
      </c>
      <c r="D41" s="1"/>
    </row>
    <row r="42" spans="1:4">
      <c r="A42" s="5">
        <v>39</v>
      </c>
      <c r="B42" s="28" t="s">
        <v>91</v>
      </c>
      <c r="C42" s="5" t="str">
        <f>IF(A42&lt;=Setup!$B$5,"Yes","")</f>
        <v>Yes</v>
      </c>
      <c r="D42" s="1"/>
    </row>
    <row r="43" spans="1:4">
      <c r="A43" s="5">
        <v>40</v>
      </c>
      <c r="B43" s="28" t="s">
        <v>92</v>
      </c>
      <c r="C43" s="5" t="str">
        <f>IF(A43&lt;=Setup!$B$5,"Yes","")</f>
        <v>Yes</v>
      </c>
      <c r="D43" s="1"/>
    </row>
    <row r="44" spans="1:4">
      <c r="A44" s="5">
        <v>41</v>
      </c>
      <c r="B44" s="28" t="s">
        <v>93</v>
      </c>
      <c r="C44" s="5" t="str">
        <f>IF(A44&lt;=Setup!$B$5,"Yes","")</f>
        <v>Yes</v>
      </c>
      <c r="D44" s="1"/>
    </row>
    <row r="45" spans="1:4">
      <c r="A45" s="5">
        <v>42</v>
      </c>
      <c r="B45" s="28" t="s">
        <v>94</v>
      </c>
      <c r="C45" s="5" t="str">
        <f>IF(A45&lt;=Setup!$B$5,"Yes","")</f>
        <v>Yes</v>
      </c>
      <c r="D45" s="1"/>
    </row>
    <row r="46" spans="1:4">
      <c r="A46" s="5">
        <v>43</v>
      </c>
      <c r="B46" s="28" t="s">
        <v>95</v>
      </c>
      <c r="C46" s="5" t="str">
        <f>IF(A46&lt;=Setup!$B$5,"Yes","")</f>
        <v>Yes</v>
      </c>
      <c r="D46" s="1"/>
    </row>
    <row r="47" spans="1:4">
      <c r="A47" s="5">
        <v>44</v>
      </c>
      <c r="B47" s="28" t="s">
        <v>96</v>
      </c>
      <c r="C47" s="5" t="str">
        <f>IF(A47&lt;=Setup!$B$5,"Yes","")</f>
        <v>Yes</v>
      </c>
      <c r="D47" s="1"/>
    </row>
    <row r="48" spans="1:4">
      <c r="A48" s="5">
        <v>45</v>
      </c>
      <c r="B48" s="28" t="s">
        <v>97</v>
      </c>
      <c r="C48" s="5" t="str">
        <f>IF(A48&lt;=Setup!$B$5,"Yes","")</f>
        <v>Yes</v>
      </c>
      <c r="D48" s="1"/>
    </row>
    <row r="49" spans="1:4">
      <c r="A49" s="5">
        <v>46</v>
      </c>
      <c r="B49" s="28" t="s">
        <v>98</v>
      </c>
      <c r="C49" s="5" t="str">
        <f>IF(A49&lt;=Setup!$B$5,"Yes","")</f>
        <v>Yes</v>
      </c>
      <c r="D49" s="1"/>
    </row>
    <row r="50" spans="1:4">
      <c r="A50" s="5">
        <v>47</v>
      </c>
      <c r="B50" s="28" t="s">
        <v>99</v>
      </c>
      <c r="C50" s="5" t="str">
        <f>IF(A50&lt;=Setup!$B$5,"Yes","")</f>
        <v>Yes</v>
      </c>
      <c r="D50" s="1"/>
    </row>
    <row r="51" spans="1:4">
      <c r="A51" s="5">
        <v>48</v>
      </c>
      <c r="B51" s="28" t="s">
        <v>100</v>
      </c>
      <c r="C51" s="5" t="str">
        <f>IF(A51&lt;=Setup!$B$5,"Yes","")</f>
        <v>Yes</v>
      </c>
      <c r="D51" s="1"/>
    </row>
    <row r="52" spans="1:4">
      <c r="A52" s="5">
        <v>49</v>
      </c>
      <c r="B52" s="28" t="s">
        <v>101</v>
      </c>
      <c r="C52" s="5" t="str">
        <f>IF(A52&lt;=Setup!$B$5,"Yes","")</f>
        <v>Yes</v>
      </c>
      <c r="D52" s="1"/>
    </row>
    <row r="53" spans="1:4">
      <c r="A53" s="5">
        <v>50</v>
      </c>
      <c r="B53" s="28" t="s">
        <v>102</v>
      </c>
      <c r="C53" s="5" t="str">
        <f>IF(A53&lt;=Setup!$B$5,"Yes","")</f>
        <v>Yes</v>
      </c>
      <c r="D53" s="1"/>
    </row>
    <row r="54" spans="1:4">
      <c r="A54" s="5">
        <v>51</v>
      </c>
      <c r="B54" s="28" t="s">
        <v>103</v>
      </c>
      <c r="C54" s="5" t="str">
        <f>IF(A54&lt;=Setup!$B$5,"Yes","")</f>
        <v>Yes</v>
      </c>
      <c r="D54" s="1"/>
    </row>
    <row r="55" spans="1:4">
      <c r="A55" s="5">
        <v>52</v>
      </c>
      <c r="B55" s="28" t="s">
        <v>104</v>
      </c>
      <c r="C55" s="5" t="str">
        <f>IF(A55&lt;=Setup!$B$5,"Yes","")</f>
        <v>Yes</v>
      </c>
      <c r="D55" s="1"/>
    </row>
    <row r="56" spans="1:4">
      <c r="A56" s="5">
        <v>53</v>
      </c>
      <c r="B56" s="28" t="s">
        <v>105</v>
      </c>
      <c r="C56" s="5" t="str">
        <f>IF(A56&lt;=Setup!$B$5,"Yes","")</f>
        <v>Yes</v>
      </c>
      <c r="D56" s="1"/>
    </row>
    <row r="57" spans="1:4">
      <c r="A57" s="5">
        <v>54</v>
      </c>
      <c r="B57" s="28" t="s">
        <v>106</v>
      </c>
      <c r="C57" s="5" t="str">
        <f>IF(A57&lt;=Setup!$B$5,"Yes","")</f>
        <v>Yes</v>
      </c>
      <c r="D57" s="1"/>
    </row>
    <row r="58" spans="1:4">
      <c r="A58" s="5">
        <v>55</v>
      </c>
      <c r="B58" s="28" t="s">
        <v>107</v>
      </c>
      <c r="C58" s="5" t="str">
        <f>IF(A58&lt;=Setup!$B$5,"Yes","")</f>
        <v>Yes</v>
      </c>
      <c r="D58" s="1"/>
    </row>
    <row r="59" spans="1:4">
      <c r="A59" s="5">
        <v>56</v>
      </c>
      <c r="B59" s="28" t="s">
        <v>108</v>
      </c>
      <c r="C59" s="5" t="str">
        <f>IF(A59&lt;=Setup!$B$5,"Yes","")</f>
        <v>Yes</v>
      </c>
      <c r="D59" s="1"/>
    </row>
    <row r="60" spans="1:4">
      <c r="A60" s="5">
        <v>57</v>
      </c>
      <c r="B60" s="28" t="s">
        <v>109</v>
      </c>
      <c r="C60" s="5" t="str">
        <f>IF(A60&lt;=Setup!$B$5,"Yes","")</f>
        <v>Yes</v>
      </c>
      <c r="D60" s="1"/>
    </row>
    <row r="61" spans="1:4">
      <c r="A61" s="5">
        <v>58</v>
      </c>
      <c r="B61" s="28" t="s">
        <v>110</v>
      </c>
      <c r="C61" s="5" t="str">
        <f>IF(A61&lt;=Setup!$B$5,"Yes","")</f>
        <v>Yes</v>
      </c>
      <c r="D61" s="1"/>
    </row>
    <row r="62" spans="1:4">
      <c r="A62" s="5">
        <v>59</v>
      </c>
      <c r="B62" s="28" t="s">
        <v>111</v>
      </c>
      <c r="C62" s="5" t="str">
        <f>IF(A62&lt;=Setup!$B$5,"Yes","")</f>
        <v>Yes</v>
      </c>
      <c r="D62" s="1"/>
    </row>
    <row r="63" spans="1:4">
      <c r="A63" s="5">
        <v>60</v>
      </c>
      <c r="B63" s="28" t="s">
        <v>112</v>
      </c>
      <c r="C63" s="5" t="str">
        <f>IF(A63&lt;=Setup!$B$5,"Yes","")</f>
        <v>Yes</v>
      </c>
      <c r="D63" s="1"/>
    </row>
    <row r="64" spans="1:4">
      <c r="A64" s="5">
        <v>61</v>
      </c>
      <c r="B64" s="28" t="s">
        <v>113</v>
      </c>
      <c r="C64" s="5" t="str">
        <f>IF(A64&lt;=Setup!$B$5,"Yes","")</f>
        <v>Yes</v>
      </c>
      <c r="D64" s="1"/>
    </row>
    <row r="65" spans="1:4">
      <c r="A65" s="5">
        <v>62</v>
      </c>
      <c r="B65" s="28" t="s">
        <v>114</v>
      </c>
      <c r="C65" s="5" t="str">
        <f>IF(A65&lt;=Setup!$B$5,"Yes","")</f>
        <v>Yes</v>
      </c>
      <c r="D65" s="1"/>
    </row>
    <row r="66" spans="1:4">
      <c r="A66" s="5">
        <v>63</v>
      </c>
      <c r="B66" s="28" t="s">
        <v>115</v>
      </c>
      <c r="C66" s="5" t="str">
        <f>IF(A66&lt;=Setup!$B$5,"Yes","")</f>
        <v>Yes</v>
      </c>
      <c r="D66" s="1"/>
    </row>
    <row r="67" spans="1:4">
      <c r="A67" s="5">
        <v>64</v>
      </c>
      <c r="B67" s="28" t="s">
        <v>116</v>
      </c>
      <c r="C67" s="5" t="str">
        <f>IF(A67&lt;=Setup!$B$5,"Yes","")</f>
        <v>Yes</v>
      </c>
      <c r="D67" s="1"/>
    </row>
    <row r="68" spans="1:4">
      <c r="A68" s="5">
        <v>65</v>
      </c>
      <c r="B68" s="28" t="s">
        <v>117</v>
      </c>
      <c r="C68" s="5" t="str">
        <f>IF(A68&lt;=Setup!$B$5,"Yes","")</f>
        <v>Yes</v>
      </c>
      <c r="D68" s="1"/>
    </row>
    <row r="69" spans="1:4">
      <c r="A69" s="5">
        <v>66</v>
      </c>
      <c r="B69" s="28" t="s">
        <v>118</v>
      </c>
      <c r="C69" s="5" t="str">
        <f>IF(A69&lt;=Setup!$B$5,"Yes","")</f>
        <v>Yes</v>
      </c>
      <c r="D69" s="1"/>
    </row>
    <row r="70" spans="1:4">
      <c r="A70" s="5">
        <v>67</v>
      </c>
      <c r="B70" s="28" t="s">
        <v>119</v>
      </c>
      <c r="C70" s="5" t="str">
        <f>IF(A70&lt;=Setup!$B$5,"Yes","")</f>
        <v>Yes</v>
      </c>
      <c r="D70" s="1"/>
    </row>
    <row r="71" spans="1:4">
      <c r="A71" s="5">
        <v>68</v>
      </c>
      <c r="B71" s="28" t="s">
        <v>120</v>
      </c>
      <c r="C71" s="5" t="str">
        <f>IF(A71&lt;=Setup!$B$5,"Yes","")</f>
        <v>Yes</v>
      </c>
      <c r="D71" s="1"/>
    </row>
    <row r="72" spans="1:4">
      <c r="A72" s="5">
        <v>69</v>
      </c>
      <c r="B72" s="28" t="s">
        <v>121</v>
      </c>
      <c r="C72" s="5" t="str">
        <f>IF(A72&lt;=Setup!$B$5,"Yes","")</f>
        <v>Yes</v>
      </c>
      <c r="D72" s="1"/>
    </row>
    <row r="73" spans="1:4">
      <c r="A73" s="5">
        <v>70</v>
      </c>
      <c r="B73" s="28" t="s">
        <v>122</v>
      </c>
      <c r="C73" s="5" t="str">
        <f>IF(A73&lt;=Setup!$B$5,"Yes","")</f>
        <v>Yes</v>
      </c>
      <c r="D73" s="1"/>
    </row>
    <row r="74" spans="1:4">
      <c r="A74" s="5">
        <v>71</v>
      </c>
      <c r="B74" s="28" t="s">
        <v>123</v>
      </c>
      <c r="C74" s="5" t="str">
        <f>IF(A74&lt;=Setup!$B$5,"Yes","")</f>
        <v>Yes</v>
      </c>
      <c r="D74" s="1"/>
    </row>
    <row r="75" spans="1:4">
      <c r="A75" s="5">
        <v>72</v>
      </c>
      <c r="B75" s="28" t="s">
        <v>124</v>
      </c>
      <c r="C75" s="5" t="str">
        <f>IF(A75&lt;=Setup!$B$5,"Yes","")</f>
        <v>Yes</v>
      </c>
      <c r="D75" s="1"/>
    </row>
    <row r="76" spans="1:4">
      <c r="A76" s="5">
        <v>73</v>
      </c>
      <c r="B76" s="28" t="s">
        <v>125</v>
      </c>
      <c r="C76" s="5" t="str">
        <f>IF(A76&lt;=Setup!$B$5,"Yes","")</f>
        <v>Yes</v>
      </c>
      <c r="D76" s="1"/>
    </row>
    <row r="77" spans="1:4">
      <c r="A77" s="5">
        <v>74</v>
      </c>
      <c r="B77" s="28" t="s">
        <v>126</v>
      </c>
      <c r="C77" s="5" t="str">
        <f>IF(A77&lt;=Setup!$B$5,"Yes","")</f>
        <v>Yes</v>
      </c>
      <c r="D77" s="1"/>
    </row>
    <row r="78" spans="1:4">
      <c r="A78" s="5">
        <v>75</v>
      </c>
      <c r="B78" s="28" t="s">
        <v>127</v>
      </c>
      <c r="C78" s="5" t="str">
        <f>IF(A78&lt;=Setup!$B$5,"Yes","")</f>
        <v>Yes</v>
      </c>
      <c r="D78" s="1"/>
    </row>
    <row r="79" spans="1:4">
      <c r="A79" s="5">
        <v>76</v>
      </c>
      <c r="B79" s="28" t="s">
        <v>128</v>
      </c>
      <c r="C79" s="5" t="str">
        <f>IF(A79&lt;=Setup!$B$5,"Yes","")</f>
        <v>Yes</v>
      </c>
      <c r="D79" s="1"/>
    </row>
    <row r="80" spans="1:4">
      <c r="A80" s="5">
        <v>77</v>
      </c>
      <c r="B80" s="28" t="s">
        <v>129</v>
      </c>
      <c r="C80" s="5" t="str">
        <f>IF(A80&lt;=Setup!$B$5,"Yes","")</f>
        <v>Yes</v>
      </c>
      <c r="D80" s="1"/>
    </row>
    <row r="81" spans="1:4">
      <c r="A81" s="5">
        <v>78</v>
      </c>
      <c r="B81" s="28" t="s">
        <v>130</v>
      </c>
      <c r="C81" s="5" t="str">
        <f>IF(A81&lt;=Setup!$B$5,"Yes","")</f>
        <v>Yes</v>
      </c>
      <c r="D81" s="1"/>
    </row>
    <row r="82" spans="1:4">
      <c r="A82" s="5">
        <v>79</v>
      </c>
      <c r="B82" s="28" t="s">
        <v>131</v>
      </c>
      <c r="C82" s="5" t="str">
        <f>IF(A82&lt;=Setup!$B$5,"Yes","")</f>
        <v>Yes</v>
      </c>
      <c r="D82" s="1"/>
    </row>
    <row r="83" spans="1:4">
      <c r="A83" s="5">
        <v>80</v>
      </c>
      <c r="B83" s="28" t="s">
        <v>132</v>
      </c>
      <c r="C83" s="5" t="str">
        <f>IF(A83&lt;=Setup!$B$5,"Yes","")</f>
        <v>Yes</v>
      </c>
      <c r="D83" s="1"/>
    </row>
    <row r="84" spans="1:4">
      <c r="A84" s="5">
        <v>81</v>
      </c>
      <c r="B84" s="28" t="s">
        <v>133</v>
      </c>
      <c r="C84" s="5" t="str">
        <f>IF(A84&lt;=Setup!$B$5,"Yes","")</f>
        <v>Yes</v>
      </c>
      <c r="D84" s="1"/>
    </row>
    <row r="85" spans="1:4">
      <c r="A85" s="5">
        <v>82</v>
      </c>
      <c r="B85" s="28" t="s">
        <v>134</v>
      </c>
      <c r="C85" s="5" t="str">
        <f>IF(A85&lt;=Setup!$B$5,"Yes","")</f>
        <v>Yes</v>
      </c>
      <c r="D85" s="1"/>
    </row>
    <row r="86" spans="1:4">
      <c r="A86" s="5">
        <v>83</v>
      </c>
      <c r="B86" s="28" t="s">
        <v>135</v>
      </c>
      <c r="C86" s="5" t="str">
        <f>IF(A86&lt;=Setup!$B$5,"Yes","")</f>
        <v>Yes</v>
      </c>
      <c r="D86" s="1"/>
    </row>
    <row r="87" spans="1:4">
      <c r="A87" s="5">
        <v>84</v>
      </c>
      <c r="B87" s="28" t="s">
        <v>136</v>
      </c>
      <c r="C87" s="5" t="str">
        <f>IF(A87&lt;=Setup!$B$5,"Yes","")</f>
        <v>Yes</v>
      </c>
      <c r="D87" s="1"/>
    </row>
    <row r="88" spans="1:4">
      <c r="A88" s="5">
        <v>85</v>
      </c>
      <c r="B88" s="28" t="s">
        <v>137</v>
      </c>
      <c r="C88" s="5" t="str">
        <f>IF(A88&lt;=Setup!$B$5,"Yes","")</f>
        <v>Yes</v>
      </c>
      <c r="D88" s="1"/>
    </row>
    <row r="89" spans="1:4">
      <c r="A89" s="5">
        <v>86</v>
      </c>
      <c r="B89" s="28" t="s">
        <v>138</v>
      </c>
      <c r="C89" s="5" t="str">
        <f>IF(A89&lt;=Setup!$B$5,"Yes","")</f>
        <v>Yes</v>
      </c>
      <c r="D89" s="1"/>
    </row>
    <row r="90" spans="1:4">
      <c r="A90" s="5">
        <v>87</v>
      </c>
      <c r="B90" s="28" t="s">
        <v>139</v>
      </c>
      <c r="C90" s="5" t="str">
        <f>IF(A90&lt;=Setup!$B$5,"Yes","")</f>
        <v>Yes</v>
      </c>
      <c r="D90" s="1"/>
    </row>
    <row r="91" spans="1:4">
      <c r="A91" s="5">
        <v>88</v>
      </c>
      <c r="B91" s="28" t="s">
        <v>140</v>
      </c>
      <c r="C91" s="5" t="str">
        <f>IF(A91&lt;=Setup!$B$5,"Yes","")</f>
        <v>Yes</v>
      </c>
      <c r="D91" s="1"/>
    </row>
    <row r="92" spans="1:4">
      <c r="A92" s="5">
        <v>89</v>
      </c>
      <c r="B92" s="28" t="s">
        <v>141</v>
      </c>
      <c r="C92" s="5" t="str">
        <f>IF(A92&lt;=Setup!$B$5,"Yes","")</f>
        <v>Yes</v>
      </c>
      <c r="D92" s="1"/>
    </row>
    <row r="93" spans="1:4">
      <c r="A93" s="5">
        <v>90</v>
      </c>
      <c r="B93" s="28" t="s">
        <v>142</v>
      </c>
      <c r="C93" s="5" t="str">
        <f>IF(A93&lt;=Setup!$B$5,"Yes","")</f>
        <v>Yes</v>
      </c>
      <c r="D93" s="1"/>
    </row>
    <row r="94" spans="1:4">
      <c r="A94" s="5">
        <v>91</v>
      </c>
      <c r="B94" s="28" t="s">
        <v>143</v>
      </c>
      <c r="C94" s="5" t="str">
        <f>IF(A94&lt;=Setup!$B$5,"Yes","")</f>
        <v>Yes</v>
      </c>
      <c r="D94" s="1"/>
    </row>
    <row r="95" spans="1:4">
      <c r="A95" s="5">
        <v>92</v>
      </c>
      <c r="B95" s="28" t="s">
        <v>144</v>
      </c>
      <c r="C95" s="5" t="str">
        <f>IF(A95&lt;=Setup!$B$5,"Yes","")</f>
        <v>Yes</v>
      </c>
      <c r="D95" s="1"/>
    </row>
    <row r="96" spans="1:4">
      <c r="A96" s="5">
        <v>93</v>
      </c>
      <c r="B96" s="28" t="s">
        <v>145</v>
      </c>
      <c r="C96" s="5" t="str">
        <f>IF(A96&lt;=Setup!$B$5,"Yes","")</f>
        <v>Yes</v>
      </c>
      <c r="D96" s="1"/>
    </row>
    <row r="97" spans="1:4">
      <c r="A97" s="5">
        <v>94</v>
      </c>
      <c r="B97" s="28" t="s">
        <v>146</v>
      </c>
      <c r="C97" s="5" t="str">
        <f>IF(A97&lt;=Setup!$B$5,"Yes","")</f>
        <v>Yes</v>
      </c>
      <c r="D97" s="1"/>
    </row>
    <row r="98" spans="1:4">
      <c r="A98" s="5">
        <v>95</v>
      </c>
      <c r="B98" s="28" t="s">
        <v>147</v>
      </c>
      <c r="C98" s="5" t="str">
        <f>IF(A98&lt;=Setup!$B$5,"Yes","")</f>
        <v>Yes</v>
      </c>
      <c r="D98" s="1"/>
    </row>
    <row r="99" spans="1:4">
      <c r="A99" s="5">
        <v>96</v>
      </c>
      <c r="B99" s="28" t="s">
        <v>148</v>
      </c>
      <c r="C99" s="5" t="str">
        <f>IF(A99&lt;=Setup!$B$5,"Yes","")</f>
        <v>Yes</v>
      </c>
      <c r="D99" s="1"/>
    </row>
    <row r="100" spans="1:4">
      <c r="A100" s="5">
        <v>97</v>
      </c>
      <c r="B100" s="28" t="s">
        <v>149</v>
      </c>
      <c r="C100" s="5" t="str">
        <f>IF(A100&lt;=Setup!$B$5,"Yes","")</f>
        <v>Yes</v>
      </c>
      <c r="D100" s="1"/>
    </row>
    <row r="101" spans="1:4">
      <c r="A101" s="5">
        <v>98</v>
      </c>
      <c r="B101" s="28" t="s">
        <v>150</v>
      </c>
      <c r="C101" s="5" t="str">
        <f>IF(A101&lt;=Setup!$B$5,"Yes","")</f>
        <v>Yes</v>
      </c>
      <c r="D101" s="1"/>
    </row>
    <row r="102" spans="1:4">
      <c r="A102" s="5">
        <v>99</v>
      </c>
      <c r="B102" s="28" t="s">
        <v>151</v>
      </c>
      <c r="C102" s="5" t="str">
        <f>IF(A102&lt;=Setup!$B$5,"Yes","")</f>
        <v>Yes</v>
      </c>
      <c r="D102" s="1"/>
    </row>
    <row r="103" spans="1:4">
      <c r="A103" s="5">
        <v>100</v>
      </c>
      <c r="B103" s="28" t="s">
        <v>152</v>
      </c>
      <c r="C103" s="5" t="str">
        <f>IF(A103&lt;=Setup!$B$5,"Yes","")</f>
        <v>Yes</v>
      </c>
      <c r="D103" s="1"/>
    </row>
    <row r="104" spans="1:4">
      <c r="A104" s="5">
        <v>101</v>
      </c>
      <c r="B104" s="28" t="s">
        <v>153</v>
      </c>
      <c r="C104" s="5" t="str">
        <f>IF(A104&lt;=Setup!$B$5,"Yes","")</f>
        <v>Yes</v>
      </c>
      <c r="D104" s="1"/>
    </row>
    <row r="105" spans="1:4">
      <c r="A105" s="5">
        <v>102</v>
      </c>
      <c r="B105" s="28" t="s">
        <v>154</v>
      </c>
      <c r="C105" s="5" t="str">
        <f>IF(A105&lt;=Setup!$B$5,"Yes","")</f>
        <v>Yes</v>
      </c>
      <c r="D105" s="1"/>
    </row>
    <row r="106" spans="1:4">
      <c r="A106" s="5">
        <v>103</v>
      </c>
      <c r="B106" s="28" t="s">
        <v>155</v>
      </c>
      <c r="C106" s="5" t="str">
        <f>IF(A106&lt;=Setup!$B$5,"Yes","")</f>
        <v>Yes</v>
      </c>
      <c r="D106" s="1"/>
    </row>
    <row r="107" spans="1:4">
      <c r="A107" s="5">
        <v>104</v>
      </c>
      <c r="B107" s="28" t="s">
        <v>156</v>
      </c>
      <c r="C107" s="5" t="str">
        <f>IF(A107&lt;=Setup!$B$5,"Yes","")</f>
        <v>Yes</v>
      </c>
      <c r="D107" s="1"/>
    </row>
    <row r="108" spans="1:4">
      <c r="A108" s="5">
        <v>105</v>
      </c>
      <c r="B108" s="28" t="s">
        <v>157</v>
      </c>
      <c r="C108" s="5" t="str">
        <f>IF(A108&lt;=Setup!$B$5,"Yes","")</f>
        <v>Yes</v>
      </c>
      <c r="D108" s="1"/>
    </row>
    <row r="109" spans="1:4">
      <c r="A109" s="5">
        <v>106</v>
      </c>
      <c r="B109" s="28" t="s">
        <v>158</v>
      </c>
      <c r="C109" s="5" t="str">
        <f>IF(A109&lt;=Setup!$B$5,"Yes","")</f>
        <v>Yes</v>
      </c>
      <c r="D109" s="1"/>
    </row>
    <row r="110" spans="1:4">
      <c r="A110" s="5">
        <v>107</v>
      </c>
      <c r="B110" s="28" t="s">
        <v>159</v>
      </c>
      <c r="C110" s="5" t="str">
        <f>IF(A110&lt;=Setup!$B$5,"Yes","")</f>
        <v>Yes</v>
      </c>
      <c r="D110" s="1"/>
    </row>
    <row r="111" spans="1:4">
      <c r="A111" s="5">
        <v>108</v>
      </c>
      <c r="B111" s="28" t="s">
        <v>160</v>
      </c>
      <c r="C111" s="5" t="str">
        <f>IF(A111&lt;=Setup!$B$5,"Yes","")</f>
        <v>Yes</v>
      </c>
      <c r="D111" s="1"/>
    </row>
    <row r="112" spans="1:4">
      <c r="A112" s="5">
        <v>109</v>
      </c>
      <c r="B112" s="28" t="s">
        <v>161</v>
      </c>
      <c r="C112" s="5" t="str">
        <f>IF(A112&lt;=Setup!$B$5,"Yes","")</f>
        <v>Yes</v>
      </c>
      <c r="D112" s="1"/>
    </row>
    <row r="113" spans="1:4">
      <c r="A113" s="5">
        <v>110</v>
      </c>
      <c r="B113" s="28" t="s">
        <v>162</v>
      </c>
      <c r="C113" s="5" t="str">
        <f>IF(A113&lt;=Setup!$B$5,"Yes","")</f>
        <v>Yes</v>
      </c>
      <c r="D113" s="1"/>
    </row>
    <row r="114" spans="1:4">
      <c r="A114" s="5">
        <v>111</v>
      </c>
      <c r="B114" s="28" t="s">
        <v>163</v>
      </c>
      <c r="C114" s="5" t="str">
        <f>IF(A114&lt;=Setup!$B$5,"Yes","")</f>
        <v>Yes</v>
      </c>
      <c r="D114" s="1"/>
    </row>
    <row r="115" spans="1:4">
      <c r="A115" s="5">
        <v>112</v>
      </c>
      <c r="B115" s="28" t="s">
        <v>164</v>
      </c>
      <c r="C115" s="5" t="str">
        <f>IF(A115&lt;=Setup!$B$5,"Yes","")</f>
        <v>Yes</v>
      </c>
      <c r="D115" s="1"/>
    </row>
    <row r="116" spans="1:4">
      <c r="A116" s="5">
        <v>113</v>
      </c>
      <c r="B116" s="28" t="s">
        <v>165</v>
      </c>
      <c r="C116" s="5" t="str">
        <f>IF(A116&lt;=Setup!$B$5,"Yes","")</f>
        <v>Yes</v>
      </c>
      <c r="D116" s="1"/>
    </row>
    <row r="117" spans="1:4">
      <c r="A117" s="5">
        <v>114</v>
      </c>
      <c r="B117" s="28" t="s">
        <v>166</v>
      </c>
      <c r="C117" s="5" t="str">
        <f>IF(A117&lt;=Setup!$B$5,"Yes","")</f>
        <v>Yes</v>
      </c>
      <c r="D117" s="1"/>
    </row>
    <row r="118" spans="1:4">
      <c r="A118" s="5">
        <v>115</v>
      </c>
      <c r="B118" s="28" t="s">
        <v>167</v>
      </c>
      <c r="C118" s="5" t="str">
        <f>IF(A118&lt;=Setup!$B$5,"Yes","")</f>
        <v>Yes</v>
      </c>
      <c r="D118" s="1"/>
    </row>
    <row r="119" spans="1:4">
      <c r="A119" s="5">
        <v>116</v>
      </c>
      <c r="B119" s="28" t="s">
        <v>168</v>
      </c>
      <c r="C119" s="5" t="str">
        <f>IF(A119&lt;=Setup!$B$5,"Yes","")</f>
        <v>Yes</v>
      </c>
      <c r="D119" s="1"/>
    </row>
    <row r="120" spans="1:4">
      <c r="A120" s="5">
        <v>117</v>
      </c>
      <c r="B120" s="28" t="s">
        <v>169</v>
      </c>
      <c r="C120" s="5" t="str">
        <f>IF(A120&lt;=Setup!$B$5,"Yes","")</f>
        <v>Yes</v>
      </c>
      <c r="D120" s="1"/>
    </row>
    <row r="121" spans="1:4">
      <c r="A121" s="5">
        <v>118</v>
      </c>
      <c r="B121" s="28" t="s">
        <v>170</v>
      </c>
      <c r="C121" s="5" t="str">
        <f>IF(A121&lt;=Setup!$B$5,"Yes","")</f>
        <v>Yes</v>
      </c>
      <c r="D121" s="1"/>
    </row>
    <row r="122" spans="1:4">
      <c r="A122" s="5">
        <v>119</v>
      </c>
      <c r="B122" s="28" t="s">
        <v>171</v>
      </c>
      <c r="C122" s="5" t="str">
        <f>IF(A122&lt;=Setup!$B$5,"Yes","")</f>
        <v>Yes</v>
      </c>
      <c r="D122" s="1"/>
    </row>
    <row r="123" spans="1:4">
      <c r="A123" s="5">
        <v>120</v>
      </c>
      <c r="B123" s="28" t="s">
        <v>172</v>
      </c>
      <c r="C123" s="5" t="str">
        <f>IF(A123&lt;=Setup!$B$5,"Yes","")</f>
        <v>Yes</v>
      </c>
      <c r="D123" s="1"/>
    </row>
    <row r="124" spans="1:4">
      <c r="A124" s="5">
        <v>121</v>
      </c>
      <c r="B124" s="28" t="s">
        <v>173</v>
      </c>
      <c r="C124" s="5" t="str">
        <f>IF(A124&lt;=Setup!$B$5,"Yes","")</f>
        <v>Yes</v>
      </c>
      <c r="D124" s="1"/>
    </row>
    <row r="125" spans="1:4">
      <c r="A125" s="5">
        <v>122</v>
      </c>
      <c r="B125" s="28" t="s">
        <v>174</v>
      </c>
      <c r="C125" s="5" t="str">
        <f>IF(A125&lt;=Setup!$B$5,"Yes","")</f>
        <v>Yes</v>
      </c>
      <c r="D125" s="1"/>
    </row>
    <row r="126" spans="1:4">
      <c r="A126" s="5">
        <v>123</v>
      </c>
      <c r="B126" s="28" t="s">
        <v>175</v>
      </c>
      <c r="C126" s="5" t="str">
        <f>IF(A126&lt;=Setup!$B$5,"Yes","")</f>
        <v>Yes</v>
      </c>
      <c r="D126" s="1"/>
    </row>
    <row r="127" spans="1:4">
      <c r="A127" s="5">
        <v>124</v>
      </c>
      <c r="B127" s="28" t="s">
        <v>176</v>
      </c>
      <c r="C127" s="5" t="str">
        <f>IF(A127&lt;=Setup!$B$5,"Yes","")</f>
        <v>Yes</v>
      </c>
      <c r="D127" s="1"/>
    </row>
    <row r="128" spans="1:4">
      <c r="A128" s="5">
        <v>125</v>
      </c>
      <c r="B128" s="28" t="s">
        <v>177</v>
      </c>
      <c r="C128" s="5" t="str">
        <f>IF(A128&lt;=Setup!$B$5,"Yes","")</f>
        <v>Yes</v>
      </c>
      <c r="D128" s="1"/>
    </row>
    <row r="129" spans="1:4">
      <c r="A129" s="5">
        <v>126</v>
      </c>
      <c r="B129" s="28" t="s">
        <v>178</v>
      </c>
      <c r="C129" s="5" t="str">
        <f>IF(A129&lt;=Setup!$B$5,"Yes","")</f>
        <v>Yes</v>
      </c>
      <c r="D129" s="1"/>
    </row>
    <row r="130" spans="1:4">
      <c r="A130" s="5">
        <v>127</v>
      </c>
      <c r="B130" s="28" t="s">
        <v>179</v>
      </c>
      <c r="C130" s="5" t="str">
        <f>IF(A130&lt;=Setup!$B$5,"Yes","")</f>
        <v>Yes</v>
      </c>
      <c r="D130" s="1"/>
    </row>
    <row r="131" spans="1:4" ht="15" thickBot="1">
      <c r="A131" s="5">
        <v>128</v>
      </c>
      <c r="B131" s="29" t="s">
        <v>180</v>
      </c>
      <c r="C131" s="5" t="str">
        <f>IF(A131&lt;=Setup!$B$5,"Yes","")</f>
        <v>Yes</v>
      </c>
      <c r="D131" s="1"/>
    </row>
    <row r="132" spans="1:4" ht="15" thickTop="1"/>
  </sheetData>
  <mergeCells count="2">
    <mergeCell ref="A1:D1"/>
    <mergeCell ref="D4:D5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69"/>
  <sheetViews>
    <sheetView tabSelected="1" workbookViewId="0">
      <selection activeCell="H20" sqref="H20"/>
    </sheetView>
  </sheetViews>
  <sheetFormatPr defaultRowHeight="14.25"/>
  <cols>
    <col min="1" max="1" width="18" customWidth="1"/>
    <col min="2" max="2" width="16" customWidth="1"/>
    <col min="3" max="3" width="10" customWidth="1"/>
    <col min="4" max="4" width="19.5" customWidth="1"/>
    <col min="5" max="5" width="10" customWidth="1"/>
    <col min="6" max="6" width="17.875" customWidth="1"/>
    <col min="7" max="7" width="19.375" customWidth="1"/>
    <col min="9" max="9" width="18" customWidth="1"/>
    <col min="10" max="10" width="24" customWidth="1"/>
    <col min="11" max="11" width="10" customWidth="1"/>
    <col min="12" max="12" width="24" customWidth="1"/>
    <col min="13" max="13" width="10" customWidth="1"/>
    <col min="14" max="14" width="22" customWidth="1"/>
    <col min="15" max="15" width="24" customWidth="1"/>
    <col min="17" max="17" width="18" customWidth="1"/>
    <col min="18" max="18" width="24" customWidth="1"/>
    <col min="19" max="19" width="10" customWidth="1"/>
    <col min="20" max="20" width="24" customWidth="1"/>
    <col min="21" max="21" width="10" customWidth="1"/>
    <col min="22" max="22" width="22" customWidth="1"/>
    <col min="23" max="23" width="24" customWidth="1"/>
    <col min="25" max="25" width="18" customWidth="1"/>
    <col min="26" max="26" width="24" customWidth="1"/>
    <col min="27" max="27" width="10" customWidth="1"/>
    <col min="28" max="28" width="24" customWidth="1"/>
    <col min="29" max="29" width="10" customWidth="1"/>
    <col min="30" max="30" width="22" customWidth="1"/>
    <col min="31" max="31" width="24" customWidth="1"/>
    <col min="33" max="33" width="18" customWidth="1"/>
    <col min="34" max="34" width="24" customWidth="1"/>
    <col min="35" max="35" width="10" customWidth="1"/>
    <col min="36" max="36" width="24" customWidth="1"/>
    <col min="37" max="37" width="10" customWidth="1"/>
    <col min="38" max="38" width="22" customWidth="1"/>
    <col min="39" max="39" width="24" customWidth="1"/>
    <col min="41" max="41" width="18" customWidth="1"/>
    <col min="42" max="42" width="24" customWidth="1"/>
    <col min="43" max="43" width="10" customWidth="1"/>
    <col min="44" max="44" width="24" customWidth="1"/>
    <col min="45" max="45" width="10" customWidth="1"/>
    <col min="46" max="46" width="22" customWidth="1"/>
    <col min="47" max="47" width="24" customWidth="1"/>
    <col min="49" max="49" width="18" customWidth="1"/>
    <col min="50" max="50" width="24" customWidth="1"/>
    <col min="51" max="51" width="10" customWidth="1"/>
    <col min="52" max="52" width="24" customWidth="1"/>
    <col min="53" max="53" width="10" customWidth="1"/>
    <col min="54" max="54" width="22" customWidth="1"/>
    <col min="55" max="55" width="24" customWidth="1"/>
  </cols>
  <sheetData>
    <row r="1" spans="1:55" ht="24" customHeight="1">
      <c r="A1" s="18" t="str">
        <f>"Knockout Draw — "&amp;Setup!$B$4&amp;" ("&amp;Setup!$B$5&amp;" teams)"</f>
        <v>Knockout Draw — Knockout Tournament (128 teams)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</row>
    <row r="2" spans="1:55">
      <c r="A2" s="23" t="s">
        <v>181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</row>
    <row r="3" spans="1:55" ht="15">
      <c r="A3" s="20" t="s">
        <v>182</v>
      </c>
      <c r="B3" s="19"/>
      <c r="C3" s="19"/>
      <c r="D3" s="19"/>
      <c r="E3" s="19"/>
      <c r="F3" s="19"/>
      <c r="G3" s="19"/>
      <c r="H3" s="1"/>
      <c r="I3" s="20" t="s">
        <v>183</v>
      </c>
      <c r="J3" s="19"/>
      <c r="K3" s="19"/>
      <c r="L3" s="19"/>
      <c r="M3" s="19"/>
      <c r="N3" s="19"/>
      <c r="O3" s="19"/>
      <c r="P3" s="1"/>
      <c r="Q3" s="20" t="s">
        <v>184</v>
      </c>
      <c r="R3" s="19"/>
      <c r="S3" s="19"/>
      <c r="T3" s="19"/>
      <c r="U3" s="19"/>
      <c r="V3" s="19"/>
      <c r="W3" s="19"/>
      <c r="X3" s="1"/>
      <c r="Y3" s="20" t="s">
        <v>185</v>
      </c>
      <c r="Z3" s="19"/>
      <c r="AA3" s="19"/>
      <c r="AB3" s="19"/>
      <c r="AC3" s="19"/>
      <c r="AD3" s="19"/>
      <c r="AE3" s="19"/>
      <c r="AF3" s="1"/>
      <c r="AG3" s="20" t="s">
        <v>186</v>
      </c>
      <c r="AH3" s="19"/>
      <c r="AI3" s="19"/>
      <c r="AJ3" s="19"/>
      <c r="AK3" s="19"/>
      <c r="AL3" s="19"/>
      <c r="AM3" s="19"/>
      <c r="AN3" s="1"/>
      <c r="AO3" s="20" t="s">
        <v>187</v>
      </c>
      <c r="AP3" s="19"/>
      <c r="AQ3" s="19"/>
      <c r="AR3" s="19"/>
      <c r="AS3" s="19"/>
      <c r="AT3" s="19"/>
      <c r="AU3" s="19"/>
      <c r="AV3" s="1"/>
      <c r="AW3" s="20" t="s">
        <v>188</v>
      </c>
      <c r="AX3" s="19"/>
      <c r="AY3" s="19"/>
      <c r="AZ3" s="19"/>
      <c r="BA3" s="19"/>
      <c r="BB3" s="19"/>
      <c r="BC3" s="19"/>
    </row>
    <row r="4" spans="1:55" ht="15">
      <c r="A4" s="3" t="s">
        <v>189</v>
      </c>
      <c r="B4" s="3" t="s">
        <v>53</v>
      </c>
      <c r="C4" s="3" t="s">
        <v>190</v>
      </c>
      <c r="D4" s="3" t="s">
        <v>54</v>
      </c>
      <c r="E4" s="3" t="s">
        <v>191</v>
      </c>
      <c r="F4" s="3" t="s">
        <v>192</v>
      </c>
      <c r="G4" s="3" t="s">
        <v>193</v>
      </c>
      <c r="H4" s="1"/>
      <c r="I4" s="3" t="s">
        <v>189</v>
      </c>
      <c r="J4" s="3" t="s">
        <v>53</v>
      </c>
      <c r="K4" s="3" t="s">
        <v>190</v>
      </c>
      <c r="L4" s="3" t="s">
        <v>54</v>
      </c>
      <c r="M4" s="3" t="s">
        <v>191</v>
      </c>
      <c r="N4" s="3" t="s">
        <v>192</v>
      </c>
      <c r="O4" s="3" t="s">
        <v>193</v>
      </c>
      <c r="P4" s="1"/>
      <c r="Q4" s="3" t="s">
        <v>189</v>
      </c>
      <c r="R4" s="3" t="s">
        <v>53</v>
      </c>
      <c r="S4" s="3" t="s">
        <v>190</v>
      </c>
      <c r="T4" s="3" t="s">
        <v>54</v>
      </c>
      <c r="U4" s="3" t="s">
        <v>191</v>
      </c>
      <c r="V4" s="3" t="s">
        <v>192</v>
      </c>
      <c r="W4" s="3" t="s">
        <v>193</v>
      </c>
      <c r="X4" s="1"/>
      <c r="Y4" s="3" t="s">
        <v>189</v>
      </c>
      <c r="Z4" s="3" t="s">
        <v>53</v>
      </c>
      <c r="AA4" s="3" t="s">
        <v>190</v>
      </c>
      <c r="AB4" s="3" t="s">
        <v>54</v>
      </c>
      <c r="AC4" s="3" t="s">
        <v>191</v>
      </c>
      <c r="AD4" s="3" t="s">
        <v>192</v>
      </c>
      <c r="AE4" s="3" t="s">
        <v>193</v>
      </c>
      <c r="AF4" s="1"/>
      <c r="AG4" s="3" t="s">
        <v>189</v>
      </c>
      <c r="AH4" s="3" t="s">
        <v>53</v>
      </c>
      <c r="AI4" s="3" t="s">
        <v>190</v>
      </c>
      <c r="AJ4" s="3" t="s">
        <v>54</v>
      </c>
      <c r="AK4" s="3" t="s">
        <v>191</v>
      </c>
      <c r="AL4" s="3" t="s">
        <v>192</v>
      </c>
      <c r="AM4" s="3" t="s">
        <v>193</v>
      </c>
      <c r="AN4" s="1"/>
      <c r="AO4" s="3" t="s">
        <v>189</v>
      </c>
      <c r="AP4" s="3" t="s">
        <v>53</v>
      </c>
      <c r="AQ4" s="3" t="s">
        <v>190</v>
      </c>
      <c r="AR4" s="3" t="s">
        <v>54</v>
      </c>
      <c r="AS4" s="3" t="s">
        <v>191</v>
      </c>
      <c r="AT4" s="3" t="s">
        <v>192</v>
      </c>
      <c r="AU4" s="3" t="s">
        <v>193</v>
      </c>
      <c r="AV4" s="1"/>
      <c r="AW4" s="3" t="s">
        <v>189</v>
      </c>
      <c r="AX4" s="3" t="s">
        <v>53</v>
      </c>
      <c r="AY4" s="3" t="s">
        <v>190</v>
      </c>
      <c r="AZ4" s="3" t="s">
        <v>54</v>
      </c>
      <c r="BA4" s="3" t="s">
        <v>191</v>
      </c>
      <c r="BB4" s="3" t="s">
        <v>192</v>
      </c>
      <c r="BC4" s="3" t="s">
        <v>193</v>
      </c>
    </row>
    <row r="5" spans="1:55">
      <c r="A5" s="1" t="str">
        <f>IF(Setup!$B$5&gt;=128,"Round of 128 1","")</f>
        <v>Round of 128 1</v>
      </c>
      <c r="B5" s="1" t="str">
        <f>IF(Setup!$B$5=128,Teams!$B$4,"")</f>
        <v>Team 1</v>
      </c>
      <c r="C5" s="11"/>
      <c r="D5" s="1" t="str">
        <f>IF(Setup!$B$5=128,Teams!$B$131,"")</f>
        <v>Team 128</v>
      </c>
      <c r="E5" s="11"/>
      <c r="F5" s="12"/>
      <c r="G5" s="13" t="str">
        <f t="shared" ref="G5:G36" si="0">IF(F5&lt;&gt;"",F5,IF(OR(B5="",D5="",NOT(ISNUMBER(C5)),NOT(ISNUMBER(E5)),C5=E5),"",IF(C5&gt;E5,B5,D5)))</f>
        <v/>
      </c>
      <c r="H5" s="1"/>
      <c r="I5" s="1" t="str">
        <f>IF(Setup!$B$5&gt;=64,"Round of 64 1","")</f>
        <v>Round of 64 1</v>
      </c>
      <c r="J5" s="1" t="str">
        <f>IF(Setup!$B$5=64,Teams!$B$4,IF(Setup!$B$5&gt;64,G5,""))</f>
        <v/>
      </c>
      <c r="K5" s="7"/>
      <c r="L5" s="1" t="str">
        <f>IF(Setup!$B$5=64,Teams!$B$67,IF(Setup!$B$5&gt;64,G6,""))</f>
        <v/>
      </c>
      <c r="M5" s="7"/>
      <c r="N5" s="4"/>
      <c r="O5" s="6" t="str">
        <f t="shared" ref="O5:O36" si="1">IF(N5&lt;&gt;"",N5,IF(OR(J5="",L5="",NOT(ISNUMBER(K5)),NOT(ISNUMBER(M5)),K5=M5),"",IF(K5&gt;M5,J5,L5)))</f>
        <v/>
      </c>
      <c r="P5" s="1"/>
      <c r="Q5" s="1" t="str">
        <f>IF(Setup!$B$5&gt;=32,"Round of 32 1","")</f>
        <v>Round of 32 1</v>
      </c>
      <c r="R5" s="1" t="str">
        <f>IF(Setup!$B$5=32,Teams!$B$4,IF(Setup!$B$5&gt;32,O5,""))</f>
        <v/>
      </c>
      <c r="S5" s="7"/>
      <c r="T5" s="1" t="str">
        <f>IF(Setup!$B$5=32,Teams!$B$35,IF(Setup!$B$5&gt;32,O6,""))</f>
        <v/>
      </c>
      <c r="U5" s="7"/>
      <c r="V5" s="4"/>
      <c r="W5" s="6" t="str">
        <f t="shared" ref="W5:W20" si="2">IF(V5&lt;&gt;"",V5,IF(OR(R5="",T5="",NOT(ISNUMBER(S5)),NOT(ISNUMBER(U5)),S5=U5),"",IF(S5&gt;U5,R5,T5)))</f>
        <v/>
      </c>
      <c r="X5" s="1"/>
      <c r="Y5" s="1" t="str">
        <f>IF(Setup!$B$5&gt;=16,"Round of 16 1","")</f>
        <v>Round of 16 1</v>
      </c>
      <c r="Z5" s="1" t="str">
        <f>IF(Setup!$B$5=16,Teams!$B$4,IF(Setup!$B$5&gt;16,W5,""))</f>
        <v/>
      </c>
      <c r="AA5" s="7"/>
      <c r="AB5" s="1" t="str">
        <f>IF(Setup!$B$5=16,Teams!$B$19,IF(Setup!$B$5&gt;16,W6,""))</f>
        <v/>
      </c>
      <c r="AC5" s="7"/>
      <c r="AD5" s="4"/>
      <c r="AE5" s="6" t="str">
        <f t="shared" ref="AE5:AE12" si="3">IF(AD5&lt;&gt;"",AD5,IF(OR(Z5="",AB5="",NOT(ISNUMBER(AA5)),NOT(ISNUMBER(AC5)),AA5=AC5),"",IF(AA5&gt;AC5,Z5,AB5)))</f>
        <v/>
      </c>
      <c r="AF5" s="1"/>
      <c r="AG5" s="1" t="str">
        <f>IF(Setup!$B$5&gt;=8,"Quarter-finals 1","")</f>
        <v>Quarter-finals 1</v>
      </c>
      <c r="AH5" s="1" t="str">
        <f>IF(Setup!$B$5=8,Teams!$B$4,IF(Setup!$B$5&gt;8,AE5,""))</f>
        <v/>
      </c>
      <c r="AI5" s="7"/>
      <c r="AJ5" s="1" t="str">
        <f>IF(Setup!$B$5=8,Teams!$B$11,IF(Setup!$B$5&gt;8,AE6,""))</f>
        <v/>
      </c>
      <c r="AK5" s="7"/>
      <c r="AL5" s="4"/>
      <c r="AM5" s="6" t="str">
        <f>IF(AL5&lt;&gt;"",AL5,IF(OR(AH5="",AJ5="",NOT(ISNUMBER(AI5)),NOT(ISNUMBER(AK5)),AI5=AK5),"",IF(AI5&gt;AK5,AH5,AJ5)))</f>
        <v/>
      </c>
      <c r="AN5" s="1"/>
      <c r="AO5" s="1" t="str">
        <f>IF(Setup!$B$5&gt;=4,"Semi-finals 1","")</f>
        <v>Semi-finals 1</v>
      </c>
      <c r="AP5" s="1" t="str">
        <f>IF(Setup!$B$5=4,Teams!$B$4,IF(Setup!$B$5&gt;4,AM5,""))</f>
        <v/>
      </c>
      <c r="AQ5" s="7"/>
      <c r="AR5" s="1" t="str">
        <f>IF(Setup!$B$5=4,Teams!$B$7,IF(Setup!$B$5&gt;4,AM6,""))</f>
        <v/>
      </c>
      <c r="AS5" s="7"/>
      <c r="AT5" s="4"/>
      <c r="AU5" s="6" t="str">
        <f>IF(AT5&lt;&gt;"",AT5,IF(OR(AP5="",AR5="",NOT(ISNUMBER(AQ5)),NOT(ISNUMBER(AS5)),AQ5=AS5),"",IF(AQ5&gt;AS5,AP5,AR5)))</f>
        <v/>
      </c>
      <c r="AV5" s="1"/>
      <c r="AW5" s="1" t="str">
        <f>IF(Setup!$B$5&gt;=2,"Final 1","")</f>
        <v>Final 1</v>
      </c>
      <c r="AX5" s="1" t="str">
        <f>IF(Setup!$B$5=2,Teams!$B$4,IF(Setup!$B$5&gt;2,AU5,""))</f>
        <v/>
      </c>
      <c r="AY5" s="7"/>
      <c r="AZ5" s="1" t="str">
        <f>IF(Setup!$B$5=2,Teams!$B$5,IF(Setup!$B$5&gt;2,AU6,""))</f>
        <v/>
      </c>
      <c r="BA5" s="7"/>
      <c r="BB5" s="4"/>
      <c r="BC5" s="6" t="str">
        <f>IF(BB5&lt;&gt;"",BB5,IF(OR(AX5="",AZ5="",NOT(ISNUMBER(AY5)),NOT(ISNUMBER(BA5)),AY5=BA5),"",IF(AY5&gt;BA5,AX5,AZ5)))</f>
        <v/>
      </c>
    </row>
    <row r="6" spans="1:55">
      <c r="A6" s="1" t="str">
        <f>IF(Setup!$B$5&gt;=128,"Round of 128 2","")</f>
        <v>Round of 128 2</v>
      </c>
      <c r="B6" s="1" t="str">
        <f>IF(Setup!$B$5=128,Teams!$B$67,"")</f>
        <v>Team 64</v>
      </c>
      <c r="C6" s="11"/>
      <c r="D6" s="1" t="str">
        <f>IF(Setup!$B$5=128,Teams!$B$68,"")</f>
        <v>Team 65</v>
      </c>
      <c r="E6" s="11"/>
      <c r="F6" s="12"/>
      <c r="G6" s="13" t="str">
        <f t="shared" si="0"/>
        <v/>
      </c>
      <c r="H6" s="1"/>
      <c r="I6" s="1" t="str">
        <f>IF(Setup!$B$5&gt;=64,"Round of 64 2","")</f>
        <v>Round of 64 2</v>
      </c>
      <c r="J6" s="1" t="str">
        <f>IF(Setup!$B$5=64,Teams!$B$35,IF(Setup!$B$5&gt;64,G7,""))</f>
        <v/>
      </c>
      <c r="K6" s="7"/>
      <c r="L6" s="1" t="str">
        <f>IF(Setup!$B$5=64,Teams!$B$36,IF(Setup!$B$5&gt;64,G8,""))</f>
        <v/>
      </c>
      <c r="M6" s="7"/>
      <c r="N6" s="4"/>
      <c r="O6" s="6" t="str">
        <f t="shared" si="1"/>
        <v/>
      </c>
      <c r="P6" s="1"/>
      <c r="Q6" s="1" t="str">
        <f>IF(Setup!$B$5&gt;=32,"Round of 32 2","")</f>
        <v>Round of 32 2</v>
      </c>
      <c r="R6" s="1" t="str">
        <f>IF(Setup!$B$5=32,Teams!$B$19,IF(Setup!$B$5&gt;32,O7,""))</f>
        <v/>
      </c>
      <c r="S6" s="7"/>
      <c r="T6" s="1" t="str">
        <f>IF(Setup!$B$5=32,Teams!$B$20,IF(Setup!$B$5&gt;32,O8,""))</f>
        <v/>
      </c>
      <c r="U6" s="7"/>
      <c r="V6" s="4"/>
      <c r="W6" s="6" t="str">
        <f t="shared" si="2"/>
        <v/>
      </c>
      <c r="X6" s="1"/>
      <c r="Y6" s="1" t="str">
        <f>IF(Setup!$B$5&gt;=16,"Round of 16 2","")</f>
        <v>Round of 16 2</v>
      </c>
      <c r="Z6" s="1" t="str">
        <f>IF(Setup!$B$5=16,Teams!$B$11,IF(Setup!$B$5&gt;16,W7,""))</f>
        <v/>
      </c>
      <c r="AA6" s="7"/>
      <c r="AB6" s="1" t="str">
        <f>IF(Setup!$B$5=16,Teams!$B$12,IF(Setup!$B$5&gt;16,W8,""))</f>
        <v/>
      </c>
      <c r="AC6" s="7"/>
      <c r="AD6" s="4"/>
      <c r="AE6" s="6" t="str">
        <f t="shared" si="3"/>
        <v/>
      </c>
      <c r="AF6" s="1"/>
      <c r="AG6" s="1" t="str">
        <f>IF(Setup!$B$5&gt;=8,"Quarter-finals 2","")</f>
        <v>Quarter-finals 2</v>
      </c>
      <c r="AH6" s="1" t="str">
        <f>IF(Setup!$B$5=8,Teams!$B$7,IF(Setup!$B$5&gt;8,AE7,""))</f>
        <v/>
      </c>
      <c r="AI6" s="7"/>
      <c r="AJ6" s="1" t="str">
        <f>IF(Setup!$B$5=8,Teams!$B$8,IF(Setup!$B$5&gt;8,AE8,""))</f>
        <v/>
      </c>
      <c r="AK6" s="7"/>
      <c r="AL6" s="4"/>
      <c r="AM6" s="6" t="str">
        <f>IF(AL6&lt;&gt;"",AL6,IF(OR(AH6="",AJ6="",NOT(ISNUMBER(AI6)),NOT(ISNUMBER(AK6)),AI6=AK6),"",IF(AI6&gt;AK6,AH6,AJ6)))</f>
        <v/>
      </c>
      <c r="AN6" s="1"/>
      <c r="AO6" s="1" t="str">
        <f>IF(Setup!$B$5&gt;=4,"Semi-finals 2","")</f>
        <v>Semi-finals 2</v>
      </c>
      <c r="AP6" s="1" t="str">
        <f>IF(Setup!$B$5=4,Teams!$B$5,IF(Setup!$B$5&gt;4,AM7,""))</f>
        <v/>
      </c>
      <c r="AQ6" s="7"/>
      <c r="AR6" s="1" t="str">
        <f>IF(Setup!$B$5=4,Teams!$B$6,IF(Setup!$B$5&gt;4,AM8,""))</f>
        <v/>
      </c>
      <c r="AS6" s="7"/>
      <c r="AT6" s="4"/>
      <c r="AU6" s="6" t="str">
        <f>IF(AT6&lt;&gt;"",AT6,IF(OR(AP6="",AR6="",NOT(ISNUMBER(AQ6)),NOT(ISNUMBER(AS6)),AQ6=AS6),"",IF(AQ6&gt;AS6,AP6,AR6)))</f>
        <v/>
      </c>
      <c r="AV6" s="1"/>
      <c r="AW6" s="1"/>
      <c r="AX6" s="1"/>
      <c r="AY6" s="8"/>
      <c r="AZ6" s="1"/>
      <c r="BA6" s="8"/>
      <c r="BB6" s="1"/>
      <c r="BC6" s="1"/>
    </row>
    <row r="7" spans="1:55">
      <c r="A7" s="1" t="str">
        <f>IF(Setup!$B$5&gt;=128,"Round of 128 3","")</f>
        <v>Round of 128 3</v>
      </c>
      <c r="B7" s="1" t="str">
        <f>IF(Setup!$B$5=128,Teams!$B$35,"")</f>
        <v>Team 32</v>
      </c>
      <c r="C7" s="11"/>
      <c r="D7" s="1" t="str">
        <f>IF(Setup!$B$5=128,Teams!$B$100,"")</f>
        <v>Team 97</v>
      </c>
      <c r="E7" s="11"/>
      <c r="F7" s="12"/>
      <c r="G7" s="13" t="str">
        <f t="shared" si="0"/>
        <v/>
      </c>
      <c r="H7" s="1"/>
      <c r="I7" s="1" t="str">
        <f>IF(Setup!$B$5&gt;=64,"Round of 64 3","")</f>
        <v>Round of 64 3</v>
      </c>
      <c r="J7" s="1" t="str">
        <f>IF(Setup!$B$5=64,Teams!$B$19,IF(Setup!$B$5&gt;64,G9,""))</f>
        <v/>
      </c>
      <c r="K7" s="7"/>
      <c r="L7" s="1" t="str">
        <f>IF(Setup!$B$5=64,Teams!$B$52,IF(Setup!$B$5&gt;64,G10,""))</f>
        <v/>
      </c>
      <c r="M7" s="7"/>
      <c r="N7" s="4"/>
      <c r="O7" s="6" t="str">
        <f t="shared" si="1"/>
        <v/>
      </c>
      <c r="P7" s="1"/>
      <c r="Q7" s="1" t="str">
        <f>IF(Setup!$B$5&gt;=32,"Round of 32 3","")</f>
        <v>Round of 32 3</v>
      </c>
      <c r="R7" s="1" t="str">
        <f>IF(Setup!$B$5=32,Teams!$B$11,IF(Setup!$B$5&gt;32,O9,""))</f>
        <v/>
      </c>
      <c r="S7" s="7"/>
      <c r="T7" s="1" t="str">
        <f>IF(Setup!$B$5=32,Teams!$B$28,IF(Setup!$B$5&gt;32,O10,""))</f>
        <v/>
      </c>
      <c r="U7" s="7"/>
      <c r="V7" s="4"/>
      <c r="W7" s="6" t="str">
        <f t="shared" si="2"/>
        <v/>
      </c>
      <c r="X7" s="1"/>
      <c r="Y7" s="1" t="str">
        <f>IF(Setup!$B$5&gt;=16,"Round of 16 3","")</f>
        <v>Round of 16 3</v>
      </c>
      <c r="Z7" s="1" t="str">
        <f>IF(Setup!$B$5=16,Teams!$B$7,IF(Setup!$B$5&gt;16,W9,""))</f>
        <v/>
      </c>
      <c r="AA7" s="7"/>
      <c r="AB7" s="1" t="str">
        <f>IF(Setup!$B$5=16,Teams!$B$16,IF(Setup!$B$5&gt;16,W10,""))</f>
        <v/>
      </c>
      <c r="AC7" s="7"/>
      <c r="AD7" s="4"/>
      <c r="AE7" s="6" t="str">
        <f t="shared" si="3"/>
        <v/>
      </c>
      <c r="AF7" s="1"/>
      <c r="AG7" s="1" t="str">
        <f>IF(Setup!$B$5&gt;=8,"Quarter-finals 3","")</f>
        <v>Quarter-finals 3</v>
      </c>
      <c r="AH7" s="1" t="str">
        <f>IF(Setup!$B$5=8,Teams!$B$5,IF(Setup!$B$5&gt;8,AE9,""))</f>
        <v/>
      </c>
      <c r="AI7" s="7"/>
      <c r="AJ7" s="1" t="str">
        <f>IF(Setup!$B$5=8,Teams!$B$10,IF(Setup!$B$5&gt;8,AE10,""))</f>
        <v/>
      </c>
      <c r="AK7" s="7"/>
      <c r="AL7" s="4"/>
      <c r="AM7" s="6" t="str">
        <f>IF(AL7&lt;&gt;"",AL7,IF(OR(AH7="",AJ7="",NOT(ISNUMBER(AI7)),NOT(ISNUMBER(AK7)),AI7=AK7),"",IF(AI7&gt;AK7,AH7,AJ7)))</f>
        <v/>
      </c>
      <c r="AN7" s="1"/>
      <c r="AO7" s="1"/>
      <c r="AP7" s="1"/>
      <c r="AQ7" s="8"/>
      <c r="AR7" s="1"/>
      <c r="AS7" s="8"/>
      <c r="AT7" s="1"/>
      <c r="AU7" s="1"/>
      <c r="AV7" s="1"/>
      <c r="AW7" s="1"/>
      <c r="AX7" s="1"/>
      <c r="AY7" s="8"/>
      <c r="AZ7" s="1"/>
      <c r="BA7" s="8"/>
      <c r="BB7" s="1"/>
      <c r="BC7" s="1"/>
    </row>
    <row r="8" spans="1:55">
      <c r="A8" s="1" t="str">
        <f>IF(Setup!$B$5&gt;=128,"Round of 128 4","")</f>
        <v>Round of 128 4</v>
      </c>
      <c r="B8" s="1" t="str">
        <f>IF(Setup!$B$5=128,Teams!$B$36,"")</f>
        <v>Team 33</v>
      </c>
      <c r="C8" s="11"/>
      <c r="D8" s="1" t="str">
        <f>IF(Setup!$B$5=128,Teams!$B$99,"")</f>
        <v>Team 96</v>
      </c>
      <c r="E8" s="11"/>
      <c r="F8" s="12"/>
      <c r="G8" s="13" t="str">
        <f t="shared" si="0"/>
        <v/>
      </c>
      <c r="H8" s="1"/>
      <c r="I8" s="1" t="str">
        <f>IF(Setup!$B$5&gt;=64,"Round of 64 4","")</f>
        <v>Round of 64 4</v>
      </c>
      <c r="J8" s="1" t="str">
        <f>IF(Setup!$B$5=64,Teams!$B$20,IF(Setup!$B$5&gt;64,G11,""))</f>
        <v/>
      </c>
      <c r="K8" s="7"/>
      <c r="L8" s="1" t="str">
        <f>IF(Setup!$B$5=64,Teams!$B$51,IF(Setup!$B$5&gt;64,G12,""))</f>
        <v/>
      </c>
      <c r="M8" s="7"/>
      <c r="N8" s="4"/>
      <c r="O8" s="6" t="str">
        <f t="shared" si="1"/>
        <v/>
      </c>
      <c r="P8" s="1"/>
      <c r="Q8" s="1" t="str">
        <f>IF(Setup!$B$5&gt;=32,"Round of 32 4","")</f>
        <v>Round of 32 4</v>
      </c>
      <c r="R8" s="1" t="str">
        <f>IF(Setup!$B$5=32,Teams!$B$12,IF(Setup!$B$5&gt;32,O11,""))</f>
        <v/>
      </c>
      <c r="S8" s="7"/>
      <c r="T8" s="1" t="str">
        <f>IF(Setup!$B$5=32,Teams!$B$27,IF(Setup!$B$5&gt;32,O12,""))</f>
        <v/>
      </c>
      <c r="U8" s="7"/>
      <c r="V8" s="4"/>
      <c r="W8" s="6" t="str">
        <f t="shared" si="2"/>
        <v/>
      </c>
      <c r="X8" s="1"/>
      <c r="Y8" s="1" t="str">
        <f>IF(Setup!$B$5&gt;=16,"Round of 16 4","")</f>
        <v>Round of 16 4</v>
      </c>
      <c r="Z8" s="1" t="str">
        <f>IF(Setup!$B$5=16,Teams!$B$8,IF(Setup!$B$5&gt;16,W11,""))</f>
        <v/>
      </c>
      <c r="AA8" s="7"/>
      <c r="AB8" s="1" t="str">
        <f>IF(Setup!$B$5=16,Teams!$B$15,IF(Setup!$B$5&gt;16,W12,""))</f>
        <v/>
      </c>
      <c r="AC8" s="7"/>
      <c r="AD8" s="4"/>
      <c r="AE8" s="6" t="str">
        <f t="shared" si="3"/>
        <v/>
      </c>
      <c r="AF8" s="1"/>
      <c r="AG8" s="1" t="str">
        <f>IF(Setup!$B$5&gt;=8,"Quarter-finals 4","")</f>
        <v>Quarter-finals 4</v>
      </c>
      <c r="AH8" s="1" t="str">
        <f>IF(Setup!$B$5=8,Teams!$B$6,IF(Setup!$B$5&gt;8,AE11,""))</f>
        <v/>
      </c>
      <c r="AI8" s="7"/>
      <c r="AJ8" s="1" t="str">
        <f>IF(Setup!$B$5=8,Teams!$B$9,IF(Setup!$B$5&gt;8,AE12,""))</f>
        <v/>
      </c>
      <c r="AK8" s="7"/>
      <c r="AL8" s="4"/>
      <c r="AM8" s="6" t="str">
        <f>IF(AL8&lt;&gt;"",AL8,IF(OR(AH8="",AJ8="",NOT(ISNUMBER(AI8)),NOT(ISNUMBER(AK8)),AI8=AK8),"",IF(AI8&gt;AK8,AH8,AJ8)))</f>
        <v/>
      </c>
      <c r="AN8" s="1"/>
      <c r="AO8" s="1"/>
      <c r="AP8" s="1"/>
      <c r="AQ8" s="8"/>
      <c r="AR8" s="1"/>
      <c r="AS8" s="8"/>
      <c r="AT8" s="1"/>
      <c r="AU8" s="1"/>
      <c r="AV8" s="1"/>
      <c r="AW8" s="1"/>
      <c r="AX8" s="1"/>
      <c r="AY8" s="8"/>
      <c r="AZ8" s="1"/>
      <c r="BA8" s="8"/>
      <c r="BB8" s="1"/>
      <c r="BC8" s="1"/>
    </row>
    <row r="9" spans="1:55">
      <c r="A9" s="1" t="str">
        <f>IF(Setup!$B$5&gt;=128,"Round of 128 5","")</f>
        <v>Round of 128 5</v>
      </c>
      <c r="B9" s="1" t="str">
        <f>IF(Setup!$B$5=128,Teams!$B$19,"")</f>
        <v>Team 16</v>
      </c>
      <c r="C9" s="11"/>
      <c r="D9" s="1" t="str">
        <f>IF(Setup!$B$5=128,Teams!$B$116,"")</f>
        <v>Team 113</v>
      </c>
      <c r="E9" s="11"/>
      <c r="F9" s="12"/>
      <c r="G9" s="13" t="str">
        <f t="shared" si="0"/>
        <v/>
      </c>
      <c r="H9" s="1"/>
      <c r="I9" s="1" t="str">
        <f>IF(Setup!$B$5&gt;=64,"Round of 64 5","")</f>
        <v>Round of 64 5</v>
      </c>
      <c r="J9" s="1" t="str">
        <f>IF(Setup!$B$5=64,Teams!$B$11,IF(Setup!$B$5&gt;64,G13,""))</f>
        <v/>
      </c>
      <c r="K9" s="7"/>
      <c r="L9" s="1" t="str">
        <f>IF(Setup!$B$5=64,Teams!$B$60,IF(Setup!$B$5&gt;64,G14,""))</f>
        <v/>
      </c>
      <c r="M9" s="7"/>
      <c r="N9" s="4"/>
      <c r="O9" s="6" t="str">
        <f t="shared" si="1"/>
        <v/>
      </c>
      <c r="P9" s="1"/>
      <c r="Q9" s="1" t="str">
        <f>IF(Setup!$B$5&gt;=32,"Round of 32 5","")</f>
        <v>Round of 32 5</v>
      </c>
      <c r="R9" s="1" t="str">
        <f>IF(Setup!$B$5=32,Teams!$B$7,IF(Setup!$B$5&gt;32,O13,""))</f>
        <v/>
      </c>
      <c r="S9" s="7"/>
      <c r="T9" s="1" t="str">
        <f>IF(Setup!$B$5=32,Teams!$B$32,IF(Setup!$B$5&gt;32,O14,""))</f>
        <v/>
      </c>
      <c r="U9" s="7"/>
      <c r="V9" s="4"/>
      <c r="W9" s="6" t="str">
        <f t="shared" si="2"/>
        <v/>
      </c>
      <c r="X9" s="1"/>
      <c r="Y9" s="1" t="str">
        <f>IF(Setup!$B$5&gt;=16,"Round of 16 5","")</f>
        <v>Round of 16 5</v>
      </c>
      <c r="Z9" s="1" t="str">
        <f>IF(Setup!$B$5=16,Teams!$B$5,IF(Setup!$B$5&gt;16,W13,""))</f>
        <v/>
      </c>
      <c r="AA9" s="7"/>
      <c r="AB9" s="1" t="str">
        <f>IF(Setup!$B$5=16,Teams!$B$18,IF(Setup!$B$5&gt;16,W14,""))</f>
        <v/>
      </c>
      <c r="AC9" s="7"/>
      <c r="AD9" s="4"/>
      <c r="AE9" s="6" t="str">
        <f t="shared" si="3"/>
        <v/>
      </c>
      <c r="AF9" s="1"/>
      <c r="AG9" s="1"/>
      <c r="AH9" s="1"/>
      <c r="AI9" s="8"/>
      <c r="AJ9" s="1"/>
      <c r="AK9" s="8"/>
      <c r="AL9" s="1"/>
      <c r="AM9" s="1"/>
      <c r="AN9" s="1"/>
      <c r="AO9" s="1"/>
      <c r="AP9" s="1"/>
      <c r="AQ9" s="8"/>
      <c r="AR9" s="1"/>
      <c r="AS9" s="8"/>
      <c r="AT9" s="1"/>
      <c r="AU9" s="1"/>
      <c r="AV9" s="1"/>
      <c r="AW9" s="1"/>
      <c r="AX9" s="1"/>
      <c r="AY9" s="8"/>
      <c r="AZ9" s="1"/>
      <c r="BA9" s="8"/>
      <c r="BB9" s="1"/>
      <c r="BC9" s="1"/>
    </row>
    <row r="10" spans="1:55">
      <c r="A10" s="1" t="str">
        <f>IF(Setup!$B$5&gt;=128,"Round of 128 6","")</f>
        <v>Round of 128 6</v>
      </c>
      <c r="B10" s="1" t="str">
        <f>IF(Setup!$B$5=128,Teams!$B$52,"")</f>
        <v>Team 49</v>
      </c>
      <c r="C10" s="11"/>
      <c r="D10" s="1" t="str">
        <f>IF(Setup!$B$5=128,Teams!$B$83,"")</f>
        <v>Team 80</v>
      </c>
      <c r="E10" s="11"/>
      <c r="F10" s="12"/>
      <c r="G10" s="13" t="str">
        <f t="shared" si="0"/>
        <v/>
      </c>
      <c r="H10" s="1"/>
      <c r="I10" s="1" t="str">
        <f>IF(Setup!$B$5&gt;=64,"Round of 64 6","")</f>
        <v>Round of 64 6</v>
      </c>
      <c r="J10" s="1" t="str">
        <f>IF(Setup!$B$5=64,Teams!$B$28,IF(Setup!$B$5&gt;64,G15,""))</f>
        <v/>
      </c>
      <c r="K10" s="7"/>
      <c r="L10" s="1" t="str">
        <f>IF(Setup!$B$5=64,Teams!$B$43,IF(Setup!$B$5&gt;64,G16,""))</f>
        <v/>
      </c>
      <c r="M10" s="7"/>
      <c r="N10" s="4"/>
      <c r="O10" s="6" t="str">
        <f t="shared" si="1"/>
        <v/>
      </c>
      <c r="P10" s="1"/>
      <c r="Q10" s="1" t="str">
        <f>IF(Setup!$B$5&gt;=32,"Round of 32 6","")</f>
        <v>Round of 32 6</v>
      </c>
      <c r="R10" s="1" t="str">
        <f>IF(Setup!$B$5=32,Teams!$B$16,IF(Setup!$B$5&gt;32,O15,""))</f>
        <v/>
      </c>
      <c r="S10" s="7"/>
      <c r="T10" s="1" t="str">
        <f>IF(Setup!$B$5=32,Teams!$B$23,IF(Setup!$B$5&gt;32,O16,""))</f>
        <v/>
      </c>
      <c r="U10" s="7"/>
      <c r="V10" s="4"/>
      <c r="W10" s="6" t="str">
        <f t="shared" si="2"/>
        <v/>
      </c>
      <c r="X10" s="1"/>
      <c r="Y10" s="1" t="str">
        <f>IF(Setup!$B$5&gt;=16,"Round of 16 6","")</f>
        <v>Round of 16 6</v>
      </c>
      <c r="Z10" s="1" t="str">
        <f>IF(Setup!$B$5=16,Teams!$B$10,IF(Setup!$B$5&gt;16,W15,""))</f>
        <v/>
      </c>
      <c r="AA10" s="7"/>
      <c r="AB10" s="1" t="str">
        <f>IF(Setup!$B$5=16,Teams!$B$13,IF(Setup!$B$5&gt;16,W16,""))</f>
        <v/>
      </c>
      <c r="AC10" s="7"/>
      <c r="AD10" s="4"/>
      <c r="AE10" s="6" t="str">
        <f t="shared" si="3"/>
        <v/>
      </c>
      <c r="AF10" s="1"/>
      <c r="AG10" s="1"/>
      <c r="AH10" s="1"/>
      <c r="AI10" s="8"/>
      <c r="AJ10" s="1"/>
      <c r="AK10" s="8"/>
      <c r="AL10" s="1"/>
      <c r="AM10" s="1"/>
      <c r="AN10" s="1"/>
      <c r="AO10" s="1"/>
      <c r="AP10" s="1"/>
      <c r="AQ10" s="8"/>
      <c r="AR10" s="1"/>
      <c r="AS10" s="8"/>
      <c r="AT10" s="1"/>
      <c r="AU10" s="1"/>
      <c r="AV10" s="1"/>
      <c r="AW10" s="1"/>
      <c r="AX10" s="1"/>
      <c r="AY10" s="8"/>
      <c r="AZ10" s="1"/>
      <c r="BA10" s="8"/>
      <c r="BB10" s="1"/>
      <c r="BC10" s="1"/>
    </row>
    <row r="11" spans="1:55">
      <c r="A11" s="1" t="str">
        <f>IF(Setup!$B$5&gt;=128,"Round of 128 7","")</f>
        <v>Round of 128 7</v>
      </c>
      <c r="B11" s="1" t="str">
        <f>IF(Setup!$B$5=128,Teams!$B$20,"")</f>
        <v>Team 17</v>
      </c>
      <c r="C11" s="11"/>
      <c r="D11" s="1" t="str">
        <f>IF(Setup!$B$5=128,Teams!$B$115,"")</f>
        <v>Team 112</v>
      </c>
      <c r="E11" s="11"/>
      <c r="F11" s="12"/>
      <c r="G11" s="13" t="str">
        <f t="shared" si="0"/>
        <v/>
      </c>
      <c r="H11" s="1"/>
      <c r="I11" s="1" t="str">
        <f>IF(Setup!$B$5&gt;=64,"Round of 64 7","")</f>
        <v>Round of 64 7</v>
      </c>
      <c r="J11" s="1" t="str">
        <f>IF(Setup!$B$5=64,Teams!$B$12,IF(Setup!$B$5&gt;64,G17,""))</f>
        <v/>
      </c>
      <c r="K11" s="7"/>
      <c r="L11" s="1" t="str">
        <f>IF(Setup!$B$5=64,Teams!$B$59,IF(Setup!$B$5&gt;64,G18,""))</f>
        <v/>
      </c>
      <c r="M11" s="7"/>
      <c r="N11" s="4"/>
      <c r="O11" s="6" t="str">
        <f t="shared" si="1"/>
        <v/>
      </c>
      <c r="P11" s="1"/>
      <c r="Q11" s="1" t="str">
        <f>IF(Setup!$B$5&gt;=32,"Round of 32 7","")</f>
        <v>Round of 32 7</v>
      </c>
      <c r="R11" s="1" t="str">
        <f>IF(Setup!$B$5=32,Teams!$B$8,IF(Setup!$B$5&gt;32,O17,""))</f>
        <v/>
      </c>
      <c r="S11" s="7"/>
      <c r="T11" s="1" t="str">
        <f>IF(Setup!$B$5=32,Teams!$B$31,IF(Setup!$B$5&gt;32,O18,""))</f>
        <v/>
      </c>
      <c r="U11" s="7"/>
      <c r="V11" s="4"/>
      <c r="W11" s="6" t="str">
        <f t="shared" si="2"/>
        <v/>
      </c>
      <c r="X11" s="1"/>
      <c r="Y11" s="1" t="str">
        <f>IF(Setup!$B$5&gt;=16,"Round of 16 7","")</f>
        <v>Round of 16 7</v>
      </c>
      <c r="Z11" s="1" t="str">
        <f>IF(Setup!$B$5=16,Teams!$B$6,IF(Setup!$B$5&gt;16,W17,""))</f>
        <v/>
      </c>
      <c r="AA11" s="7"/>
      <c r="AB11" s="1" t="str">
        <f>IF(Setup!$B$5=16,Teams!$B$17,IF(Setup!$B$5&gt;16,W18,""))</f>
        <v/>
      </c>
      <c r="AC11" s="7"/>
      <c r="AD11" s="4"/>
      <c r="AE11" s="6" t="str">
        <f t="shared" si="3"/>
        <v/>
      </c>
      <c r="AF11" s="1"/>
      <c r="AG11" s="1"/>
      <c r="AH11" s="1"/>
      <c r="AI11" s="8"/>
      <c r="AJ11" s="1"/>
      <c r="AK11" s="8"/>
      <c r="AL11" s="1"/>
      <c r="AM11" s="1"/>
      <c r="AN11" s="1"/>
      <c r="AO11" s="1"/>
      <c r="AP11" s="1"/>
      <c r="AQ11" s="8"/>
      <c r="AR11" s="1"/>
      <c r="AS11" s="8"/>
      <c r="AT11" s="1"/>
      <c r="AU11" s="1"/>
      <c r="AV11" s="1"/>
      <c r="AW11" s="1"/>
      <c r="AX11" s="1"/>
      <c r="AY11" s="8"/>
      <c r="AZ11" s="1"/>
      <c r="BA11" s="8"/>
      <c r="BB11" s="1"/>
      <c r="BC11" s="1"/>
    </row>
    <row r="12" spans="1:55" ht="15">
      <c r="A12" s="1" t="str">
        <f>IF(Setup!$B$5&gt;=128,"Round of 128 8","")</f>
        <v>Round of 128 8</v>
      </c>
      <c r="B12" s="1" t="str">
        <f>IF(Setup!$B$5=128,Teams!$B$51,"")</f>
        <v>Team 48</v>
      </c>
      <c r="C12" s="11"/>
      <c r="D12" s="1" t="str">
        <f>IF(Setup!$B$5=128,Teams!$B$84,"")</f>
        <v>Team 81</v>
      </c>
      <c r="E12" s="11"/>
      <c r="F12" s="12"/>
      <c r="G12" s="13" t="str">
        <f t="shared" si="0"/>
        <v/>
      </c>
      <c r="H12" s="1"/>
      <c r="I12" s="1" t="str">
        <f>IF(Setup!$B$5&gt;=64,"Round of 64 8","")</f>
        <v>Round of 64 8</v>
      </c>
      <c r="J12" s="1" t="str">
        <f>IF(Setup!$B$5=64,Teams!$B$27,IF(Setup!$B$5&gt;64,G19,""))</f>
        <v/>
      </c>
      <c r="K12" s="7"/>
      <c r="L12" s="1" t="str">
        <f>IF(Setup!$B$5=64,Teams!$B$44,IF(Setup!$B$5&gt;64,G20,""))</f>
        <v/>
      </c>
      <c r="M12" s="7"/>
      <c r="N12" s="4"/>
      <c r="O12" s="6" t="str">
        <f t="shared" si="1"/>
        <v/>
      </c>
      <c r="P12" s="1"/>
      <c r="Q12" s="1" t="str">
        <f>IF(Setup!$B$5&gt;=32,"Round of 32 8","")</f>
        <v>Round of 32 8</v>
      </c>
      <c r="R12" s="1" t="str">
        <f>IF(Setup!$B$5=32,Teams!$B$15,IF(Setup!$B$5&gt;32,O19,""))</f>
        <v/>
      </c>
      <c r="S12" s="7"/>
      <c r="T12" s="1" t="str">
        <f>IF(Setup!$B$5=32,Teams!$B$24,IF(Setup!$B$5&gt;32,O20,""))</f>
        <v/>
      </c>
      <c r="U12" s="7"/>
      <c r="V12" s="4"/>
      <c r="W12" s="6" t="str">
        <f t="shared" si="2"/>
        <v/>
      </c>
      <c r="X12" s="1"/>
      <c r="Y12" s="1" t="str">
        <f>IF(Setup!$B$5&gt;=16,"Round of 16 8","")</f>
        <v>Round of 16 8</v>
      </c>
      <c r="Z12" s="1" t="str">
        <f>IF(Setup!$B$5=16,Teams!$B$9,IF(Setup!$B$5&gt;16,W19,""))</f>
        <v/>
      </c>
      <c r="AA12" s="7"/>
      <c r="AB12" s="1" t="str">
        <f>IF(Setup!$B$5=16,Teams!$B$14,IF(Setup!$B$5&gt;16,W20,""))</f>
        <v/>
      </c>
      <c r="AC12" s="7"/>
      <c r="AD12" s="4"/>
      <c r="AE12" s="6" t="str">
        <f t="shared" si="3"/>
        <v/>
      </c>
      <c r="AF12" s="1"/>
      <c r="AG12" s="1"/>
      <c r="AH12" s="1"/>
      <c r="AI12" s="8"/>
      <c r="AJ12" s="1"/>
      <c r="AK12" s="8"/>
      <c r="AL12" s="1"/>
      <c r="AM12" s="1"/>
      <c r="AN12" s="1"/>
      <c r="AO12" s="1"/>
      <c r="AP12" s="1"/>
      <c r="AQ12" s="8"/>
      <c r="AR12" s="1"/>
      <c r="AS12" s="8"/>
      <c r="AT12" s="1"/>
      <c r="AU12" s="1"/>
      <c r="AV12" s="1"/>
      <c r="AW12" s="20" t="s">
        <v>33</v>
      </c>
      <c r="AX12" s="19"/>
      <c r="AY12" s="22"/>
      <c r="AZ12" s="19"/>
      <c r="BA12" s="22"/>
      <c r="BB12" s="19"/>
      <c r="BC12" s="19"/>
    </row>
    <row r="13" spans="1:55" ht="15">
      <c r="A13" s="1" t="str">
        <f>IF(Setup!$B$5&gt;=128,"Round of 128 9","")</f>
        <v>Round of 128 9</v>
      </c>
      <c r="B13" s="1" t="str">
        <f>IF(Setup!$B$5=128,Teams!$B$11,"")</f>
        <v>Team 8</v>
      </c>
      <c r="C13" s="11"/>
      <c r="D13" s="1" t="str">
        <f>IF(Setup!$B$5=128,Teams!$B$124,"")</f>
        <v>Team 121</v>
      </c>
      <c r="E13" s="11"/>
      <c r="F13" s="12"/>
      <c r="G13" s="13" t="str">
        <f t="shared" si="0"/>
        <v/>
      </c>
      <c r="H13" s="1"/>
      <c r="I13" s="1" t="str">
        <f>IF(Setup!$B$5&gt;=64,"Round of 64 9","")</f>
        <v>Round of 64 9</v>
      </c>
      <c r="J13" s="1" t="str">
        <f>IF(Setup!$B$5=64,Teams!$B$7,IF(Setup!$B$5&gt;64,G21,""))</f>
        <v/>
      </c>
      <c r="K13" s="7"/>
      <c r="L13" s="1" t="str">
        <f>IF(Setup!$B$5=64,Teams!$B$64,IF(Setup!$B$5&gt;64,G22,""))</f>
        <v/>
      </c>
      <c r="M13" s="7"/>
      <c r="N13" s="4"/>
      <c r="O13" s="6" t="str">
        <f t="shared" si="1"/>
        <v/>
      </c>
      <c r="P13" s="1"/>
      <c r="Q13" s="1" t="str">
        <f>IF(Setup!$B$5&gt;=32,"Round of 32 9","")</f>
        <v>Round of 32 9</v>
      </c>
      <c r="R13" s="1" t="str">
        <f>IF(Setup!$B$5=32,Teams!$B$5,IF(Setup!$B$5&gt;32,O21,""))</f>
        <v/>
      </c>
      <c r="S13" s="7"/>
      <c r="T13" s="1" t="str">
        <f>IF(Setup!$B$5=32,Teams!$B$34,IF(Setup!$B$5&gt;32,O22,""))</f>
        <v/>
      </c>
      <c r="U13" s="7"/>
      <c r="V13" s="4"/>
      <c r="W13" s="6" t="str">
        <f t="shared" si="2"/>
        <v/>
      </c>
      <c r="X13" s="1"/>
      <c r="Y13" s="1"/>
      <c r="Z13" s="1"/>
      <c r="AA13" s="8"/>
      <c r="AB13" s="1"/>
      <c r="AC13" s="8"/>
      <c r="AD13" s="1"/>
      <c r="AE13" s="1"/>
      <c r="AF13" s="1"/>
      <c r="AG13" s="1"/>
      <c r="AH13" s="1"/>
      <c r="AI13" s="8"/>
      <c r="AJ13" s="1"/>
      <c r="AK13" s="8"/>
      <c r="AL13" s="1"/>
      <c r="AM13" s="1"/>
      <c r="AN13" s="1"/>
      <c r="AO13" s="1"/>
      <c r="AP13" s="1"/>
      <c r="AQ13" s="8"/>
      <c r="AR13" s="1"/>
      <c r="AS13" s="8"/>
      <c r="AT13" s="1"/>
      <c r="AU13" s="1"/>
      <c r="AV13" s="1"/>
      <c r="AW13" s="3" t="s">
        <v>189</v>
      </c>
      <c r="AX13" s="3" t="s">
        <v>53</v>
      </c>
      <c r="AY13" s="9"/>
      <c r="AZ13" s="3" t="s">
        <v>54</v>
      </c>
      <c r="BA13" s="9"/>
      <c r="BB13" s="3"/>
      <c r="BC13" s="3" t="s">
        <v>193</v>
      </c>
    </row>
    <row r="14" spans="1:55">
      <c r="A14" s="1" t="str">
        <f>IF(Setup!$B$5&gt;=128,"Round of 128 10","")</f>
        <v>Round of 128 10</v>
      </c>
      <c r="B14" s="1" t="str">
        <f>IF(Setup!$B$5=128,Teams!$B$60,"")</f>
        <v>Team 57</v>
      </c>
      <c r="C14" s="11"/>
      <c r="D14" s="1" t="str">
        <f>IF(Setup!$B$5=128,Teams!$B$75,"")</f>
        <v>Team 72</v>
      </c>
      <c r="E14" s="11"/>
      <c r="F14" s="12"/>
      <c r="G14" s="13" t="str">
        <f t="shared" si="0"/>
        <v/>
      </c>
      <c r="H14" s="1"/>
      <c r="I14" s="1" t="str">
        <f>IF(Setup!$B$5&gt;=64,"Round of 64 10","")</f>
        <v>Round of 64 10</v>
      </c>
      <c r="J14" s="1" t="str">
        <f>IF(Setup!$B$5=64,Teams!$B$32,IF(Setup!$B$5&gt;64,G23,""))</f>
        <v/>
      </c>
      <c r="K14" s="7"/>
      <c r="L14" s="1" t="str">
        <f>IF(Setup!$B$5=64,Teams!$B$39,IF(Setup!$B$5&gt;64,G24,""))</f>
        <v/>
      </c>
      <c r="M14" s="7"/>
      <c r="N14" s="4"/>
      <c r="O14" s="6" t="str">
        <f t="shared" si="1"/>
        <v/>
      </c>
      <c r="P14" s="1"/>
      <c r="Q14" s="1" t="str">
        <f>IF(Setup!$B$5&gt;=32,"Round of 32 10","")</f>
        <v>Round of 32 10</v>
      </c>
      <c r="R14" s="1" t="str">
        <f>IF(Setup!$B$5=32,Teams!$B$18,IF(Setup!$B$5&gt;32,O23,""))</f>
        <v/>
      </c>
      <c r="S14" s="7"/>
      <c r="T14" s="1" t="str">
        <f>IF(Setup!$B$5=32,Teams!$B$21,IF(Setup!$B$5&gt;32,O24,""))</f>
        <v/>
      </c>
      <c r="U14" s="7"/>
      <c r="V14" s="4"/>
      <c r="W14" s="6" t="str">
        <f t="shared" si="2"/>
        <v/>
      </c>
      <c r="X14" s="1"/>
      <c r="Y14" s="1"/>
      <c r="Z14" s="1"/>
      <c r="AA14" s="8"/>
      <c r="AB14" s="1"/>
      <c r="AC14" s="8"/>
      <c r="AD14" s="1"/>
      <c r="AE14" s="1"/>
      <c r="AF14" s="1"/>
      <c r="AG14" s="1"/>
      <c r="AH14" s="1"/>
      <c r="AI14" s="8"/>
      <c r="AJ14" s="1"/>
      <c r="AK14" s="8"/>
      <c r="AL14" s="1"/>
      <c r="AM14" s="1"/>
      <c r="AN14" s="1"/>
      <c r="AO14" s="1"/>
      <c r="AP14" s="1"/>
      <c r="AQ14" s="8"/>
      <c r="AR14" s="1"/>
      <c r="AS14" s="8"/>
      <c r="AT14" s="1"/>
      <c r="AU14" s="1"/>
      <c r="AV14" s="1"/>
      <c r="AW14" s="1" t="str">
        <f>IF(Setup!$B$6="Yes","Third Place","")</f>
        <v>Third Place</v>
      </c>
      <c r="AX14" s="1" t="str">
        <f>IF(Setup!$B$6&lt;&gt;"Yes","",IF(OR(Setup!$B$5&lt;4,AP5="",AR5=""),"",IF(AT5&lt;&gt;"",IF(AT5=AP5,AR5,IF(AT5=AR5,AP5,"")),IF(OR(NOT(ISNUMBER(AQ5)),NOT(ISNUMBER(AS5)),AQ5=AS5),"",IF(AQ5&lt;AS5,AP5,AR5)))))</f>
        <v/>
      </c>
      <c r="AY14" s="7"/>
      <c r="AZ14" s="1" t="str">
        <f>IF(Setup!$B$6&lt;&gt;"Yes","",IF(OR(Setup!$B$5&lt;4,AP6="",AR6=""),"",IF(AT6&lt;&gt;"",IF(AT6=AP6,AR6,IF(AT6=AR6,AP6,"")),IF(OR(NOT(ISNUMBER(AQ6)),NOT(ISNUMBER(AS6)),AQ6=AS6),"",IF(AQ6&lt;AS6,AP6,AR6)))))</f>
        <v/>
      </c>
      <c r="BA14" s="7"/>
      <c r="BB14" s="4"/>
      <c r="BC14" s="6" t="str">
        <f>IF(BB14&lt;&gt;"",BB14,IF(OR(AX14="",AZ14="",NOT(ISNUMBER(AY14)),NOT(ISNUMBER(BA14)),AY14=BA14),"",IF(AY14&gt;BA14,AX14,AZ14)))</f>
        <v/>
      </c>
    </row>
    <row r="15" spans="1:55">
      <c r="A15" s="1" t="str">
        <f>IF(Setup!$B$5&gt;=128,"Round of 128 11","")</f>
        <v>Round of 128 11</v>
      </c>
      <c r="B15" s="1" t="str">
        <f>IF(Setup!$B$5=128,Teams!$B$28,"")</f>
        <v>Team 25</v>
      </c>
      <c r="C15" s="11"/>
      <c r="D15" s="1" t="str">
        <f>IF(Setup!$B$5=128,Teams!$B$107,"")</f>
        <v>Team 104</v>
      </c>
      <c r="E15" s="11"/>
      <c r="F15" s="12"/>
      <c r="G15" s="13" t="str">
        <f t="shared" si="0"/>
        <v/>
      </c>
      <c r="H15" s="1"/>
      <c r="I15" s="1" t="str">
        <f>IF(Setup!$B$5&gt;=64,"Round of 64 11","")</f>
        <v>Round of 64 11</v>
      </c>
      <c r="J15" s="1" t="str">
        <f>IF(Setup!$B$5=64,Teams!$B$16,IF(Setup!$B$5&gt;64,G25,""))</f>
        <v/>
      </c>
      <c r="K15" s="7"/>
      <c r="L15" s="1" t="str">
        <f>IF(Setup!$B$5=64,Teams!$B$55,IF(Setup!$B$5&gt;64,G26,""))</f>
        <v/>
      </c>
      <c r="M15" s="7"/>
      <c r="N15" s="4"/>
      <c r="O15" s="6" t="str">
        <f t="shared" si="1"/>
        <v/>
      </c>
      <c r="P15" s="1"/>
      <c r="Q15" s="1" t="str">
        <f>IF(Setup!$B$5&gt;=32,"Round of 32 11","")</f>
        <v>Round of 32 11</v>
      </c>
      <c r="R15" s="1" t="str">
        <f>IF(Setup!$B$5=32,Teams!$B$10,IF(Setup!$B$5&gt;32,O25,""))</f>
        <v/>
      </c>
      <c r="S15" s="7"/>
      <c r="T15" s="1" t="str">
        <f>IF(Setup!$B$5=32,Teams!$B$29,IF(Setup!$B$5&gt;32,O26,""))</f>
        <v/>
      </c>
      <c r="U15" s="7"/>
      <c r="V15" s="4"/>
      <c r="W15" s="6" t="str">
        <f t="shared" si="2"/>
        <v/>
      </c>
      <c r="X15" s="1"/>
      <c r="Y15" s="1"/>
      <c r="Z15" s="1"/>
      <c r="AA15" s="8"/>
      <c r="AB15" s="1"/>
      <c r="AC15" s="8"/>
      <c r="AD15" s="1"/>
      <c r="AE15" s="1"/>
      <c r="AF15" s="1"/>
      <c r="AG15" s="1"/>
      <c r="AH15" s="1"/>
      <c r="AI15" s="8"/>
      <c r="AJ15" s="1"/>
      <c r="AK15" s="8"/>
      <c r="AL15" s="1"/>
      <c r="AM15" s="1"/>
      <c r="AN15" s="1"/>
      <c r="AO15" s="1"/>
      <c r="AP15" s="1"/>
      <c r="AQ15" s="8"/>
      <c r="AR15" s="1"/>
      <c r="AS15" s="8"/>
      <c r="AT15" s="1"/>
      <c r="AU15" s="1"/>
      <c r="AV15" s="1"/>
      <c r="AW15" s="1"/>
      <c r="AX15" s="1"/>
      <c r="AY15" s="8"/>
      <c r="AZ15" s="1"/>
      <c r="BA15" s="8"/>
      <c r="BB15" s="1"/>
      <c r="BC15" s="1"/>
    </row>
    <row r="16" spans="1:55">
      <c r="A16" s="1" t="str">
        <f>IF(Setup!$B$5&gt;=128,"Round of 128 12","")</f>
        <v>Round of 128 12</v>
      </c>
      <c r="B16" s="1" t="str">
        <f>IF(Setup!$B$5=128,Teams!$B$43,"")</f>
        <v>Team 40</v>
      </c>
      <c r="C16" s="11"/>
      <c r="D16" s="1" t="str">
        <f>IF(Setup!$B$5=128,Teams!$B$92,"")</f>
        <v>Team 89</v>
      </c>
      <c r="E16" s="11"/>
      <c r="F16" s="12"/>
      <c r="G16" s="13" t="str">
        <f t="shared" si="0"/>
        <v/>
      </c>
      <c r="H16" s="1"/>
      <c r="I16" s="1" t="str">
        <f>IF(Setup!$B$5&gt;=64,"Round of 64 12","")</f>
        <v>Round of 64 12</v>
      </c>
      <c r="J16" s="1" t="str">
        <f>IF(Setup!$B$5=64,Teams!$B$23,IF(Setup!$B$5&gt;64,G27,""))</f>
        <v/>
      </c>
      <c r="K16" s="7"/>
      <c r="L16" s="1" t="str">
        <f>IF(Setup!$B$5=64,Teams!$B$48,IF(Setup!$B$5&gt;64,G28,""))</f>
        <v/>
      </c>
      <c r="M16" s="7"/>
      <c r="N16" s="4"/>
      <c r="O16" s="6" t="str">
        <f t="shared" si="1"/>
        <v/>
      </c>
      <c r="P16" s="1"/>
      <c r="Q16" s="1" t="str">
        <f>IF(Setup!$B$5&gt;=32,"Round of 32 12","")</f>
        <v>Round of 32 12</v>
      </c>
      <c r="R16" s="1" t="str">
        <f>IF(Setup!$B$5=32,Teams!$B$13,IF(Setup!$B$5&gt;32,O27,""))</f>
        <v/>
      </c>
      <c r="S16" s="7"/>
      <c r="T16" s="1" t="str">
        <f>IF(Setup!$B$5=32,Teams!$B$26,IF(Setup!$B$5&gt;32,O28,""))</f>
        <v/>
      </c>
      <c r="U16" s="7"/>
      <c r="V16" s="4"/>
      <c r="W16" s="6" t="str">
        <f t="shared" si="2"/>
        <v/>
      </c>
      <c r="X16" s="1"/>
      <c r="Y16" s="1"/>
      <c r="Z16" s="1"/>
      <c r="AA16" s="8"/>
      <c r="AB16" s="1"/>
      <c r="AC16" s="8"/>
      <c r="AD16" s="1"/>
      <c r="AE16" s="1"/>
      <c r="AF16" s="1"/>
      <c r="AG16" s="1"/>
      <c r="AH16" s="1"/>
      <c r="AI16" s="8"/>
      <c r="AJ16" s="1"/>
      <c r="AK16" s="8"/>
      <c r="AL16" s="1"/>
      <c r="AM16" s="1"/>
      <c r="AN16" s="1"/>
      <c r="AO16" s="1"/>
      <c r="AP16" s="1"/>
      <c r="AQ16" s="8"/>
      <c r="AR16" s="1"/>
      <c r="AS16" s="8"/>
      <c r="AT16" s="1"/>
      <c r="AU16" s="1"/>
      <c r="AV16" s="1"/>
      <c r="AW16" s="1"/>
      <c r="AX16" s="1"/>
      <c r="AY16" s="8"/>
      <c r="AZ16" s="1"/>
      <c r="BA16" s="8"/>
      <c r="BB16" s="1"/>
      <c r="BC16" s="1"/>
    </row>
    <row r="17" spans="1:55">
      <c r="A17" s="1" t="str">
        <f>IF(Setup!$B$5&gt;=128,"Round of 128 13","")</f>
        <v>Round of 128 13</v>
      </c>
      <c r="B17" s="1" t="str">
        <f>IF(Setup!$B$5=128,Teams!$B$12,"")</f>
        <v>Team 9</v>
      </c>
      <c r="C17" s="11"/>
      <c r="D17" s="1" t="str">
        <f>IF(Setup!$B$5=128,Teams!$B$123,"")</f>
        <v>Team 120</v>
      </c>
      <c r="E17" s="11"/>
      <c r="F17" s="12"/>
      <c r="G17" s="13" t="str">
        <f t="shared" si="0"/>
        <v/>
      </c>
      <c r="H17" s="1"/>
      <c r="I17" s="1" t="str">
        <f>IF(Setup!$B$5&gt;=64,"Round of 64 13","")</f>
        <v>Round of 64 13</v>
      </c>
      <c r="J17" s="1" t="str">
        <f>IF(Setup!$B$5=64,Teams!$B$8,IF(Setup!$B$5&gt;64,G29,""))</f>
        <v/>
      </c>
      <c r="K17" s="7"/>
      <c r="L17" s="1" t="str">
        <f>IF(Setup!$B$5=64,Teams!$B$63,IF(Setup!$B$5&gt;64,G30,""))</f>
        <v/>
      </c>
      <c r="M17" s="7"/>
      <c r="N17" s="4"/>
      <c r="O17" s="6" t="str">
        <f t="shared" si="1"/>
        <v/>
      </c>
      <c r="P17" s="1"/>
      <c r="Q17" s="1" t="str">
        <f>IF(Setup!$B$5&gt;=32,"Round of 32 13","")</f>
        <v>Round of 32 13</v>
      </c>
      <c r="R17" s="1" t="str">
        <f>IF(Setup!$B$5=32,Teams!$B$6,IF(Setup!$B$5&gt;32,O29,""))</f>
        <v/>
      </c>
      <c r="S17" s="7"/>
      <c r="T17" s="1" t="str">
        <f>IF(Setup!$B$5=32,Teams!$B$33,IF(Setup!$B$5&gt;32,O30,""))</f>
        <v/>
      </c>
      <c r="U17" s="7"/>
      <c r="V17" s="4"/>
      <c r="W17" s="6" t="str">
        <f t="shared" si="2"/>
        <v/>
      </c>
      <c r="X17" s="1"/>
      <c r="Y17" s="1"/>
      <c r="Z17" s="1"/>
      <c r="AA17" s="8"/>
      <c r="AB17" s="1"/>
      <c r="AC17" s="8"/>
      <c r="AD17" s="1"/>
      <c r="AE17" s="1"/>
      <c r="AF17" s="1"/>
      <c r="AG17" s="1"/>
      <c r="AH17" s="1"/>
      <c r="AI17" s="8"/>
      <c r="AJ17" s="1"/>
      <c r="AK17" s="8"/>
      <c r="AL17" s="1"/>
      <c r="AM17" s="1"/>
      <c r="AN17" s="1"/>
      <c r="AO17" s="1"/>
      <c r="AP17" s="1"/>
      <c r="AQ17" s="8"/>
      <c r="AR17" s="1"/>
      <c r="AS17" s="8"/>
      <c r="AT17" s="1"/>
      <c r="AU17" s="1"/>
      <c r="AV17" s="1"/>
      <c r="AW17" s="1"/>
      <c r="AX17" s="1"/>
      <c r="AY17" s="8"/>
      <c r="AZ17" s="1"/>
      <c r="BA17" s="8"/>
      <c r="BB17" s="1"/>
      <c r="BC17" s="1"/>
    </row>
    <row r="18" spans="1:55">
      <c r="A18" s="1" t="str">
        <f>IF(Setup!$B$5&gt;=128,"Round of 128 14","")</f>
        <v>Round of 128 14</v>
      </c>
      <c r="B18" s="1" t="str">
        <f>IF(Setup!$B$5=128,Teams!$B$59,"")</f>
        <v>Team 56</v>
      </c>
      <c r="C18" s="11"/>
      <c r="D18" s="1" t="str">
        <f>IF(Setup!$B$5=128,Teams!$B$76,"")</f>
        <v>Team 73</v>
      </c>
      <c r="E18" s="11"/>
      <c r="F18" s="12"/>
      <c r="G18" s="13" t="str">
        <f t="shared" si="0"/>
        <v/>
      </c>
      <c r="H18" s="1"/>
      <c r="I18" s="1" t="str">
        <f>IF(Setup!$B$5&gt;=64,"Round of 64 14","")</f>
        <v>Round of 64 14</v>
      </c>
      <c r="J18" s="1" t="str">
        <f>IF(Setup!$B$5=64,Teams!$B$31,IF(Setup!$B$5&gt;64,G31,""))</f>
        <v/>
      </c>
      <c r="K18" s="7"/>
      <c r="L18" s="1" t="str">
        <f>IF(Setup!$B$5=64,Teams!$B$40,IF(Setup!$B$5&gt;64,G32,""))</f>
        <v/>
      </c>
      <c r="M18" s="7"/>
      <c r="N18" s="4"/>
      <c r="O18" s="6" t="str">
        <f t="shared" si="1"/>
        <v/>
      </c>
      <c r="P18" s="1"/>
      <c r="Q18" s="1" t="str">
        <f>IF(Setup!$B$5&gt;=32,"Round of 32 14","")</f>
        <v>Round of 32 14</v>
      </c>
      <c r="R18" s="1" t="str">
        <f>IF(Setup!$B$5=32,Teams!$B$17,IF(Setup!$B$5&gt;32,O31,""))</f>
        <v/>
      </c>
      <c r="S18" s="7"/>
      <c r="T18" s="1" t="str">
        <f>IF(Setup!$B$5=32,Teams!$B$22,IF(Setup!$B$5&gt;32,O32,""))</f>
        <v/>
      </c>
      <c r="U18" s="7"/>
      <c r="V18" s="4"/>
      <c r="W18" s="6" t="str">
        <f t="shared" si="2"/>
        <v/>
      </c>
      <c r="X18" s="1"/>
      <c r="Y18" s="1"/>
      <c r="Z18" s="1"/>
      <c r="AA18" s="8"/>
      <c r="AB18" s="1"/>
      <c r="AC18" s="8"/>
      <c r="AD18" s="1"/>
      <c r="AE18" s="1"/>
      <c r="AF18" s="1"/>
      <c r="AG18" s="1"/>
      <c r="AH18" s="1"/>
      <c r="AI18" s="8"/>
      <c r="AJ18" s="1"/>
      <c r="AK18" s="8"/>
      <c r="AL18" s="1"/>
      <c r="AM18" s="1"/>
      <c r="AN18" s="1"/>
      <c r="AO18" s="1"/>
      <c r="AP18" s="1"/>
      <c r="AQ18" s="8"/>
      <c r="AR18" s="1"/>
      <c r="AS18" s="8"/>
      <c r="AT18" s="1"/>
      <c r="AU18" s="1"/>
      <c r="AV18" s="1"/>
      <c r="AW18" s="1"/>
      <c r="AX18" s="1"/>
      <c r="AY18" s="8"/>
      <c r="AZ18" s="1"/>
      <c r="BA18" s="8"/>
      <c r="BB18" s="1"/>
      <c r="BC18" s="1"/>
    </row>
    <row r="19" spans="1:55">
      <c r="A19" s="1" t="str">
        <f>IF(Setup!$B$5&gt;=128,"Round of 128 15","")</f>
        <v>Round of 128 15</v>
      </c>
      <c r="B19" s="1" t="str">
        <f>IF(Setup!$B$5=128,Teams!$B$27,"")</f>
        <v>Team 24</v>
      </c>
      <c r="C19" s="11"/>
      <c r="D19" s="1" t="str">
        <f>IF(Setup!$B$5=128,Teams!$B$108,"")</f>
        <v>Team 105</v>
      </c>
      <c r="E19" s="11"/>
      <c r="F19" s="12"/>
      <c r="G19" s="13" t="str">
        <f t="shared" si="0"/>
        <v/>
      </c>
      <c r="H19" s="1"/>
      <c r="I19" s="1" t="str">
        <f>IF(Setup!$B$5&gt;=64,"Round of 64 15","")</f>
        <v>Round of 64 15</v>
      </c>
      <c r="J19" s="1" t="str">
        <f>IF(Setup!$B$5=64,Teams!$B$15,IF(Setup!$B$5&gt;64,G33,""))</f>
        <v/>
      </c>
      <c r="K19" s="7"/>
      <c r="L19" s="1" t="str">
        <f>IF(Setup!$B$5=64,Teams!$B$56,IF(Setup!$B$5&gt;64,G34,""))</f>
        <v/>
      </c>
      <c r="M19" s="7"/>
      <c r="N19" s="4"/>
      <c r="O19" s="6" t="str">
        <f t="shared" si="1"/>
        <v/>
      </c>
      <c r="P19" s="1"/>
      <c r="Q19" s="1" t="str">
        <f>IF(Setup!$B$5&gt;=32,"Round of 32 15","")</f>
        <v>Round of 32 15</v>
      </c>
      <c r="R19" s="1" t="str">
        <f>IF(Setup!$B$5=32,Teams!$B$9,IF(Setup!$B$5&gt;32,O33,""))</f>
        <v/>
      </c>
      <c r="S19" s="7"/>
      <c r="T19" s="1" t="str">
        <f>IF(Setup!$B$5=32,Teams!$B$30,IF(Setup!$B$5&gt;32,O34,""))</f>
        <v/>
      </c>
      <c r="U19" s="7"/>
      <c r="V19" s="4"/>
      <c r="W19" s="6" t="str">
        <f t="shared" si="2"/>
        <v/>
      </c>
      <c r="X19" s="1"/>
      <c r="Y19" s="1"/>
      <c r="Z19" s="1"/>
      <c r="AA19" s="8"/>
      <c r="AB19" s="1"/>
      <c r="AC19" s="8"/>
      <c r="AD19" s="1"/>
      <c r="AE19" s="1"/>
      <c r="AF19" s="1"/>
      <c r="AG19" s="1"/>
      <c r="AH19" s="1"/>
      <c r="AI19" s="8"/>
      <c r="AJ19" s="1"/>
      <c r="AK19" s="8"/>
      <c r="AL19" s="1"/>
      <c r="AM19" s="1"/>
      <c r="AN19" s="1"/>
      <c r="AO19" s="1"/>
      <c r="AP19" s="1"/>
      <c r="AQ19" s="8"/>
      <c r="AR19" s="1"/>
      <c r="AS19" s="8"/>
      <c r="AT19" s="1"/>
      <c r="AU19" s="1"/>
      <c r="AV19" s="1"/>
      <c r="AW19" s="1"/>
      <c r="AX19" s="1"/>
      <c r="AY19" s="8"/>
      <c r="AZ19" s="1"/>
      <c r="BA19" s="8"/>
      <c r="BB19" s="1"/>
      <c r="BC19" s="1"/>
    </row>
    <row r="20" spans="1:55">
      <c r="A20" s="1" t="str">
        <f>IF(Setup!$B$5&gt;=128,"Round of 128 16","")</f>
        <v>Round of 128 16</v>
      </c>
      <c r="B20" s="1" t="str">
        <f>IF(Setup!$B$5=128,Teams!$B$44,"")</f>
        <v>Team 41</v>
      </c>
      <c r="C20" s="11"/>
      <c r="D20" s="1" t="str">
        <f>IF(Setup!$B$5=128,Teams!$B$91,"")</f>
        <v>Team 88</v>
      </c>
      <c r="E20" s="11"/>
      <c r="F20" s="12"/>
      <c r="G20" s="13" t="str">
        <f t="shared" si="0"/>
        <v/>
      </c>
      <c r="H20" s="1"/>
      <c r="I20" s="1" t="str">
        <f>IF(Setup!$B$5&gt;=64,"Round of 64 16","")</f>
        <v>Round of 64 16</v>
      </c>
      <c r="J20" s="1" t="str">
        <f>IF(Setup!$B$5=64,Teams!$B$24,IF(Setup!$B$5&gt;64,G35,""))</f>
        <v/>
      </c>
      <c r="K20" s="7"/>
      <c r="L20" s="1" t="str">
        <f>IF(Setup!$B$5=64,Teams!$B$47,IF(Setup!$B$5&gt;64,G36,""))</f>
        <v/>
      </c>
      <c r="M20" s="7"/>
      <c r="N20" s="4"/>
      <c r="O20" s="6" t="str">
        <f t="shared" si="1"/>
        <v/>
      </c>
      <c r="P20" s="1"/>
      <c r="Q20" s="1" t="str">
        <f>IF(Setup!$B$5&gt;=32,"Round of 32 16","")</f>
        <v>Round of 32 16</v>
      </c>
      <c r="R20" s="1" t="str">
        <f>IF(Setup!$B$5=32,Teams!$B$14,IF(Setup!$B$5&gt;32,O35,""))</f>
        <v/>
      </c>
      <c r="S20" s="7"/>
      <c r="T20" s="1" t="str">
        <f>IF(Setup!$B$5=32,Teams!$B$25,IF(Setup!$B$5&gt;32,O36,""))</f>
        <v/>
      </c>
      <c r="U20" s="7"/>
      <c r="V20" s="4"/>
      <c r="W20" s="6" t="str">
        <f t="shared" si="2"/>
        <v/>
      </c>
      <c r="X20" s="1"/>
      <c r="Y20" s="1"/>
      <c r="Z20" s="1"/>
      <c r="AA20" s="8"/>
      <c r="AB20" s="1"/>
      <c r="AC20" s="8"/>
      <c r="AD20" s="1"/>
      <c r="AE20" s="1"/>
      <c r="AF20" s="1"/>
      <c r="AG20" s="1"/>
      <c r="AH20" s="1"/>
      <c r="AI20" s="8"/>
      <c r="AJ20" s="1"/>
      <c r="AK20" s="8"/>
      <c r="AL20" s="1"/>
      <c r="AM20" s="1"/>
      <c r="AN20" s="1"/>
      <c r="AO20" s="1"/>
      <c r="AP20" s="1"/>
      <c r="AQ20" s="8"/>
      <c r="AR20" s="1"/>
      <c r="AS20" s="8"/>
      <c r="AT20" s="1"/>
      <c r="AU20" s="1"/>
      <c r="AV20" s="1"/>
      <c r="AW20" s="1"/>
      <c r="AX20" s="1"/>
      <c r="AY20" s="8"/>
      <c r="AZ20" s="1"/>
      <c r="BA20" s="8"/>
      <c r="BB20" s="1"/>
      <c r="BC20" s="1"/>
    </row>
    <row r="21" spans="1:55">
      <c r="A21" s="1" t="str">
        <f>IF(Setup!$B$5&gt;=128,"Round of 128 17","")</f>
        <v>Round of 128 17</v>
      </c>
      <c r="B21" s="1" t="str">
        <f>IF(Setup!$B$5=128,Teams!$B$7,"")</f>
        <v>Team 4</v>
      </c>
      <c r="C21" s="11"/>
      <c r="D21" s="1" t="str">
        <f>IF(Setup!$B$5=128,Teams!$B$128,"")</f>
        <v>Team 125</v>
      </c>
      <c r="E21" s="11"/>
      <c r="F21" s="12"/>
      <c r="G21" s="13" t="str">
        <f t="shared" si="0"/>
        <v/>
      </c>
      <c r="H21" s="1"/>
      <c r="I21" s="1" t="str">
        <f>IF(Setup!$B$5&gt;=64,"Round of 64 17","")</f>
        <v>Round of 64 17</v>
      </c>
      <c r="J21" s="1" t="str">
        <f>IF(Setup!$B$5=64,Teams!$B$5,IF(Setup!$B$5&gt;64,G37,""))</f>
        <v/>
      </c>
      <c r="K21" s="7"/>
      <c r="L21" s="1" t="str">
        <f>IF(Setup!$B$5=64,Teams!$B$66,IF(Setup!$B$5&gt;64,G38,""))</f>
        <v/>
      </c>
      <c r="M21" s="7"/>
      <c r="N21" s="4"/>
      <c r="O21" s="6" t="str">
        <f t="shared" si="1"/>
        <v/>
      </c>
      <c r="P21" s="1"/>
      <c r="Q21" s="1"/>
      <c r="R21" s="1"/>
      <c r="S21" s="8"/>
      <c r="T21" s="1"/>
      <c r="U21" s="8"/>
      <c r="V21" s="1"/>
      <c r="W21" s="1"/>
      <c r="X21" s="1"/>
      <c r="Y21" s="1"/>
      <c r="Z21" s="1"/>
      <c r="AA21" s="8"/>
      <c r="AB21" s="1"/>
      <c r="AC21" s="8"/>
      <c r="AD21" s="1"/>
      <c r="AE21" s="1"/>
      <c r="AF21" s="1"/>
      <c r="AG21" s="1"/>
      <c r="AH21" s="1"/>
      <c r="AI21" s="8"/>
      <c r="AJ21" s="1"/>
      <c r="AK21" s="8"/>
      <c r="AL21" s="1"/>
      <c r="AM21" s="1"/>
      <c r="AN21" s="1"/>
      <c r="AO21" s="1"/>
      <c r="AP21" s="1"/>
      <c r="AQ21" s="8"/>
      <c r="AR21" s="1"/>
      <c r="AS21" s="8"/>
      <c r="AT21" s="1"/>
      <c r="AU21" s="1"/>
      <c r="AV21" s="1"/>
      <c r="AW21" s="1"/>
      <c r="AX21" s="1"/>
      <c r="AY21" s="8"/>
      <c r="AZ21" s="1"/>
      <c r="BA21" s="8"/>
      <c r="BB21" s="1"/>
      <c r="BC21" s="1"/>
    </row>
    <row r="22" spans="1:55">
      <c r="A22" s="1" t="str">
        <f>IF(Setup!$B$5&gt;=128,"Round of 128 18","")</f>
        <v>Round of 128 18</v>
      </c>
      <c r="B22" s="1" t="str">
        <f>IF(Setup!$B$5=128,Teams!$B$64,"")</f>
        <v>Team 61</v>
      </c>
      <c r="C22" s="11"/>
      <c r="D22" s="1" t="str">
        <f>IF(Setup!$B$5=128,Teams!$B$71,"")</f>
        <v>Team 68</v>
      </c>
      <c r="E22" s="11"/>
      <c r="F22" s="12"/>
      <c r="G22" s="13" t="str">
        <f t="shared" si="0"/>
        <v/>
      </c>
      <c r="H22" s="1"/>
      <c r="I22" s="1" t="str">
        <f>IF(Setup!$B$5&gt;=64,"Round of 64 18","")</f>
        <v>Round of 64 18</v>
      </c>
      <c r="J22" s="1" t="str">
        <f>IF(Setup!$B$5=64,Teams!$B$34,IF(Setup!$B$5&gt;64,G39,""))</f>
        <v/>
      </c>
      <c r="K22" s="7"/>
      <c r="L22" s="1" t="str">
        <f>IF(Setup!$B$5=64,Teams!$B$37,IF(Setup!$B$5&gt;64,G40,""))</f>
        <v/>
      </c>
      <c r="M22" s="7"/>
      <c r="N22" s="4"/>
      <c r="O22" s="6" t="str">
        <f t="shared" si="1"/>
        <v/>
      </c>
      <c r="P22" s="1"/>
      <c r="Q22" s="1"/>
      <c r="R22" s="1"/>
      <c r="S22" s="8"/>
      <c r="T22" s="1"/>
      <c r="U22" s="8"/>
      <c r="V22" s="1"/>
      <c r="W22" s="1"/>
      <c r="X22" s="1"/>
      <c r="Y22" s="1"/>
      <c r="Z22" s="1"/>
      <c r="AA22" s="8"/>
      <c r="AB22" s="1"/>
      <c r="AC22" s="8"/>
      <c r="AD22" s="1"/>
      <c r="AE22" s="1"/>
      <c r="AF22" s="1"/>
      <c r="AG22" s="1"/>
      <c r="AH22" s="1"/>
      <c r="AI22" s="8"/>
      <c r="AJ22" s="1"/>
      <c r="AK22" s="8"/>
      <c r="AL22" s="1"/>
      <c r="AM22" s="1"/>
      <c r="AN22" s="1"/>
      <c r="AO22" s="1"/>
      <c r="AP22" s="1"/>
      <c r="AQ22" s="8"/>
      <c r="AR22" s="1"/>
      <c r="AS22" s="8"/>
      <c r="AT22" s="1"/>
      <c r="AU22" s="1"/>
      <c r="AV22" s="1"/>
      <c r="AW22" s="1"/>
      <c r="AX22" s="1"/>
      <c r="AY22" s="8"/>
      <c r="AZ22" s="1"/>
      <c r="BA22" s="8"/>
      <c r="BB22" s="1"/>
      <c r="BC22" s="1"/>
    </row>
    <row r="23" spans="1:55">
      <c r="A23" s="1" t="str">
        <f>IF(Setup!$B$5&gt;=128,"Round of 128 19","")</f>
        <v>Round of 128 19</v>
      </c>
      <c r="B23" s="1" t="str">
        <f>IF(Setup!$B$5=128,Teams!$B$32,"")</f>
        <v>Team 29</v>
      </c>
      <c r="C23" s="11"/>
      <c r="D23" s="1" t="str">
        <f>IF(Setup!$B$5=128,Teams!$B$103,"")</f>
        <v>Team 100</v>
      </c>
      <c r="E23" s="11"/>
      <c r="F23" s="12"/>
      <c r="G23" s="13" t="str">
        <f t="shared" si="0"/>
        <v/>
      </c>
      <c r="H23" s="1"/>
      <c r="I23" s="1" t="str">
        <f>IF(Setup!$B$5&gt;=64,"Round of 64 19","")</f>
        <v>Round of 64 19</v>
      </c>
      <c r="J23" s="1" t="str">
        <f>IF(Setup!$B$5=64,Teams!$B$18,IF(Setup!$B$5&gt;64,G41,""))</f>
        <v/>
      </c>
      <c r="K23" s="7"/>
      <c r="L23" s="1" t="str">
        <f>IF(Setup!$B$5=64,Teams!$B$53,IF(Setup!$B$5&gt;64,G42,""))</f>
        <v/>
      </c>
      <c r="M23" s="7"/>
      <c r="N23" s="4"/>
      <c r="O23" s="6" t="str">
        <f t="shared" si="1"/>
        <v/>
      </c>
      <c r="P23" s="1"/>
      <c r="Q23" s="1"/>
      <c r="R23" s="1"/>
      <c r="S23" s="8"/>
      <c r="T23" s="1"/>
      <c r="U23" s="8"/>
      <c r="V23" s="1"/>
      <c r="W23" s="1"/>
      <c r="X23" s="1"/>
      <c r="Y23" s="1"/>
      <c r="Z23" s="1"/>
      <c r="AA23" s="8"/>
      <c r="AB23" s="1"/>
      <c r="AC23" s="8"/>
      <c r="AD23" s="1"/>
      <c r="AE23" s="1"/>
      <c r="AF23" s="1"/>
      <c r="AG23" s="1"/>
      <c r="AH23" s="1"/>
      <c r="AI23" s="8"/>
      <c r="AJ23" s="1"/>
      <c r="AK23" s="8"/>
      <c r="AL23" s="1"/>
      <c r="AM23" s="1"/>
      <c r="AN23" s="1"/>
      <c r="AO23" s="1"/>
      <c r="AP23" s="1"/>
      <c r="AQ23" s="8"/>
      <c r="AR23" s="1"/>
      <c r="AS23" s="8"/>
      <c r="AT23" s="1"/>
      <c r="AU23" s="1"/>
      <c r="AV23" s="1"/>
      <c r="AW23" s="1"/>
      <c r="AX23" s="1"/>
      <c r="AY23" s="8"/>
      <c r="AZ23" s="1"/>
      <c r="BA23" s="8"/>
      <c r="BB23" s="1"/>
      <c r="BC23" s="1"/>
    </row>
    <row r="24" spans="1:55">
      <c r="A24" s="1" t="str">
        <f>IF(Setup!$B$5&gt;=128,"Round of 128 20","")</f>
        <v>Round of 128 20</v>
      </c>
      <c r="B24" s="1" t="str">
        <f>IF(Setup!$B$5=128,Teams!$B$39,"")</f>
        <v>Team 36</v>
      </c>
      <c r="C24" s="11"/>
      <c r="D24" s="1" t="str">
        <f>IF(Setup!$B$5=128,Teams!$B$96,"")</f>
        <v>Team 93</v>
      </c>
      <c r="E24" s="11"/>
      <c r="F24" s="12"/>
      <c r="G24" s="13" t="str">
        <f t="shared" si="0"/>
        <v/>
      </c>
      <c r="H24" s="1"/>
      <c r="I24" s="1" t="str">
        <f>IF(Setup!$B$5&gt;=64,"Round of 64 20","")</f>
        <v>Round of 64 20</v>
      </c>
      <c r="J24" s="1" t="str">
        <f>IF(Setup!$B$5=64,Teams!$B$21,IF(Setup!$B$5&gt;64,G43,""))</f>
        <v/>
      </c>
      <c r="K24" s="7"/>
      <c r="L24" s="1" t="str">
        <f>IF(Setup!$B$5=64,Teams!$B$50,IF(Setup!$B$5&gt;64,G44,""))</f>
        <v/>
      </c>
      <c r="M24" s="7"/>
      <c r="N24" s="4"/>
      <c r="O24" s="6" t="str">
        <f t="shared" si="1"/>
        <v/>
      </c>
      <c r="P24" s="1"/>
      <c r="Q24" s="1"/>
      <c r="R24" s="1"/>
      <c r="S24" s="8"/>
      <c r="T24" s="1"/>
      <c r="U24" s="8"/>
      <c r="V24" s="1"/>
      <c r="W24" s="1"/>
      <c r="X24" s="1"/>
      <c r="Y24" s="1"/>
      <c r="Z24" s="1"/>
      <c r="AA24" s="8"/>
      <c r="AB24" s="1"/>
      <c r="AC24" s="8"/>
      <c r="AD24" s="1"/>
      <c r="AE24" s="1"/>
      <c r="AF24" s="1"/>
      <c r="AG24" s="1"/>
      <c r="AH24" s="1"/>
      <c r="AI24" s="8"/>
      <c r="AJ24" s="1"/>
      <c r="AK24" s="8"/>
      <c r="AL24" s="1"/>
      <c r="AM24" s="1"/>
      <c r="AN24" s="1"/>
      <c r="AO24" s="1"/>
      <c r="AP24" s="1"/>
      <c r="AQ24" s="8"/>
      <c r="AR24" s="1"/>
      <c r="AS24" s="8"/>
      <c r="AT24" s="1"/>
      <c r="AU24" s="1"/>
      <c r="AV24" s="1"/>
      <c r="AW24" s="1"/>
      <c r="AX24" s="1"/>
      <c r="AY24" s="8"/>
      <c r="AZ24" s="1"/>
      <c r="BA24" s="8"/>
      <c r="BB24" s="1"/>
      <c r="BC24" s="1"/>
    </row>
    <row r="25" spans="1:55">
      <c r="A25" s="1" t="str">
        <f>IF(Setup!$B$5&gt;=128,"Round of 128 21","")</f>
        <v>Round of 128 21</v>
      </c>
      <c r="B25" s="1" t="str">
        <f>IF(Setup!$B$5=128,Teams!$B$16,"")</f>
        <v>Team 13</v>
      </c>
      <c r="C25" s="11"/>
      <c r="D25" s="1" t="str">
        <f>IF(Setup!$B$5=128,Teams!$B$119,"")</f>
        <v>Team 116</v>
      </c>
      <c r="E25" s="11"/>
      <c r="F25" s="12"/>
      <c r="G25" s="13" t="str">
        <f t="shared" si="0"/>
        <v/>
      </c>
      <c r="H25" s="1"/>
      <c r="I25" s="1" t="str">
        <f>IF(Setup!$B$5&gt;=64,"Round of 64 21","")</f>
        <v>Round of 64 21</v>
      </c>
      <c r="J25" s="1" t="str">
        <f>IF(Setup!$B$5=64,Teams!$B$10,IF(Setup!$B$5&gt;64,G45,""))</f>
        <v/>
      </c>
      <c r="K25" s="7"/>
      <c r="L25" s="1" t="str">
        <f>IF(Setup!$B$5=64,Teams!$B$61,IF(Setup!$B$5&gt;64,G46,""))</f>
        <v/>
      </c>
      <c r="M25" s="7"/>
      <c r="N25" s="4"/>
      <c r="O25" s="6" t="str">
        <f t="shared" si="1"/>
        <v/>
      </c>
      <c r="P25" s="1"/>
      <c r="Q25" s="1"/>
      <c r="R25" s="1"/>
      <c r="S25" s="8"/>
      <c r="T25" s="1"/>
      <c r="U25" s="8"/>
      <c r="V25" s="1"/>
      <c r="W25" s="1"/>
      <c r="X25" s="1"/>
      <c r="Y25" s="1"/>
      <c r="Z25" s="1"/>
      <c r="AA25" s="8"/>
      <c r="AB25" s="1"/>
      <c r="AC25" s="8"/>
      <c r="AD25" s="1"/>
      <c r="AE25" s="1"/>
      <c r="AF25" s="1"/>
      <c r="AG25" s="1"/>
      <c r="AH25" s="1"/>
      <c r="AI25" s="8"/>
      <c r="AJ25" s="1"/>
      <c r="AK25" s="8"/>
      <c r="AL25" s="1"/>
      <c r="AM25" s="1"/>
      <c r="AN25" s="1"/>
      <c r="AO25" s="1"/>
      <c r="AP25" s="1"/>
      <c r="AQ25" s="8"/>
      <c r="AR25" s="1"/>
      <c r="AS25" s="8"/>
      <c r="AT25" s="1"/>
      <c r="AU25" s="1"/>
      <c r="AV25" s="1"/>
      <c r="AW25" s="1"/>
      <c r="AX25" s="1"/>
      <c r="AY25" s="8"/>
      <c r="AZ25" s="1"/>
      <c r="BA25" s="8"/>
      <c r="BB25" s="1"/>
      <c r="BC25" s="1"/>
    </row>
    <row r="26" spans="1:55">
      <c r="A26" s="1" t="str">
        <f>IF(Setup!$B$5&gt;=128,"Round of 128 22","")</f>
        <v>Round of 128 22</v>
      </c>
      <c r="B26" s="1" t="str">
        <f>IF(Setup!$B$5=128,Teams!$B$55,"")</f>
        <v>Team 52</v>
      </c>
      <c r="C26" s="11"/>
      <c r="D26" s="1" t="str">
        <f>IF(Setup!$B$5=128,Teams!$B$80,"")</f>
        <v>Team 77</v>
      </c>
      <c r="E26" s="11"/>
      <c r="F26" s="12"/>
      <c r="G26" s="13" t="str">
        <f t="shared" si="0"/>
        <v/>
      </c>
      <c r="H26" s="1"/>
      <c r="I26" s="1" t="str">
        <f>IF(Setup!$B$5&gt;=64,"Round of 64 22","")</f>
        <v>Round of 64 22</v>
      </c>
      <c r="J26" s="1" t="str">
        <f>IF(Setup!$B$5=64,Teams!$B$29,IF(Setup!$B$5&gt;64,G47,""))</f>
        <v/>
      </c>
      <c r="K26" s="7"/>
      <c r="L26" s="1" t="str">
        <f>IF(Setup!$B$5=64,Teams!$B$42,IF(Setup!$B$5&gt;64,G48,""))</f>
        <v/>
      </c>
      <c r="M26" s="7"/>
      <c r="N26" s="4"/>
      <c r="O26" s="6" t="str">
        <f t="shared" si="1"/>
        <v/>
      </c>
      <c r="P26" s="1"/>
      <c r="Q26" s="1"/>
      <c r="R26" s="1"/>
      <c r="S26" s="8"/>
      <c r="T26" s="1"/>
      <c r="U26" s="8"/>
      <c r="V26" s="1"/>
      <c r="W26" s="1"/>
      <c r="X26" s="1"/>
      <c r="Y26" s="1"/>
      <c r="Z26" s="1"/>
      <c r="AA26" s="8"/>
      <c r="AB26" s="1"/>
      <c r="AC26" s="8"/>
      <c r="AD26" s="1"/>
      <c r="AE26" s="1"/>
      <c r="AF26" s="1"/>
      <c r="AG26" s="1"/>
      <c r="AH26" s="1"/>
      <c r="AI26" s="8"/>
      <c r="AJ26" s="1"/>
      <c r="AK26" s="8"/>
      <c r="AL26" s="1"/>
      <c r="AM26" s="1"/>
      <c r="AN26" s="1"/>
      <c r="AO26" s="1"/>
      <c r="AP26" s="1"/>
      <c r="AQ26" s="8"/>
      <c r="AR26" s="1"/>
      <c r="AS26" s="8"/>
      <c r="AT26" s="1"/>
      <c r="AU26" s="1"/>
      <c r="AV26" s="1"/>
      <c r="AW26" s="1"/>
      <c r="AX26" s="1"/>
      <c r="AY26" s="8"/>
      <c r="AZ26" s="1"/>
      <c r="BA26" s="8"/>
      <c r="BB26" s="1"/>
      <c r="BC26" s="1"/>
    </row>
    <row r="27" spans="1:55">
      <c r="A27" s="1" t="str">
        <f>IF(Setup!$B$5&gt;=128,"Round of 128 23","")</f>
        <v>Round of 128 23</v>
      </c>
      <c r="B27" s="1" t="str">
        <f>IF(Setup!$B$5=128,Teams!$B$23,"")</f>
        <v>Team 20</v>
      </c>
      <c r="C27" s="11"/>
      <c r="D27" s="1" t="str">
        <f>IF(Setup!$B$5=128,Teams!$B$112,"")</f>
        <v>Team 109</v>
      </c>
      <c r="E27" s="11"/>
      <c r="F27" s="12"/>
      <c r="G27" s="13" t="str">
        <f t="shared" si="0"/>
        <v/>
      </c>
      <c r="H27" s="1"/>
      <c r="I27" s="1" t="str">
        <f>IF(Setup!$B$5&gt;=64,"Round of 64 23","")</f>
        <v>Round of 64 23</v>
      </c>
      <c r="J27" s="1" t="str">
        <f>IF(Setup!$B$5=64,Teams!$B$13,IF(Setup!$B$5&gt;64,G49,""))</f>
        <v/>
      </c>
      <c r="K27" s="7"/>
      <c r="L27" s="1" t="str">
        <f>IF(Setup!$B$5=64,Teams!$B$58,IF(Setup!$B$5&gt;64,G50,""))</f>
        <v/>
      </c>
      <c r="M27" s="7"/>
      <c r="N27" s="4"/>
      <c r="O27" s="6" t="str">
        <f t="shared" si="1"/>
        <v/>
      </c>
      <c r="P27" s="1"/>
      <c r="Q27" s="1"/>
      <c r="R27" s="1"/>
      <c r="S27" s="8"/>
      <c r="T27" s="1"/>
      <c r="U27" s="8"/>
      <c r="V27" s="1"/>
      <c r="W27" s="1"/>
      <c r="X27" s="1"/>
      <c r="Y27" s="1"/>
      <c r="Z27" s="1"/>
      <c r="AA27" s="8"/>
      <c r="AB27" s="1"/>
      <c r="AC27" s="8"/>
      <c r="AD27" s="1"/>
      <c r="AE27" s="1"/>
      <c r="AF27" s="1"/>
      <c r="AG27" s="1"/>
      <c r="AH27" s="1"/>
      <c r="AI27" s="8"/>
      <c r="AJ27" s="1"/>
      <c r="AK27" s="8"/>
      <c r="AL27" s="1"/>
      <c r="AM27" s="1"/>
      <c r="AN27" s="1"/>
      <c r="AO27" s="1"/>
      <c r="AP27" s="1"/>
      <c r="AQ27" s="8"/>
      <c r="AR27" s="1"/>
      <c r="AS27" s="8"/>
      <c r="AT27" s="1"/>
      <c r="AU27" s="1"/>
      <c r="AV27" s="1"/>
      <c r="AW27" s="1"/>
      <c r="AX27" s="1"/>
      <c r="AY27" s="8"/>
      <c r="AZ27" s="1"/>
      <c r="BA27" s="8"/>
      <c r="BB27" s="1"/>
      <c r="BC27" s="1"/>
    </row>
    <row r="28" spans="1:55">
      <c r="A28" s="1" t="str">
        <f>IF(Setup!$B$5&gt;=128,"Round of 128 24","")</f>
        <v>Round of 128 24</v>
      </c>
      <c r="B28" s="1" t="str">
        <f>IF(Setup!$B$5=128,Teams!$B$48,"")</f>
        <v>Team 45</v>
      </c>
      <c r="C28" s="11"/>
      <c r="D28" s="1" t="str">
        <f>IF(Setup!$B$5=128,Teams!$B$87,"")</f>
        <v>Team 84</v>
      </c>
      <c r="E28" s="11"/>
      <c r="F28" s="12"/>
      <c r="G28" s="13" t="str">
        <f t="shared" si="0"/>
        <v/>
      </c>
      <c r="H28" s="1"/>
      <c r="I28" s="1" t="str">
        <f>IF(Setup!$B$5&gt;=64,"Round of 64 24","")</f>
        <v>Round of 64 24</v>
      </c>
      <c r="J28" s="1" t="str">
        <f>IF(Setup!$B$5=64,Teams!$B$26,IF(Setup!$B$5&gt;64,G51,""))</f>
        <v/>
      </c>
      <c r="K28" s="7"/>
      <c r="L28" s="1" t="str">
        <f>IF(Setup!$B$5=64,Teams!$B$45,IF(Setup!$B$5&gt;64,G52,""))</f>
        <v/>
      </c>
      <c r="M28" s="7"/>
      <c r="N28" s="4"/>
      <c r="O28" s="6" t="str">
        <f t="shared" si="1"/>
        <v/>
      </c>
      <c r="P28" s="1"/>
      <c r="Q28" s="1"/>
      <c r="R28" s="1"/>
      <c r="S28" s="8"/>
      <c r="T28" s="1"/>
      <c r="U28" s="8"/>
      <c r="V28" s="1"/>
      <c r="W28" s="1"/>
      <c r="X28" s="1"/>
      <c r="Y28" s="1"/>
      <c r="Z28" s="1"/>
      <c r="AA28" s="8"/>
      <c r="AB28" s="1"/>
      <c r="AC28" s="8"/>
      <c r="AD28" s="1"/>
      <c r="AE28" s="1"/>
      <c r="AF28" s="1"/>
      <c r="AG28" s="1"/>
      <c r="AH28" s="1"/>
      <c r="AI28" s="8"/>
      <c r="AJ28" s="1"/>
      <c r="AK28" s="8"/>
      <c r="AL28" s="1"/>
      <c r="AM28" s="1"/>
      <c r="AN28" s="1"/>
      <c r="AO28" s="1"/>
      <c r="AP28" s="1"/>
      <c r="AQ28" s="8"/>
      <c r="AR28" s="1"/>
      <c r="AS28" s="8"/>
      <c r="AT28" s="1"/>
      <c r="AU28" s="1"/>
      <c r="AV28" s="1"/>
      <c r="AW28" s="1"/>
      <c r="AX28" s="1"/>
      <c r="AY28" s="8"/>
      <c r="AZ28" s="1"/>
      <c r="BA28" s="8"/>
      <c r="BB28" s="1"/>
      <c r="BC28" s="1"/>
    </row>
    <row r="29" spans="1:55">
      <c r="A29" s="1" t="str">
        <f>IF(Setup!$B$5&gt;=128,"Round of 128 25","")</f>
        <v>Round of 128 25</v>
      </c>
      <c r="B29" s="1" t="str">
        <f>IF(Setup!$B$5=128,Teams!$B$8,"")</f>
        <v>Team 5</v>
      </c>
      <c r="C29" s="11"/>
      <c r="D29" s="1" t="str">
        <f>IF(Setup!$B$5=128,Teams!$B$127,"")</f>
        <v>Team 124</v>
      </c>
      <c r="E29" s="11"/>
      <c r="F29" s="12"/>
      <c r="G29" s="13" t="str">
        <f t="shared" si="0"/>
        <v/>
      </c>
      <c r="H29" s="1"/>
      <c r="I29" s="1" t="str">
        <f>IF(Setup!$B$5&gt;=64,"Round of 64 25","")</f>
        <v>Round of 64 25</v>
      </c>
      <c r="J29" s="1" t="str">
        <f>IF(Setup!$B$5=64,Teams!$B$6,IF(Setup!$B$5&gt;64,G53,""))</f>
        <v/>
      </c>
      <c r="K29" s="7"/>
      <c r="L29" s="1" t="str">
        <f>IF(Setup!$B$5=64,Teams!$B$65,IF(Setup!$B$5&gt;64,G54,""))</f>
        <v/>
      </c>
      <c r="M29" s="7"/>
      <c r="N29" s="4"/>
      <c r="O29" s="6" t="str">
        <f t="shared" si="1"/>
        <v/>
      </c>
      <c r="P29" s="1"/>
      <c r="Q29" s="1"/>
      <c r="R29" s="1"/>
      <c r="S29" s="8"/>
      <c r="T29" s="1"/>
      <c r="U29" s="8"/>
      <c r="V29" s="1"/>
      <c r="W29" s="1"/>
      <c r="X29" s="1"/>
      <c r="Y29" s="1"/>
      <c r="Z29" s="1"/>
      <c r="AA29" s="8"/>
      <c r="AB29" s="1"/>
      <c r="AC29" s="8"/>
      <c r="AD29" s="1"/>
      <c r="AE29" s="1"/>
      <c r="AF29" s="1"/>
      <c r="AG29" s="1"/>
      <c r="AH29" s="1"/>
      <c r="AI29" s="8"/>
      <c r="AJ29" s="1"/>
      <c r="AK29" s="8"/>
      <c r="AL29" s="1"/>
      <c r="AM29" s="1"/>
      <c r="AN29" s="1"/>
      <c r="AO29" s="1"/>
      <c r="AP29" s="1"/>
      <c r="AQ29" s="8"/>
      <c r="AR29" s="1"/>
      <c r="AS29" s="8"/>
      <c r="AT29" s="1"/>
      <c r="AU29" s="1"/>
      <c r="AV29" s="1"/>
      <c r="AW29" s="1"/>
      <c r="AX29" s="1"/>
      <c r="AY29" s="8"/>
      <c r="AZ29" s="1"/>
      <c r="BA29" s="8"/>
      <c r="BB29" s="1"/>
      <c r="BC29" s="1"/>
    </row>
    <row r="30" spans="1:55">
      <c r="A30" s="1" t="str">
        <f>IF(Setup!$B$5&gt;=128,"Round of 128 26","")</f>
        <v>Round of 128 26</v>
      </c>
      <c r="B30" s="1" t="str">
        <f>IF(Setup!$B$5=128,Teams!$B$63,"")</f>
        <v>Team 60</v>
      </c>
      <c r="C30" s="11"/>
      <c r="D30" s="1" t="str">
        <f>IF(Setup!$B$5=128,Teams!$B$72,"")</f>
        <v>Team 69</v>
      </c>
      <c r="E30" s="11"/>
      <c r="F30" s="12"/>
      <c r="G30" s="13" t="str">
        <f t="shared" si="0"/>
        <v/>
      </c>
      <c r="H30" s="1"/>
      <c r="I30" s="1" t="str">
        <f>IF(Setup!$B$5&gt;=64,"Round of 64 26","")</f>
        <v>Round of 64 26</v>
      </c>
      <c r="J30" s="1" t="str">
        <f>IF(Setup!$B$5=64,Teams!$B$33,IF(Setup!$B$5&gt;64,G55,""))</f>
        <v/>
      </c>
      <c r="K30" s="7"/>
      <c r="L30" s="1" t="str">
        <f>IF(Setup!$B$5=64,Teams!$B$38,IF(Setup!$B$5&gt;64,G56,""))</f>
        <v/>
      </c>
      <c r="M30" s="7"/>
      <c r="N30" s="4"/>
      <c r="O30" s="6" t="str">
        <f t="shared" si="1"/>
        <v/>
      </c>
      <c r="P30" s="1"/>
      <c r="Q30" s="1"/>
      <c r="R30" s="1"/>
      <c r="S30" s="8"/>
      <c r="T30" s="1"/>
      <c r="U30" s="8"/>
      <c r="V30" s="1"/>
      <c r="W30" s="1"/>
      <c r="X30" s="1"/>
      <c r="Y30" s="1"/>
      <c r="Z30" s="1"/>
      <c r="AA30" s="8"/>
      <c r="AB30" s="1"/>
      <c r="AC30" s="8"/>
      <c r="AD30" s="1"/>
      <c r="AE30" s="1"/>
      <c r="AF30" s="1"/>
      <c r="AG30" s="1"/>
      <c r="AH30" s="1"/>
      <c r="AI30" s="8"/>
      <c r="AJ30" s="1"/>
      <c r="AK30" s="8"/>
      <c r="AL30" s="1"/>
      <c r="AM30" s="1"/>
      <c r="AN30" s="1"/>
      <c r="AO30" s="1"/>
      <c r="AP30" s="1"/>
      <c r="AQ30" s="8"/>
      <c r="AR30" s="1"/>
      <c r="AS30" s="8"/>
      <c r="AT30" s="1"/>
      <c r="AU30" s="1"/>
      <c r="AV30" s="1"/>
      <c r="AW30" s="1"/>
      <c r="AX30" s="1"/>
      <c r="AY30" s="8"/>
      <c r="AZ30" s="1"/>
      <c r="BA30" s="8"/>
      <c r="BB30" s="1"/>
      <c r="BC30" s="1"/>
    </row>
    <row r="31" spans="1:55">
      <c r="A31" s="1" t="str">
        <f>IF(Setup!$B$5&gt;=128,"Round of 128 27","")</f>
        <v>Round of 128 27</v>
      </c>
      <c r="B31" s="1" t="str">
        <f>IF(Setup!$B$5=128,Teams!$B$31,"")</f>
        <v>Team 28</v>
      </c>
      <c r="C31" s="11"/>
      <c r="D31" s="1" t="str">
        <f>IF(Setup!$B$5=128,Teams!$B$104,"")</f>
        <v>Team 101</v>
      </c>
      <c r="E31" s="11"/>
      <c r="F31" s="12"/>
      <c r="G31" s="13" t="str">
        <f t="shared" si="0"/>
        <v/>
      </c>
      <c r="H31" s="1"/>
      <c r="I31" s="1" t="str">
        <f>IF(Setup!$B$5&gt;=64,"Round of 64 27","")</f>
        <v>Round of 64 27</v>
      </c>
      <c r="J31" s="1" t="str">
        <f>IF(Setup!$B$5=64,Teams!$B$17,IF(Setup!$B$5&gt;64,G57,""))</f>
        <v/>
      </c>
      <c r="K31" s="7"/>
      <c r="L31" s="1" t="str">
        <f>IF(Setup!$B$5=64,Teams!$B$54,IF(Setup!$B$5&gt;64,G58,""))</f>
        <v/>
      </c>
      <c r="M31" s="7"/>
      <c r="N31" s="4"/>
      <c r="O31" s="6" t="str">
        <f t="shared" si="1"/>
        <v/>
      </c>
      <c r="P31" s="1"/>
      <c r="Q31" s="1"/>
      <c r="R31" s="1"/>
      <c r="S31" s="8"/>
      <c r="T31" s="1"/>
      <c r="U31" s="8"/>
      <c r="V31" s="1"/>
      <c r="W31" s="1"/>
      <c r="X31" s="1"/>
      <c r="Y31" s="1"/>
      <c r="Z31" s="1"/>
      <c r="AA31" s="8"/>
      <c r="AB31" s="1"/>
      <c r="AC31" s="8"/>
      <c r="AD31" s="1"/>
      <c r="AE31" s="1"/>
      <c r="AF31" s="1"/>
      <c r="AG31" s="1"/>
      <c r="AH31" s="1"/>
      <c r="AI31" s="8"/>
      <c r="AJ31" s="1"/>
      <c r="AK31" s="8"/>
      <c r="AL31" s="1"/>
      <c r="AM31" s="1"/>
      <c r="AN31" s="1"/>
      <c r="AO31" s="1"/>
      <c r="AP31" s="1"/>
      <c r="AQ31" s="8"/>
      <c r="AR31" s="1"/>
      <c r="AS31" s="8"/>
      <c r="AT31" s="1"/>
      <c r="AU31" s="1"/>
      <c r="AV31" s="1"/>
      <c r="AW31" s="1"/>
      <c r="AX31" s="1"/>
      <c r="AY31" s="8"/>
      <c r="AZ31" s="1"/>
      <c r="BA31" s="8"/>
      <c r="BB31" s="1"/>
      <c r="BC31" s="1"/>
    </row>
    <row r="32" spans="1:55">
      <c r="A32" s="1" t="str">
        <f>IF(Setup!$B$5&gt;=128,"Round of 128 28","")</f>
        <v>Round of 128 28</v>
      </c>
      <c r="B32" s="1" t="str">
        <f>IF(Setup!$B$5=128,Teams!$B$40,"")</f>
        <v>Team 37</v>
      </c>
      <c r="C32" s="11"/>
      <c r="D32" s="1" t="str">
        <f>IF(Setup!$B$5=128,Teams!$B$95,"")</f>
        <v>Team 92</v>
      </c>
      <c r="E32" s="11"/>
      <c r="F32" s="12"/>
      <c r="G32" s="13" t="str">
        <f t="shared" si="0"/>
        <v/>
      </c>
      <c r="H32" s="1"/>
      <c r="I32" s="1" t="str">
        <f>IF(Setup!$B$5&gt;=64,"Round of 64 28","")</f>
        <v>Round of 64 28</v>
      </c>
      <c r="J32" s="1" t="str">
        <f>IF(Setup!$B$5=64,Teams!$B$22,IF(Setup!$B$5&gt;64,G59,""))</f>
        <v/>
      </c>
      <c r="K32" s="7"/>
      <c r="L32" s="1" t="str">
        <f>IF(Setup!$B$5=64,Teams!$B$49,IF(Setup!$B$5&gt;64,G60,""))</f>
        <v/>
      </c>
      <c r="M32" s="7"/>
      <c r="N32" s="4"/>
      <c r="O32" s="6" t="str">
        <f t="shared" si="1"/>
        <v/>
      </c>
      <c r="P32" s="1"/>
      <c r="Q32" s="1"/>
      <c r="R32" s="1"/>
      <c r="S32" s="8"/>
      <c r="T32" s="1"/>
      <c r="U32" s="8"/>
      <c r="V32" s="1"/>
      <c r="W32" s="1"/>
      <c r="X32" s="1"/>
      <c r="Y32" s="1"/>
      <c r="Z32" s="1"/>
      <c r="AA32" s="8"/>
      <c r="AB32" s="1"/>
      <c r="AC32" s="8"/>
      <c r="AD32" s="1"/>
      <c r="AE32" s="1"/>
      <c r="AF32" s="1"/>
      <c r="AG32" s="1"/>
      <c r="AH32" s="1"/>
      <c r="AI32" s="8"/>
      <c r="AJ32" s="1"/>
      <c r="AK32" s="8"/>
      <c r="AL32" s="1"/>
      <c r="AM32" s="1"/>
      <c r="AN32" s="1"/>
      <c r="AO32" s="1"/>
      <c r="AP32" s="1"/>
      <c r="AQ32" s="8"/>
      <c r="AR32" s="1"/>
      <c r="AS32" s="8"/>
      <c r="AT32" s="1"/>
      <c r="AU32" s="1"/>
      <c r="AV32" s="1"/>
      <c r="AW32" s="1"/>
      <c r="AX32" s="1"/>
      <c r="AY32" s="8"/>
      <c r="AZ32" s="1"/>
      <c r="BA32" s="8"/>
      <c r="BB32" s="1"/>
      <c r="BC32" s="1"/>
    </row>
    <row r="33" spans="1:55">
      <c r="A33" s="1" t="str">
        <f>IF(Setup!$B$5&gt;=128,"Round of 128 29","")</f>
        <v>Round of 128 29</v>
      </c>
      <c r="B33" s="1" t="str">
        <f>IF(Setup!$B$5=128,Teams!$B$15,"")</f>
        <v>Team 12</v>
      </c>
      <c r="C33" s="11"/>
      <c r="D33" s="1" t="str">
        <f>IF(Setup!$B$5=128,Teams!$B$120,"")</f>
        <v>Team 117</v>
      </c>
      <c r="E33" s="11"/>
      <c r="F33" s="12"/>
      <c r="G33" s="13" t="str">
        <f t="shared" si="0"/>
        <v/>
      </c>
      <c r="H33" s="1"/>
      <c r="I33" s="1" t="str">
        <f>IF(Setup!$B$5&gt;=64,"Round of 64 29","")</f>
        <v>Round of 64 29</v>
      </c>
      <c r="J33" s="1" t="str">
        <f>IF(Setup!$B$5=64,Teams!$B$9,IF(Setup!$B$5&gt;64,G61,""))</f>
        <v/>
      </c>
      <c r="K33" s="7"/>
      <c r="L33" s="1" t="str">
        <f>IF(Setup!$B$5=64,Teams!$B$62,IF(Setup!$B$5&gt;64,G62,""))</f>
        <v/>
      </c>
      <c r="M33" s="7"/>
      <c r="N33" s="4"/>
      <c r="O33" s="6" t="str">
        <f t="shared" si="1"/>
        <v/>
      </c>
      <c r="P33" s="1"/>
      <c r="Q33" s="1"/>
      <c r="R33" s="1"/>
      <c r="S33" s="8"/>
      <c r="T33" s="1"/>
      <c r="U33" s="8"/>
      <c r="V33" s="1"/>
      <c r="W33" s="1"/>
      <c r="X33" s="1"/>
      <c r="Y33" s="1"/>
      <c r="Z33" s="1"/>
      <c r="AA33" s="8"/>
      <c r="AB33" s="1"/>
      <c r="AC33" s="8"/>
      <c r="AD33" s="1"/>
      <c r="AE33" s="1"/>
      <c r="AF33" s="1"/>
      <c r="AG33" s="1"/>
      <c r="AH33" s="1"/>
      <c r="AI33" s="8"/>
      <c r="AJ33" s="1"/>
      <c r="AK33" s="8"/>
      <c r="AL33" s="1"/>
      <c r="AM33" s="1"/>
      <c r="AN33" s="1"/>
      <c r="AO33" s="1"/>
      <c r="AP33" s="1"/>
      <c r="AQ33" s="8"/>
      <c r="AR33" s="1"/>
      <c r="AS33" s="8"/>
      <c r="AT33" s="1"/>
      <c r="AU33" s="1"/>
      <c r="AV33" s="1"/>
      <c r="AW33" s="1"/>
      <c r="AX33" s="1"/>
      <c r="AY33" s="8"/>
      <c r="AZ33" s="1"/>
      <c r="BA33" s="8"/>
      <c r="BB33" s="1"/>
      <c r="BC33" s="1"/>
    </row>
    <row r="34" spans="1:55">
      <c r="A34" s="1" t="str">
        <f>IF(Setup!$B$5&gt;=128,"Round of 128 30","")</f>
        <v>Round of 128 30</v>
      </c>
      <c r="B34" s="1" t="str">
        <f>IF(Setup!$B$5=128,Teams!$B$56,"")</f>
        <v>Team 53</v>
      </c>
      <c r="C34" s="11"/>
      <c r="D34" s="1" t="str">
        <f>IF(Setup!$B$5=128,Teams!$B$79,"")</f>
        <v>Team 76</v>
      </c>
      <c r="E34" s="11"/>
      <c r="F34" s="12"/>
      <c r="G34" s="13" t="str">
        <f t="shared" si="0"/>
        <v/>
      </c>
      <c r="H34" s="1"/>
      <c r="I34" s="1" t="str">
        <f>IF(Setup!$B$5&gt;=64,"Round of 64 30","")</f>
        <v>Round of 64 30</v>
      </c>
      <c r="J34" s="1" t="str">
        <f>IF(Setup!$B$5=64,Teams!$B$30,IF(Setup!$B$5&gt;64,G63,""))</f>
        <v/>
      </c>
      <c r="K34" s="7"/>
      <c r="L34" s="1" t="str">
        <f>IF(Setup!$B$5=64,Teams!$B$41,IF(Setup!$B$5&gt;64,G64,""))</f>
        <v/>
      </c>
      <c r="M34" s="7"/>
      <c r="N34" s="4"/>
      <c r="O34" s="6" t="str">
        <f t="shared" si="1"/>
        <v/>
      </c>
      <c r="P34" s="1"/>
      <c r="Q34" s="1"/>
      <c r="R34" s="1"/>
      <c r="S34" s="8"/>
      <c r="T34" s="1"/>
      <c r="U34" s="8"/>
      <c r="V34" s="1"/>
      <c r="W34" s="1"/>
      <c r="X34" s="1"/>
      <c r="Y34" s="1"/>
      <c r="Z34" s="1"/>
      <c r="AA34" s="8"/>
      <c r="AB34" s="1"/>
      <c r="AC34" s="8"/>
      <c r="AD34" s="1"/>
      <c r="AE34" s="1"/>
      <c r="AF34" s="1"/>
      <c r="AG34" s="1"/>
      <c r="AH34" s="1"/>
      <c r="AI34" s="8"/>
      <c r="AJ34" s="1"/>
      <c r="AK34" s="8"/>
      <c r="AL34" s="1"/>
      <c r="AM34" s="1"/>
      <c r="AN34" s="1"/>
      <c r="AO34" s="1"/>
      <c r="AP34" s="1"/>
      <c r="AQ34" s="8"/>
      <c r="AR34" s="1"/>
      <c r="AS34" s="8"/>
      <c r="AT34" s="1"/>
      <c r="AU34" s="1"/>
      <c r="AV34" s="1"/>
      <c r="AW34" s="1"/>
      <c r="AX34" s="1"/>
      <c r="AY34" s="8"/>
      <c r="AZ34" s="1"/>
      <c r="BA34" s="8"/>
      <c r="BB34" s="1"/>
      <c r="BC34" s="1"/>
    </row>
    <row r="35" spans="1:55">
      <c r="A35" s="1" t="str">
        <f>IF(Setup!$B$5&gt;=128,"Round of 128 31","")</f>
        <v>Round of 128 31</v>
      </c>
      <c r="B35" s="1" t="str">
        <f>IF(Setup!$B$5=128,Teams!$B$24,"")</f>
        <v>Team 21</v>
      </c>
      <c r="C35" s="11"/>
      <c r="D35" s="1" t="str">
        <f>IF(Setup!$B$5=128,Teams!$B$111,"")</f>
        <v>Team 108</v>
      </c>
      <c r="E35" s="11"/>
      <c r="F35" s="12"/>
      <c r="G35" s="13" t="str">
        <f t="shared" si="0"/>
        <v/>
      </c>
      <c r="H35" s="1"/>
      <c r="I35" s="1" t="str">
        <f>IF(Setup!$B$5&gt;=64,"Round of 64 31","")</f>
        <v>Round of 64 31</v>
      </c>
      <c r="J35" s="1" t="str">
        <f>IF(Setup!$B$5=64,Teams!$B$14,IF(Setup!$B$5&gt;64,G65,""))</f>
        <v/>
      </c>
      <c r="K35" s="7"/>
      <c r="L35" s="1" t="str">
        <f>IF(Setup!$B$5=64,Teams!$B$57,IF(Setup!$B$5&gt;64,G66,""))</f>
        <v/>
      </c>
      <c r="M35" s="7"/>
      <c r="N35" s="4"/>
      <c r="O35" s="6" t="str">
        <f t="shared" si="1"/>
        <v/>
      </c>
      <c r="P35" s="1"/>
      <c r="Q35" s="1"/>
      <c r="R35" s="1"/>
      <c r="S35" s="8"/>
      <c r="T35" s="1"/>
      <c r="U35" s="8"/>
      <c r="V35" s="1"/>
      <c r="W35" s="1"/>
      <c r="X35" s="1"/>
      <c r="Y35" s="1"/>
      <c r="Z35" s="1"/>
      <c r="AA35" s="8"/>
      <c r="AB35" s="1"/>
      <c r="AC35" s="8"/>
      <c r="AD35" s="1"/>
      <c r="AE35" s="1"/>
      <c r="AF35" s="1"/>
      <c r="AG35" s="1"/>
      <c r="AH35" s="1"/>
      <c r="AI35" s="8"/>
      <c r="AJ35" s="1"/>
      <c r="AK35" s="8"/>
      <c r="AL35" s="1"/>
      <c r="AM35" s="1"/>
      <c r="AN35" s="1"/>
      <c r="AO35" s="1"/>
      <c r="AP35" s="1"/>
      <c r="AQ35" s="8"/>
      <c r="AR35" s="1"/>
      <c r="AS35" s="8"/>
      <c r="AT35" s="1"/>
      <c r="AU35" s="1"/>
      <c r="AV35" s="1"/>
      <c r="AW35" s="1"/>
      <c r="AX35" s="1"/>
      <c r="AY35" s="8"/>
      <c r="AZ35" s="1"/>
      <c r="BA35" s="8"/>
      <c r="BB35" s="1"/>
      <c r="BC35" s="1"/>
    </row>
    <row r="36" spans="1:55">
      <c r="A36" s="1" t="str">
        <f>IF(Setup!$B$5&gt;=128,"Round of 128 32","")</f>
        <v>Round of 128 32</v>
      </c>
      <c r="B36" s="1" t="str">
        <f>IF(Setup!$B$5=128,Teams!$B$47,"")</f>
        <v>Team 44</v>
      </c>
      <c r="C36" s="11"/>
      <c r="D36" s="1" t="str">
        <f>IF(Setup!$B$5=128,Teams!$B$88,"")</f>
        <v>Team 85</v>
      </c>
      <c r="E36" s="11"/>
      <c r="F36" s="12"/>
      <c r="G36" s="13" t="str">
        <f t="shared" si="0"/>
        <v/>
      </c>
      <c r="H36" s="1"/>
      <c r="I36" s="1" t="str">
        <f>IF(Setup!$B$5&gt;=64,"Round of 64 32","")</f>
        <v>Round of 64 32</v>
      </c>
      <c r="J36" s="1" t="str">
        <f>IF(Setup!$B$5=64,Teams!$B$25,IF(Setup!$B$5&gt;64,G67,""))</f>
        <v/>
      </c>
      <c r="K36" s="7"/>
      <c r="L36" s="1" t="str">
        <f>IF(Setup!$B$5=64,Teams!$B$46,IF(Setup!$B$5&gt;64,G68,""))</f>
        <v/>
      </c>
      <c r="M36" s="7"/>
      <c r="N36" s="4"/>
      <c r="O36" s="6" t="str">
        <f t="shared" si="1"/>
        <v/>
      </c>
      <c r="P36" s="1"/>
      <c r="Q36" s="1"/>
      <c r="R36" s="1"/>
      <c r="S36" s="8"/>
      <c r="T36" s="1"/>
      <c r="U36" s="8"/>
      <c r="V36" s="1"/>
      <c r="W36" s="1"/>
      <c r="X36" s="1"/>
      <c r="Y36" s="1"/>
      <c r="Z36" s="1"/>
      <c r="AA36" s="8"/>
      <c r="AB36" s="1"/>
      <c r="AC36" s="8"/>
      <c r="AD36" s="1"/>
      <c r="AE36" s="1"/>
      <c r="AF36" s="1"/>
      <c r="AG36" s="1"/>
      <c r="AH36" s="1"/>
      <c r="AI36" s="8"/>
      <c r="AJ36" s="1"/>
      <c r="AK36" s="8"/>
      <c r="AL36" s="1"/>
      <c r="AM36" s="1"/>
      <c r="AN36" s="1"/>
      <c r="AO36" s="1"/>
      <c r="AP36" s="1"/>
      <c r="AQ36" s="8"/>
      <c r="AR36" s="1"/>
      <c r="AS36" s="8"/>
      <c r="AT36" s="1"/>
      <c r="AU36" s="1"/>
      <c r="AV36" s="1"/>
      <c r="AW36" s="1"/>
      <c r="AX36" s="1"/>
      <c r="AY36" s="8"/>
      <c r="AZ36" s="1"/>
      <c r="BA36" s="8"/>
      <c r="BB36" s="1"/>
      <c r="BC36" s="1"/>
    </row>
    <row r="37" spans="1:55">
      <c r="A37" s="1" t="str">
        <f>IF(Setup!$B$5&gt;=128,"Round of 128 33","")</f>
        <v>Round of 128 33</v>
      </c>
      <c r="B37" s="1" t="str">
        <f>IF(Setup!$B$5=128,Teams!$B$5,"")</f>
        <v>Team 2</v>
      </c>
      <c r="C37" s="11"/>
      <c r="D37" s="1" t="str">
        <f>IF(Setup!$B$5=128,Teams!$B$130,"")</f>
        <v>Team 127</v>
      </c>
      <c r="E37" s="11"/>
      <c r="F37" s="12"/>
      <c r="G37" s="13" t="str">
        <f t="shared" ref="G37:G68" si="4">IF(F37&lt;&gt;"",F37,IF(OR(B37="",D37="",NOT(ISNUMBER(C37)),NOT(ISNUMBER(E37)),C37=E37),"",IF(C37&gt;E37,B37,D37)))</f>
        <v/>
      </c>
      <c r="H37" s="1"/>
      <c r="I37" s="1"/>
      <c r="J37" s="1"/>
      <c r="K37" s="8"/>
      <c r="L37" s="1"/>
      <c r="M37" s="8"/>
      <c r="N37" s="1"/>
      <c r="O37" s="1"/>
      <c r="P37" s="1"/>
      <c r="Q37" s="1"/>
      <c r="R37" s="1"/>
      <c r="S37" s="8"/>
      <c r="T37" s="1"/>
      <c r="U37" s="8"/>
      <c r="V37" s="1"/>
      <c r="W37" s="1"/>
      <c r="X37" s="1"/>
      <c r="Y37" s="1"/>
      <c r="Z37" s="1"/>
      <c r="AA37" s="8"/>
      <c r="AB37" s="1"/>
      <c r="AC37" s="8"/>
      <c r="AD37" s="1"/>
      <c r="AE37" s="1"/>
      <c r="AF37" s="1"/>
      <c r="AG37" s="1"/>
      <c r="AH37" s="1"/>
      <c r="AI37" s="8"/>
      <c r="AJ37" s="1"/>
      <c r="AK37" s="8"/>
      <c r="AL37" s="1"/>
      <c r="AM37" s="1"/>
      <c r="AN37" s="1"/>
      <c r="AO37" s="1"/>
      <c r="AP37" s="1"/>
      <c r="AQ37" s="8"/>
      <c r="AR37" s="1"/>
      <c r="AS37" s="8"/>
      <c r="AT37" s="1"/>
      <c r="AU37" s="1"/>
      <c r="AV37" s="1"/>
      <c r="AW37" s="1"/>
      <c r="AX37" s="1"/>
      <c r="AY37" s="8"/>
      <c r="AZ37" s="1"/>
      <c r="BA37" s="8"/>
      <c r="BB37" s="1"/>
      <c r="BC37" s="1"/>
    </row>
    <row r="38" spans="1:55">
      <c r="A38" s="1" t="str">
        <f>IF(Setup!$B$5&gt;=128,"Round of 128 34","")</f>
        <v>Round of 128 34</v>
      </c>
      <c r="B38" s="1" t="str">
        <f>IF(Setup!$B$5=128,Teams!$B$66,"")</f>
        <v>Team 63</v>
      </c>
      <c r="C38" s="11"/>
      <c r="D38" s="1" t="str">
        <f>IF(Setup!$B$5=128,Teams!$B$69,"")</f>
        <v>Team 66</v>
      </c>
      <c r="E38" s="11"/>
      <c r="F38" s="12"/>
      <c r="G38" s="13" t="str">
        <f t="shared" si="4"/>
        <v/>
      </c>
      <c r="H38" s="1"/>
      <c r="I38" s="1"/>
      <c r="J38" s="1"/>
      <c r="K38" s="8"/>
      <c r="L38" s="1"/>
      <c r="M38" s="8"/>
      <c r="N38" s="1"/>
      <c r="O38" s="1"/>
      <c r="P38" s="1"/>
      <c r="Q38" s="1"/>
      <c r="R38" s="1"/>
      <c r="S38" s="8"/>
      <c r="T38" s="1"/>
      <c r="U38" s="8"/>
      <c r="V38" s="1"/>
      <c r="W38" s="1"/>
      <c r="X38" s="1"/>
      <c r="Y38" s="1"/>
      <c r="Z38" s="1"/>
      <c r="AA38" s="8"/>
      <c r="AB38" s="1"/>
      <c r="AC38" s="8"/>
      <c r="AD38" s="1"/>
      <c r="AE38" s="1"/>
      <c r="AF38" s="1"/>
      <c r="AG38" s="1"/>
      <c r="AH38" s="1"/>
      <c r="AI38" s="8"/>
      <c r="AJ38" s="1"/>
      <c r="AK38" s="8"/>
      <c r="AL38" s="1"/>
      <c r="AM38" s="1"/>
      <c r="AN38" s="1"/>
      <c r="AO38" s="1"/>
      <c r="AP38" s="1"/>
      <c r="AQ38" s="8"/>
      <c r="AR38" s="1"/>
      <c r="AS38" s="8"/>
      <c r="AT38" s="1"/>
      <c r="AU38" s="1"/>
      <c r="AV38" s="1"/>
      <c r="AW38" s="1"/>
      <c r="AX38" s="1"/>
      <c r="AY38" s="8"/>
      <c r="AZ38" s="1"/>
      <c r="BA38" s="8"/>
      <c r="BB38" s="1"/>
      <c r="BC38" s="1"/>
    </row>
    <row r="39" spans="1:55">
      <c r="A39" s="1" t="str">
        <f>IF(Setup!$B$5&gt;=128,"Round of 128 35","")</f>
        <v>Round of 128 35</v>
      </c>
      <c r="B39" s="1" t="str">
        <f>IF(Setup!$B$5=128,Teams!$B$34,"")</f>
        <v>Team 31</v>
      </c>
      <c r="C39" s="11"/>
      <c r="D39" s="1" t="str">
        <f>IF(Setup!$B$5=128,Teams!$B$101,"")</f>
        <v>Team 98</v>
      </c>
      <c r="E39" s="11"/>
      <c r="F39" s="12"/>
      <c r="G39" s="13" t="str">
        <f t="shared" si="4"/>
        <v/>
      </c>
      <c r="H39" s="1"/>
      <c r="I39" s="1"/>
      <c r="J39" s="1"/>
      <c r="K39" s="8"/>
      <c r="L39" s="1"/>
      <c r="M39" s="8"/>
      <c r="N39" s="1"/>
      <c r="O39" s="1"/>
      <c r="P39" s="1"/>
      <c r="Q39" s="1"/>
      <c r="R39" s="1"/>
      <c r="S39" s="8"/>
      <c r="T39" s="1"/>
      <c r="U39" s="8"/>
      <c r="V39" s="1"/>
      <c r="W39" s="1"/>
      <c r="X39" s="1"/>
      <c r="Y39" s="1"/>
      <c r="Z39" s="1"/>
      <c r="AA39" s="8"/>
      <c r="AB39" s="1"/>
      <c r="AC39" s="8"/>
      <c r="AD39" s="1"/>
      <c r="AE39" s="1"/>
      <c r="AF39" s="1"/>
      <c r="AG39" s="1"/>
      <c r="AH39" s="1"/>
      <c r="AI39" s="8"/>
      <c r="AJ39" s="1"/>
      <c r="AK39" s="8"/>
      <c r="AL39" s="1"/>
      <c r="AM39" s="1"/>
      <c r="AN39" s="1"/>
      <c r="AO39" s="1"/>
      <c r="AP39" s="1"/>
      <c r="AQ39" s="8"/>
      <c r="AR39" s="1"/>
      <c r="AS39" s="8"/>
      <c r="AT39" s="1"/>
      <c r="AU39" s="1"/>
      <c r="AV39" s="1"/>
      <c r="AW39" s="1"/>
      <c r="AX39" s="1"/>
      <c r="AY39" s="8"/>
      <c r="AZ39" s="1"/>
      <c r="BA39" s="8"/>
      <c r="BB39" s="1"/>
      <c r="BC39" s="1"/>
    </row>
    <row r="40" spans="1:55">
      <c r="A40" s="1" t="str">
        <f>IF(Setup!$B$5&gt;=128,"Round of 128 36","")</f>
        <v>Round of 128 36</v>
      </c>
      <c r="B40" s="1" t="str">
        <f>IF(Setup!$B$5=128,Teams!$B$37,"")</f>
        <v>Team 34</v>
      </c>
      <c r="C40" s="11"/>
      <c r="D40" s="1" t="str">
        <f>IF(Setup!$B$5=128,Teams!$B$98,"")</f>
        <v>Team 95</v>
      </c>
      <c r="E40" s="11"/>
      <c r="F40" s="12"/>
      <c r="G40" s="13" t="str">
        <f t="shared" si="4"/>
        <v/>
      </c>
      <c r="H40" s="1"/>
      <c r="I40" s="1"/>
      <c r="J40" s="1"/>
      <c r="K40" s="8"/>
      <c r="L40" s="1"/>
      <c r="M40" s="8"/>
      <c r="N40" s="1"/>
      <c r="O40" s="1"/>
      <c r="P40" s="1"/>
      <c r="Q40" s="1"/>
      <c r="R40" s="1"/>
      <c r="S40" s="8"/>
      <c r="T40" s="1"/>
      <c r="U40" s="8"/>
      <c r="V40" s="1"/>
      <c r="W40" s="1"/>
      <c r="X40" s="1"/>
      <c r="Y40" s="1"/>
      <c r="Z40" s="1"/>
      <c r="AA40" s="8"/>
      <c r="AB40" s="1"/>
      <c r="AC40" s="8"/>
      <c r="AD40" s="1"/>
      <c r="AE40" s="1"/>
      <c r="AF40" s="1"/>
      <c r="AG40" s="1"/>
      <c r="AH40" s="1"/>
      <c r="AI40" s="8"/>
      <c r="AJ40" s="1"/>
      <c r="AK40" s="8"/>
      <c r="AL40" s="1"/>
      <c r="AM40" s="1"/>
      <c r="AN40" s="1"/>
      <c r="AO40" s="1"/>
      <c r="AP40" s="1"/>
      <c r="AQ40" s="8"/>
      <c r="AR40" s="1"/>
      <c r="AS40" s="8"/>
      <c r="AT40" s="1"/>
      <c r="AU40" s="1"/>
      <c r="AV40" s="1"/>
      <c r="AW40" s="1"/>
      <c r="AX40" s="1"/>
      <c r="AY40" s="8"/>
      <c r="AZ40" s="1"/>
      <c r="BA40" s="8"/>
      <c r="BB40" s="1"/>
      <c r="BC40" s="1"/>
    </row>
    <row r="41" spans="1:55">
      <c r="A41" s="1" t="str">
        <f>IF(Setup!$B$5&gt;=128,"Round of 128 37","")</f>
        <v>Round of 128 37</v>
      </c>
      <c r="B41" s="1" t="str">
        <f>IF(Setup!$B$5=128,Teams!$B$18,"")</f>
        <v>Team 15</v>
      </c>
      <c r="C41" s="11"/>
      <c r="D41" s="1" t="str">
        <f>IF(Setup!$B$5=128,Teams!$B$117,"")</f>
        <v>Team 114</v>
      </c>
      <c r="E41" s="11"/>
      <c r="F41" s="12"/>
      <c r="G41" s="13" t="str">
        <f t="shared" si="4"/>
        <v/>
      </c>
      <c r="H41" s="1"/>
      <c r="I41" s="1"/>
      <c r="J41" s="1"/>
      <c r="K41" s="8"/>
      <c r="L41" s="1"/>
      <c r="M41" s="8"/>
      <c r="N41" s="1"/>
      <c r="O41" s="1"/>
      <c r="P41" s="1"/>
      <c r="Q41" s="1"/>
      <c r="R41" s="1"/>
      <c r="S41" s="8"/>
      <c r="T41" s="1"/>
      <c r="U41" s="8"/>
      <c r="V41" s="1"/>
      <c r="W41" s="1"/>
      <c r="X41" s="1"/>
      <c r="Y41" s="1"/>
      <c r="Z41" s="1"/>
      <c r="AA41" s="8"/>
      <c r="AB41" s="1"/>
      <c r="AC41" s="8"/>
      <c r="AD41" s="1"/>
      <c r="AE41" s="1"/>
      <c r="AF41" s="1"/>
      <c r="AG41" s="1"/>
      <c r="AH41" s="1"/>
      <c r="AI41" s="8"/>
      <c r="AJ41" s="1"/>
      <c r="AK41" s="8"/>
      <c r="AL41" s="1"/>
      <c r="AM41" s="1"/>
      <c r="AN41" s="1"/>
      <c r="AO41" s="1"/>
      <c r="AP41" s="1"/>
      <c r="AQ41" s="8"/>
      <c r="AR41" s="1"/>
      <c r="AS41" s="8"/>
      <c r="AT41" s="1"/>
      <c r="AU41" s="1"/>
      <c r="AV41" s="1"/>
      <c r="AW41" s="1"/>
      <c r="AX41" s="1"/>
      <c r="AY41" s="8"/>
      <c r="AZ41" s="1"/>
      <c r="BA41" s="8"/>
      <c r="BB41" s="1"/>
      <c r="BC41" s="1"/>
    </row>
    <row r="42" spans="1:55">
      <c r="A42" s="1" t="str">
        <f>IF(Setup!$B$5&gt;=128,"Round of 128 38","")</f>
        <v>Round of 128 38</v>
      </c>
      <c r="B42" s="1" t="str">
        <f>IF(Setup!$B$5=128,Teams!$B$53,"")</f>
        <v>Team 50</v>
      </c>
      <c r="C42" s="11"/>
      <c r="D42" s="1" t="str">
        <f>IF(Setup!$B$5=128,Teams!$B$82,"")</f>
        <v>Team 79</v>
      </c>
      <c r="E42" s="11"/>
      <c r="F42" s="12"/>
      <c r="G42" s="13" t="str">
        <f t="shared" si="4"/>
        <v/>
      </c>
      <c r="H42" s="1"/>
      <c r="I42" s="1"/>
      <c r="J42" s="1"/>
      <c r="K42" s="8"/>
      <c r="L42" s="1"/>
      <c r="M42" s="8"/>
      <c r="N42" s="1"/>
      <c r="O42" s="1"/>
      <c r="P42" s="1"/>
      <c r="Q42" s="1"/>
      <c r="R42" s="1"/>
      <c r="S42" s="8"/>
      <c r="T42" s="1"/>
      <c r="U42" s="8"/>
      <c r="V42" s="1"/>
      <c r="W42" s="1"/>
      <c r="X42" s="1"/>
      <c r="Y42" s="1"/>
      <c r="Z42" s="1"/>
      <c r="AA42" s="8"/>
      <c r="AB42" s="1"/>
      <c r="AC42" s="8"/>
      <c r="AD42" s="1"/>
      <c r="AE42" s="1"/>
      <c r="AF42" s="1"/>
      <c r="AG42" s="1"/>
      <c r="AH42" s="1"/>
      <c r="AI42" s="8"/>
      <c r="AJ42" s="1"/>
      <c r="AK42" s="8"/>
      <c r="AL42" s="1"/>
      <c r="AM42" s="1"/>
      <c r="AN42" s="1"/>
      <c r="AO42" s="1"/>
      <c r="AP42" s="1"/>
      <c r="AQ42" s="8"/>
      <c r="AR42" s="1"/>
      <c r="AS42" s="8"/>
      <c r="AT42" s="1"/>
      <c r="AU42" s="1"/>
      <c r="AV42" s="1"/>
      <c r="AW42" s="1"/>
      <c r="AX42" s="1"/>
      <c r="AY42" s="8"/>
      <c r="AZ42" s="1"/>
      <c r="BA42" s="8"/>
      <c r="BB42" s="1"/>
      <c r="BC42" s="1"/>
    </row>
    <row r="43" spans="1:55">
      <c r="A43" s="1" t="str">
        <f>IF(Setup!$B$5&gt;=128,"Round of 128 39","")</f>
        <v>Round of 128 39</v>
      </c>
      <c r="B43" s="1" t="str">
        <f>IF(Setup!$B$5=128,Teams!$B$21,"")</f>
        <v>Team 18</v>
      </c>
      <c r="C43" s="11"/>
      <c r="D43" s="1" t="str">
        <f>IF(Setup!$B$5=128,Teams!$B$114,"")</f>
        <v>Team 111</v>
      </c>
      <c r="E43" s="11"/>
      <c r="F43" s="12"/>
      <c r="G43" s="13" t="str">
        <f t="shared" si="4"/>
        <v/>
      </c>
      <c r="H43" s="1"/>
      <c r="I43" s="1"/>
      <c r="J43" s="1"/>
      <c r="K43" s="8"/>
      <c r="L43" s="1"/>
      <c r="M43" s="8"/>
      <c r="N43" s="1"/>
      <c r="O43" s="1"/>
      <c r="P43" s="1"/>
      <c r="Q43" s="1"/>
      <c r="R43" s="1"/>
      <c r="S43" s="8"/>
      <c r="T43" s="1"/>
      <c r="U43" s="8"/>
      <c r="V43" s="1"/>
      <c r="W43" s="1"/>
      <c r="X43" s="1"/>
      <c r="Y43" s="1"/>
      <c r="Z43" s="1"/>
      <c r="AA43" s="8"/>
      <c r="AB43" s="1"/>
      <c r="AC43" s="8"/>
      <c r="AD43" s="1"/>
      <c r="AE43" s="1"/>
      <c r="AF43" s="1"/>
      <c r="AG43" s="1"/>
      <c r="AH43" s="1"/>
      <c r="AI43" s="8"/>
      <c r="AJ43" s="1"/>
      <c r="AK43" s="8"/>
      <c r="AL43" s="1"/>
      <c r="AM43" s="1"/>
      <c r="AN43" s="1"/>
      <c r="AO43" s="1"/>
      <c r="AP43" s="1"/>
      <c r="AQ43" s="8"/>
      <c r="AR43" s="1"/>
      <c r="AS43" s="8"/>
      <c r="AT43" s="1"/>
      <c r="AU43" s="1"/>
      <c r="AV43" s="1"/>
      <c r="AW43" s="1"/>
      <c r="AX43" s="1"/>
      <c r="AY43" s="8"/>
      <c r="AZ43" s="1"/>
      <c r="BA43" s="8"/>
      <c r="BB43" s="1"/>
      <c r="BC43" s="1"/>
    </row>
    <row r="44" spans="1:55">
      <c r="A44" s="1" t="str">
        <f>IF(Setup!$B$5&gt;=128,"Round of 128 40","")</f>
        <v>Round of 128 40</v>
      </c>
      <c r="B44" s="1" t="str">
        <f>IF(Setup!$B$5=128,Teams!$B$50,"")</f>
        <v>Team 47</v>
      </c>
      <c r="C44" s="11"/>
      <c r="D44" s="1" t="str">
        <f>IF(Setup!$B$5=128,Teams!$B$85,"")</f>
        <v>Team 82</v>
      </c>
      <c r="E44" s="11"/>
      <c r="F44" s="12"/>
      <c r="G44" s="13" t="str">
        <f t="shared" si="4"/>
        <v/>
      </c>
      <c r="H44" s="1"/>
      <c r="I44" s="1"/>
      <c r="J44" s="1"/>
      <c r="K44" s="8"/>
      <c r="L44" s="1"/>
      <c r="M44" s="8"/>
      <c r="N44" s="1"/>
      <c r="O44" s="1"/>
      <c r="P44" s="1"/>
      <c r="Q44" s="1"/>
      <c r="R44" s="1"/>
      <c r="S44" s="8"/>
      <c r="T44" s="1"/>
      <c r="U44" s="8"/>
      <c r="V44" s="1"/>
      <c r="W44" s="1"/>
      <c r="X44" s="1"/>
      <c r="Y44" s="1"/>
      <c r="Z44" s="1"/>
      <c r="AA44" s="8"/>
      <c r="AB44" s="1"/>
      <c r="AC44" s="8"/>
      <c r="AD44" s="1"/>
      <c r="AE44" s="1"/>
      <c r="AF44" s="1"/>
      <c r="AG44" s="1"/>
      <c r="AH44" s="1"/>
      <c r="AI44" s="8"/>
      <c r="AJ44" s="1"/>
      <c r="AK44" s="8"/>
      <c r="AL44" s="1"/>
      <c r="AM44" s="1"/>
      <c r="AN44" s="1"/>
      <c r="AO44" s="1"/>
      <c r="AP44" s="1"/>
      <c r="AQ44" s="8"/>
      <c r="AR44" s="1"/>
      <c r="AS44" s="8"/>
      <c r="AT44" s="1"/>
      <c r="AU44" s="1"/>
      <c r="AV44" s="1"/>
      <c r="AW44" s="1"/>
      <c r="AX44" s="1"/>
      <c r="AY44" s="8"/>
      <c r="AZ44" s="1"/>
      <c r="BA44" s="8"/>
      <c r="BB44" s="1"/>
      <c r="BC44" s="1"/>
    </row>
    <row r="45" spans="1:55">
      <c r="A45" s="1" t="str">
        <f>IF(Setup!$B$5&gt;=128,"Round of 128 41","")</f>
        <v>Round of 128 41</v>
      </c>
      <c r="B45" s="1" t="str">
        <f>IF(Setup!$B$5=128,Teams!$B$10,"")</f>
        <v>Team 7</v>
      </c>
      <c r="C45" s="11"/>
      <c r="D45" s="1" t="str">
        <f>IF(Setup!$B$5=128,Teams!$B$125,"")</f>
        <v>Team 122</v>
      </c>
      <c r="E45" s="11"/>
      <c r="F45" s="12"/>
      <c r="G45" s="13" t="str">
        <f t="shared" si="4"/>
        <v/>
      </c>
      <c r="H45" s="1"/>
      <c r="I45" s="1"/>
      <c r="J45" s="1"/>
      <c r="K45" s="8"/>
      <c r="L45" s="1"/>
      <c r="M45" s="8"/>
      <c r="N45" s="1"/>
      <c r="O45" s="1"/>
      <c r="P45" s="1"/>
      <c r="Q45" s="1"/>
      <c r="R45" s="1"/>
      <c r="S45" s="8"/>
      <c r="T45" s="1"/>
      <c r="U45" s="8"/>
      <c r="V45" s="1"/>
      <c r="W45" s="1"/>
      <c r="X45" s="1"/>
      <c r="Y45" s="1"/>
      <c r="Z45" s="1"/>
      <c r="AA45" s="8"/>
      <c r="AB45" s="1"/>
      <c r="AC45" s="8"/>
      <c r="AD45" s="1"/>
      <c r="AE45" s="1"/>
      <c r="AF45" s="1"/>
      <c r="AG45" s="1"/>
      <c r="AH45" s="1"/>
      <c r="AI45" s="8"/>
      <c r="AJ45" s="1"/>
      <c r="AK45" s="8"/>
      <c r="AL45" s="1"/>
      <c r="AM45" s="1"/>
      <c r="AN45" s="1"/>
      <c r="AO45" s="1"/>
      <c r="AP45" s="1"/>
      <c r="AQ45" s="8"/>
      <c r="AR45" s="1"/>
      <c r="AS45" s="8"/>
      <c r="AT45" s="1"/>
      <c r="AU45" s="1"/>
      <c r="AV45" s="1"/>
      <c r="AW45" s="1"/>
      <c r="AX45" s="1"/>
      <c r="AY45" s="8"/>
      <c r="AZ45" s="1"/>
      <c r="BA45" s="8"/>
      <c r="BB45" s="1"/>
      <c r="BC45" s="1"/>
    </row>
    <row r="46" spans="1:55">
      <c r="A46" s="1" t="str">
        <f>IF(Setup!$B$5&gt;=128,"Round of 128 42","")</f>
        <v>Round of 128 42</v>
      </c>
      <c r="B46" s="1" t="str">
        <f>IF(Setup!$B$5=128,Teams!$B$61,"")</f>
        <v>Team 58</v>
      </c>
      <c r="C46" s="11"/>
      <c r="D46" s="1" t="str">
        <f>IF(Setup!$B$5=128,Teams!$B$74,"")</f>
        <v>Team 71</v>
      </c>
      <c r="E46" s="11"/>
      <c r="F46" s="12"/>
      <c r="G46" s="13" t="str">
        <f t="shared" si="4"/>
        <v/>
      </c>
      <c r="H46" s="1"/>
      <c r="I46" s="1"/>
      <c r="J46" s="1"/>
      <c r="K46" s="8"/>
      <c r="L46" s="1"/>
      <c r="M46" s="8"/>
      <c r="N46" s="1"/>
      <c r="O46" s="1"/>
      <c r="P46" s="1"/>
      <c r="Q46" s="1"/>
      <c r="R46" s="1"/>
      <c r="S46" s="8"/>
      <c r="T46" s="1"/>
      <c r="U46" s="8"/>
      <c r="V46" s="1"/>
      <c r="W46" s="1"/>
      <c r="X46" s="1"/>
      <c r="Y46" s="1"/>
      <c r="Z46" s="1"/>
      <c r="AA46" s="8"/>
      <c r="AB46" s="1"/>
      <c r="AC46" s="8"/>
      <c r="AD46" s="1"/>
      <c r="AE46" s="1"/>
      <c r="AF46" s="1"/>
      <c r="AG46" s="1"/>
      <c r="AH46" s="1"/>
      <c r="AI46" s="8"/>
      <c r="AJ46" s="1"/>
      <c r="AK46" s="8"/>
      <c r="AL46" s="1"/>
      <c r="AM46" s="1"/>
      <c r="AN46" s="1"/>
      <c r="AO46" s="1"/>
      <c r="AP46" s="1"/>
      <c r="AQ46" s="8"/>
      <c r="AR46" s="1"/>
      <c r="AS46" s="8"/>
      <c r="AT46" s="1"/>
      <c r="AU46" s="1"/>
      <c r="AV46" s="1"/>
      <c r="AW46" s="1"/>
      <c r="AX46" s="1"/>
      <c r="AY46" s="8"/>
      <c r="AZ46" s="1"/>
      <c r="BA46" s="8"/>
      <c r="BB46" s="1"/>
      <c r="BC46" s="1"/>
    </row>
    <row r="47" spans="1:55">
      <c r="A47" s="1" t="str">
        <f>IF(Setup!$B$5&gt;=128,"Round of 128 43","")</f>
        <v>Round of 128 43</v>
      </c>
      <c r="B47" s="1" t="str">
        <f>IF(Setup!$B$5=128,Teams!$B$29,"")</f>
        <v>Team 26</v>
      </c>
      <c r="C47" s="11"/>
      <c r="D47" s="1" t="str">
        <f>IF(Setup!$B$5=128,Teams!$B$106,"")</f>
        <v>Team 103</v>
      </c>
      <c r="E47" s="11"/>
      <c r="F47" s="12"/>
      <c r="G47" s="13" t="str">
        <f t="shared" si="4"/>
        <v/>
      </c>
      <c r="H47" s="1"/>
      <c r="I47" s="1"/>
      <c r="J47" s="1"/>
      <c r="K47" s="8"/>
      <c r="L47" s="1"/>
      <c r="M47" s="8"/>
      <c r="N47" s="1"/>
      <c r="O47" s="1"/>
      <c r="P47" s="1"/>
      <c r="Q47" s="1"/>
      <c r="R47" s="1"/>
      <c r="S47" s="8"/>
      <c r="T47" s="1"/>
      <c r="U47" s="8"/>
      <c r="V47" s="1"/>
      <c r="W47" s="1"/>
      <c r="X47" s="1"/>
      <c r="Y47" s="1"/>
      <c r="Z47" s="1"/>
      <c r="AA47" s="8"/>
      <c r="AB47" s="1"/>
      <c r="AC47" s="8"/>
      <c r="AD47" s="1"/>
      <c r="AE47" s="1"/>
      <c r="AF47" s="1"/>
      <c r="AG47" s="1"/>
      <c r="AH47" s="1"/>
      <c r="AI47" s="8"/>
      <c r="AJ47" s="1"/>
      <c r="AK47" s="8"/>
      <c r="AL47" s="1"/>
      <c r="AM47" s="1"/>
      <c r="AN47" s="1"/>
      <c r="AO47" s="1"/>
      <c r="AP47" s="1"/>
      <c r="AQ47" s="8"/>
      <c r="AR47" s="1"/>
      <c r="AS47" s="8"/>
      <c r="AT47" s="1"/>
      <c r="AU47" s="1"/>
      <c r="AV47" s="1"/>
      <c r="AW47" s="1"/>
      <c r="AX47" s="1"/>
      <c r="AY47" s="8"/>
      <c r="AZ47" s="1"/>
      <c r="BA47" s="8"/>
      <c r="BB47" s="1"/>
      <c r="BC47" s="1"/>
    </row>
    <row r="48" spans="1:55">
      <c r="A48" s="1" t="str">
        <f>IF(Setup!$B$5&gt;=128,"Round of 128 44","")</f>
        <v>Round of 128 44</v>
      </c>
      <c r="B48" s="1" t="str">
        <f>IF(Setup!$B$5=128,Teams!$B$42,"")</f>
        <v>Team 39</v>
      </c>
      <c r="C48" s="11"/>
      <c r="D48" s="1" t="str">
        <f>IF(Setup!$B$5=128,Teams!$B$93,"")</f>
        <v>Team 90</v>
      </c>
      <c r="E48" s="11"/>
      <c r="F48" s="12"/>
      <c r="G48" s="13" t="str">
        <f t="shared" si="4"/>
        <v/>
      </c>
      <c r="H48" s="1"/>
      <c r="I48" s="1"/>
      <c r="J48" s="1"/>
      <c r="K48" s="8"/>
      <c r="L48" s="1"/>
      <c r="M48" s="8"/>
      <c r="N48" s="1"/>
      <c r="O48" s="1"/>
      <c r="P48" s="1"/>
      <c r="Q48" s="1"/>
      <c r="R48" s="1"/>
      <c r="S48" s="8"/>
      <c r="T48" s="1"/>
      <c r="U48" s="8"/>
      <c r="V48" s="1"/>
      <c r="W48" s="1"/>
      <c r="X48" s="1"/>
      <c r="Y48" s="1"/>
      <c r="Z48" s="1"/>
      <c r="AA48" s="8"/>
      <c r="AB48" s="1"/>
      <c r="AC48" s="8"/>
      <c r="AD48" s="1"/>
      <c r="AE48" s="1"/>
      <c r="AF48" s="1"/>
      <c r="AG48" s="1"/>
      <c r="AH48" s="1"/>
      <c r="AI48" s="8"/>
      <c r="AJ48" s="1"/>
      <c r="AK48" s="8"/>
      <c r="AL48" s="1"/>
      <c r="AM48" s="1"/>
      <c r="AN48" s="1"/>
      <c r="AO48" s="1"/>
      <c r="AP48" s="1"/>
      <c r="AQ48" s="8"/>
      <c r="AR48" s="1"/>
      <c r="AS48" s="8"/>
      <c r="AT48" s="1"/>
      <c r="AU48" s="1"/>
      <c r="AV48" s="1"/>
      <c r="AW48" s="1"/>
      <c r="AX48" s="1"/>
      <c r="AY48" s="8"/>
      <c r="AZ48" s="1"/>
      <c r="BA48" s="8"/>
      <c r="BB48" s="1"/>
      <c r="BC48" s="1"/>
    </row>
    <row r="49" spans="1:55">
      <c r="A49" s="1" t="str">
        <f>IF(Setup!$B$5&gt;=128,"Round of 128 45","")</f>
        <v>Round of 128 45</v>
      </c>
      <c r="B49" s="1" t="str">
        <f>IF(Setup!$B$5=128,Teams!$B$13,"")</f>
        <v>Team 10</v>
      </c>
      <c r="C49" s="11"/>
      <c r="D49" s="1" t="str">
        <f>IF(Setup!$B$5=128,Teams!$B$122,"")</f>
        <v>Team 119</v>
      </c>
      <c r="E49" s="11"/>
      <c r="F49" s="12"/>
      <c r="G49" s="13" t="str">
        <f t="shared" si="4"/>
        <v/>
      </c>
      <c r="H49" s="1"/>
      <c r="I49" s="1"/>
      <c r="J49" s="1"/>
      <c r="K49" s="8"/>
      <c r="L49" s="1"/>
      <c r="M49" s="8"/>
      <c r="N49" s="1"/>
      <c r="O49" s="1"/>
      <c r="P49" s="1"/>
      <c r="Q49" s="1"/>
      <c r="R49" s="1"/>
      <c r="S49" s="8"/>
      <c r="T49" s="1"/>
      <c r="U49" s="8"/>
      <c r="V49" s="1"/>
      <c r="W49" s="1"/>
      <c r="X49" s="1"/>
      <c r="Y49" s="1"/>
      <c r="Z49" s="1"/>
      <c r="AA49" s="8"/>
      <c r="AB49" s="1"/>
      <c r="AC49" s="8"/>
      <c r="AD49" s="1"/>
      <c r="AE49" s="1"/>
      <c r="AF49" s="1"/>
      <c r="AG49" s="1"/>
      <c r="AH49" s="1"/>
      <c r="AI49" s="8"/>
      <c r="AJ49" s="1"/>
      <c r="AK49" s="8"/>
      <c r="AL49" s="1"/>
      <c r="AM49" s="1"/>
      <c r="AN49" s="1"/>
      <c r="AO49" s="1"/>
      <c r="AP49" s="1"/>
      <c r="AQ49" s="8"/>
      <c r="AR49" s="1"/>
      <c r="AS49" s="8"/>
      <c r="AT49" s="1"/>
      <c r="AU49" s="1"/>
      <c r="AV49" s="1"/>
      <c r="AW49" s="1"/>
      <c r="AX49" s="1"/>
      <c r="AY49" s="8"/>
      <c r="AZ49" s="1"/>
      <c r="BA49" s="8"/>
      <c r="BB49" s="1"/>
      <c r="BC49" s="1"/>
    </row>
    <row r="50" spans="1:55">
      <c r="A50" s="1" t="str">
        <f>IF(Setup!$B$5&gt;=128,"Round of 128 46","")</f>
        <v>Round of 128 46</v>
      </c>
      <c r="B50" s="1" t="str">
        <f>IF(Setup!$B$5=128,Teams!$B$58,"")</f>
        <v>Team 55</v>
      </c>
      <c r="C50" s="11"/>
      <c r="D50" s="1" t="str">
        <f>IF(Setup!$B$5=128,Teams!$B$77,"")</f>
        <v>Team 74</v>
      </c>
      <c r="E50" s="11"/>
      <c r="F50" s="12"/>
      <c r="G50" s="13" t="str">
        <f t="shared" si="4"/>
        <v/>
      </c>
      <c r="H50" s="1"/>
      <c r="I50" s="1"/>
      <c r="J50" s="1"/>
      <c r="K50" s="8"/>
      <c r="L50" s="1"/>
      <c r="M50" s="8"/>
      <c r="N50" s="1"/>
      <c r="O50" s="1"/>
      <c r="P50" s="1"/>
      <c r="Q50" s="1"/>
      <c r="R50" s="1"/>
      <c r="S50" s="8"/>
      <c r="T50" s="1"/>
      <c r="U50" s="8"/>
      <c r="V50" s="1"/>
      <c r="W50" s="1"/>
      <c r="X50" s="1"/>
      <c r="Y50" s="1"/>
      <c r="Z50" s="1"/>
      <c r="AA50" s="8"/>
      <c r="AB50" s="1"/>
      <c r="AC50" s="8"/>
      <c r="AD50" s="1"/>
      <c r="AE50" s="1"/>
      <c r="AF50" s="1"/>
      <c r="AG50" s="1"/>
      <c r="AH50" s="1"/>
      <c r="AI50" s="8"/>
      <c r="AJ50" s="1"/>
      <c r="AK50" s="8"/>
      <c r="AL50" s="1"/>
      <c r="AM50" s="1"/>
      <c r="AN50" s="1"/>
      <c r="AO50" s="1"/>
      <c r="AP50" s="1"/>
      <c r="AQ50" s="8"/>
      <c r="AR50" s="1"/>
      <c r="AS50" s="8"/>
      <c r="AT50" s="1"/>
      <c r="AU50" s="1"/>
      <c r="AV50" s="1"/>
      <c r="AW50" s="1"/>
      <c r="AX50" s="1"/>
      <c r="AY50" s="8"/>
      <c r="AZ50" s="1"/>
      <c r="BA50" s="8"/>
      <c r="BB50" s="1"/>
      <c r="BC50" s="1"/>
    </row>
    <row r="51" spans="1:55">
      <c r="A51" s="1" t="str">
        <f>IF(Setup!$B$5&gt;=128,"Round of 128 47","")</f>
        <v>Round of 128 47</v>
      </c>
      <c r="B51" s="1" t="str">
        <f>IF(Setup!$B$5=128,Teams!$B$26,"")</f>
        <v>Team 23</v>
      </c>
      <c r="C51" s="11"/>
      <c r="D51" s="1" t="str">
        <f>IF(Setup!$B$5=128,Teams!$B$109,"")</f>
        <v>Team 106</v>
      </c>
      <c r="E51" s="11"/>
      <c r="F51" s="12"/>
      <c r="G51" s="13" t="str">
        <f t="shared" si="4"/>
        <v/>
      </c>
      <c r="H51" s="1"/>
      <c r="I51" s="1"/>
      <c r="J51" s="1"/>
      <c r="K51" s="8"/>
      <c r="L51" s="1"/>
      <c r="M51" s="8"/>
      <c r="N51" s="1"/>
      <c r="O51" s="1"/>
      <c r="P51" s="1"/>
      <c r="Q51" s="1"/>
      <c r="R51" s="1"/>
      <c r="S51" s="8"/>
      <c r="T51" s="1"/>
      <c r="U51" s="8"/>
      <c r="V51" s="1"/>
      <c r="W51" s="1"/>
      <c r="X51" s="1"/>
      <c r="Y51" s="1"/>
      <c r="Z51" s="1"/>
      <c r="AA51" s="8"/>
      <c r="AB51" s="1"/>
      <c r="AC51" s="8"/>
      <c r="AD51" s="1"/>
      <c r="AE51" s="1"/>
      <c r="AF51" s="1"/>
      <c r="AG51" s="1"/>
      <c r="AH51" s="1"/>
      <c r="AI51" s="8"/>
      <c r="AJ51" s="1"/>
      <c r="AK51" s="8"/>
      <c r="AL51" s="1"/>
      <c r="AM51" s="1"/>
      <c r="AN51" s="1"/>
      <c r="AO51" s="1"/>
      <c r="AP51" s="1"/>
      <c r="AQ51" s="8"/>
      <c r="AR51" s="1"/>
      <c r="AS51" s="8"/>
      <c r="AT51" s="1"/>
      <c r="AU51" s="1"/>
      <c r="AV51" s="1"/>
      <c r="AW51" s="1"/>
      <c r="AX51" s="1"/>
      <c r="AY51" s="8"/>
      <c r="AZ51" s="1"/>
      <c r="BA51" s="8"/>
      <c r="BB51" s="1"/>
      <c r="BC51" s="1"/>
    </row>
    <row r="52" spans="1:55">
      <c r="A52" s="1" t="str">
        <f>IF(Setup!$B$5&gt;=128,"Round of 128 48","")</f>
        <v>Round of 128 48</v>
      </c>
      <c r="B52" s="1" t="str">
        <f>IF(Setup!$B$5=128,Teams!$B$45,"")</f>
        <v>Team 42</v>
      </c>
      <c r="C52" s="11"/>
      <c r="D52" s="1" t="str">
        <f>IF(Setup!$B$5=128,Teams!$B$90,"")</f>
        <v>Team 87</v>
      </c>
      <c r="E52" s="11"/>
      <c r="F52" s="12"/>
      <c r="G52" s="13" t="str">
        <f t="shared" si="4"/>
        <v/>
      </c>
      <c r="H52" s="1"/>
      <c r="I52" s="1"/>
      <c r="J52" s="1"/>
      <c r="K52" s="8"/>
      <c r="L52" s="1"/>
      <c r="M52" s="8"/>
      <c r="N52" s="1"/>
      <c r="O52" s="1"/>
      <c r="P52" s="1"/>
      <c r="Q52" s="1"/>
      <c r="R52" s="1"/>
      <c r="S52" s="8"/>
      <c r="T52" s="1"/>
      <c r="U52" s="8"/>
      <c r="V52" s="1"/>
      <c r="W52" s="1"/>
      <c r="X52" s="1"/>
      <c r="Y52" s="1"/>
      <c r="Z52" s="1"/>
      <c r="AA52" s="8"/>
      <c r="AB52" s="1"/>
      <c r="AC52" s="8"/>
      <c r="AD52" s="1"/>
      <c r="AE52" s="1"/>
      <c r="AF52" s="1"/>
      <c r="AG52" s="1"/>
      <c r="AH52" s="1"/>
      <c r="AI52" s="8"/>
      <c r="AJ52" s="1"/>
      <c r="AK52" s="8"/>
      <c r="AL52" s="1"/>
      <c r="AM52" s="1"/>
      <c r="AN52" s="1"/>
      <c r="AO52" s="1"/>
      <c r="AP52" s="1"/>
      <c r="AQ52" s="8"/>
      <c r="AR52" s="1"/>
      <c r="AS52" s="8"/>
      <c r="AT52" s="1"/>
      <c r="AU52" s="1"/>
      <c r="AV52" s="1"/>
      <c r="AW52" s="1"/>
      <c r="AX52" s="1"/>
      <c r="AY52" s="8"/>
      <c r="AZ52" s="1"/>
      <c r="BA52" s="8"/>
      <c r="BB52" s="1"/>
      <c r="BC52" s="1"/>
    </row>
    <row r="53" spans="1:55">
      <c r="A53" s="1" t="str">
        <f>IF(Setup!$B$5&gt;=128,"Round of 128 49","")</f>
        <v>Round of 128 49</v>
      </c>
      <c r="B53" s="1" t="str">
        <f>IF(Setup!$B$5=128,Teams!$B$6,"")</f>
        <v>Team 3</v>
      </c>
      <c r="C53" s="11"/>
      <c r="D53" s="1" t="str">
        <f>IF(Setup!$B$5=128,Teams!$B$129,"")</f>
        <v>Team 126</v>
      </c>
      <c r="E53" s="11"/>
      <c r="F53" s="12"/>
      <c r="G53" s="13" t="str">
        <f t="shared" si="4"/>
        <v/>
      </c>
      <c r="H53" s="1"/>
      <c r="I53" s="1"/>
      <c r="J53" s="1"/>
      <c r="K53" s="8"/>
      <c r="L53" s="1"/>
      <c r="M53" s="8"/>
      <c r="N53" s="1"/>
      <c r="O53" s="1"/>
      <c r="P53" s="1"/>
      <c r="Q53" s="1"/>
      <c r="R53" s="1"/>
      <c r="S53" s="8"/>
      <c r="T53" s="1"/>
      <c r="U53" s="8"/>
      <c r="V53" s="1"/>
      <c r="W53" s="1"/>
      <c r="X53" s="1"/>
      <c r="Y53" s="1"/>
      <c r="Z53" s="1"/>
      <c r="AA53" s="8"/>
      <c r="AB53" s="1"/>
      <c r="AC53" s="8"/>
      <c r="AD53" s="1"/>
      <c r="AE53" s="1"/>
      <c r="AF53" s="1"/>
      <c r="AG53" s="1"/>
      <c r="AH53" s="1"/>
      <c r="AI53" s="8"/>
      <c r="AJ53" s="1"/>
      <c r="AK53" s="8"/>
      <c r="AL53" s="1"/>
      <c r="AM53" s="1"/>
      <c r="AN53" s="1"/>
      <c r="AO53" s="1"/>
      <c r="AP53" s="1"/>
      <c r="AQ53" s="8"/>
      <c r="AR53" s="1"/>
      <c r="AS53" s="8"/>
      <c r="AT53" s="1"/>
      <c r="AU53" s="1"/>
      <c r="AV53" s="1"/>
      <c r="AW53" s="1"/>
      <c r="AX53" s="1"/>
      <c r="AY53" s="8"/>
      <c r="AZ53" s="1"/>
      <c r="BA53" s="8"/>
      <c r="BB53" s="1"/>
      <c r="BC53" s="1"/>
    </row>
    <row r="54" spans="1:55">
      <c r="A54" s="1" t="str">
        <f>IF(Setup!$B$5&gt;=128,"Round of 128 50","")</f>
        <v>Round of 128 50</v>
      </c>
      <c r="B54" s="1" t="str">
        <f>IF(Setup!$B$5=128,Teams!$B$65,"")</f>
        <v>Team 62</v>
      </c>
      <c r="C54" s="11"/>
      <c r="D54" s="1" t="str">
        <f>IF(Setup!$B$5=128,Teams!$B$70,"")</f>
        <v>Team 67</v>
      </c>
      <c r="E54" s="11"/>
      <c r="F54" s="12"/>
      <c r="G54" s="13" t="str">
        <f t="shared" si="4"/>
        <v/>
      </c>
      <c r="H54" s="1"/>
      <c r="I54" s="1"/>
      <c r="J54" s="1"/>
      <c r="K54" s="8"/>
      <c r="L54" s="1"/>
      <c r="M54" s="8"/>
      <c r="N54" s="1"/>
      <c r="O54" s="1"/>
      <c r="P54" s="1"/>
      <c r="Q54" s="1"/>
      <c r="R54" s="1"/>
      <c r="S54" s="8"/>
      <c r="T54" s="1"/>
      <c r="U54" s="8"/>
      <c r="V54" s="1"/>
      <c r="W54" s="1"/>
      <c r="X54" s="1"/>
      <c r="Y54" s="1"/>
      <c r="Z54" s="1"/>
      <c r="AA54" s="8"/>
      <c r="AB54" s="1"/>
      <c r="AC54" s="8"/>
      <c r="AD54" s="1"/>
      <c r="AE54" s="1"/>
      <c r="AF54" s="1"/>
      <c r="AG54" s="1"/>
      <c r="AH54" s="1"/>
      <c r="AI54" s="8"/>
      <c r="AJ54" s="1"/>
      <c r="AK54" s="8"/>
      <c r="AL54" s="1"/>
      <c r="AM54" s="1"/>
      <c r="AN54" s="1"/>
      <c r="AO54" s="1"/>
      <c r="AP54" s="1"/>
      <c r="AQ54" s="8"/>
      <c r="AR54" s="1"/>
      <c r="AS54" s="8"/>
      <c r="AT54" s="1"/>
      <c r="AU54" s="1"/>
      <c r="AV54" s="1"/>
      <c r="AW54" s="1"/>
      <c r="AX54" s="1"/>
      <c r="AY54" s="8"/>
      <c r="AZ54" s="1"/>
      <c r="BA54" s="8"/>
      <c r="BB54" s="1"/>
      <c r="BC54" s="1"/>
    </row>
    <row r="55" spans="1:55">
      <c r="A55" s="1" t="str">
        <f>IF(Setup!$B$5&gt;=128,"Round of 128 51","")</f>
        <v>Round of 128 51</v>
      </c>
      <c r="B55" s="1" t="str">
        <f>IF(Setup!$B$5=128,Teams!$B$33,"")</f>
        <v>Team 30</v>
      </c>
      <c r="C55" s="11"/>
      <c r="D55" s="1" t="str">
        <f>IF(Setup!$B$5=128,Teams!$B$102,"")</f>
        <v>Team 99</v>
      </c>
      <c r="E55" s="11"/>
      <c r="F55" s="12"/>
      <c r="G55" s="13" t="str">
        <f t="shared" si="4"/>
        <v/>
      </c>
      <c r="H55" s="1"/>
      <c r="I55" s="1"/>
      <c r="J55" s="1"/>
      <c r="K55" s="8"/>
      <c r="L55" s="1"/>
      <c r="M55" s="8"/>
      <c r="N55" s="1"/>
      <c r="O55" s="1"/>
      <c r="P55" s="1"/>
      <c r="Q55" s="1"/>
      <c r="R55" s="1"/>
      <c r="S55" s="8"/>
      <c r="T55" s="1"/>
      <c r="U55" s="8"/>
      <c r="V55" s="1"/>
      <c r="W55" s="1"/>
      <c r="X55" s="1"/>
      <c r="Y55" s="1"/>
      <c r="Z55" s="1"/>
      <c r="AA55" s="8"/>
      <c r="AB55" s="1"/>
      <c r="AC55" s="8"/>
      <c r="AD55" s="1"/>
      <c r="AE55" s="1"/>
      <c r="AF55" s="1"/>
      <c r="AG55" s="1"/>
      <c r="AH55" s="1"/>
      <c r="AI55" s="8"/>
      <c r="AJ55" s="1"/>
      <c r="AK55" s="8"/>
      <c r="AL55" s="1"/>
      <c r="AM55" s="1"/>
      <c r="AN55" s="1"/>
      <c r="AO55" s="1"/>
      <c r="AP55" s="1"/>
      <c r="AQ55" s="8"/>
      <c r="AR55" s="1"/>
      <c r="AS55" s="8"/>
      <c r="AT55" s="1"/>
      <c r="AU55" s="1"/>
      <c r="AV55" s="1"/>
      <c r="AW55" s="1"/>
      <c r="AX55" s="1"/>
      <c r="AY55" s="8"/>
      <c r="AZ55" s="1"/>
      <c r="BA55" s="8"/>
      <c r="BB55" s="1"/>
      <c r="BC55" s="1"/>
    </row>
    <row r="56" spans="1:55">
      <c r="A56" s="1" t="str">
        <f>IF(Setup!$B$5&gt;=128,"Round of 128 52","")</f>
        <v>Round of 128 52</v>
      </c>
      <c r="B56" s="1" t="str">
        <f>IF(Setup!$B$5=128,Teams!$B$38,"")</f>
        <v>Team 35</v>
      </c>
      <c r="C56" s="11"/>
      <c r="D56" s="1" t="str">
        <f>IF(Setup!$B$5=128,Teams!$B$97,"")</f>
        <v>Team 94</v>
      </c>
      <c r="E56" s="11"/>
      <c r="F56" s="12"/>
      <c r="G56" s="13" t="str">
        <f t="shared" si="4"/>
        <v/>
      </c>
      <c r="H56" s="1"/>
      <c r="I56" s="1"/>
      <c r="J56" s="1"/>
      <c r="K56" s="8"/>
      <c r="L56" s="1"/>
      <c r="M56" s="8"/>
      <c r="N56" s="1"/>
      <c r="O56" s="1"/>
      <c r="P56" s="1"/>
      <c r="Q56" s="1"/>
      <c r="R56" s="1"/>
      <c r="S56" s="8"/>
      <c r="T56" s="1"/>
      <c r="U56" s="8"/>
      <c r="V56" s="1"/>
      <c r="W56" s="1"/>
      <c r="X56" s="1"/>
      <c r="Y56" s="1"/>
      <c r="Z56" s="1"/>
      <c r="AA56" s="8"/>
      <c r="AB56" s="1"/>
      <c r="AC56" s="8"/>
      <c r="AD56" s="1"/>
      <c r="AE56" s="1"/>
      <c r="AF56" s="1"/>
      <c r="AG56" s="1"/>
      <c r="AH56" s="1"/>
      <c r="AI56" s="8"/>
      <c r="AJ56" s="1"/>
      <c r="AK56" s="8"/>
      <c r="AL56" s="1"/>
      <c r="AM56" s="1"/>
      <c r="AN56" s="1"/>
      <c r="AO56" s="1"/>
      <c r="AP56" s="1"/>
      <c r="AQ56" s="8"/>
      <c r="AR56" s="1"/>
      <c r="AS56" s="8"/>
      <c r="AT56" s="1"/>
      <c r="AU56" s="1"/>
      <c r="AV56" s="1"/>
      <c r="AW56" s="1"/>
      <c r="AX56" s="1"/>
      <c r="AY56" s="8"/>
      <c r="AZ56" s="1"/>
      <c r="BA56" s="8"/>
      <c r="BB56" s="1"/>
      <c r="BC56" s="1"/>
    </row>
    <row r="57" spans="1:55">
      <c r="A57" s="1" t="str">
        <f>IF(Setup!$B$5&gt;=128,"Round of 128 53","")</f>
        <v>Round of 128 53</v>
      </c>
      <c r="B57" s="1" t="str">
        <f>IF(Setup!$B$5=128,Teams!$B$17,"")</f>
        <v>Team 14</v>
      </c>
      <c r="C57" s="11"/>
      <c r="D57" s="1" t="str">
        <f>IF(Setup!$B$5=128,Teams!$B$118,"")</f>
        <v>Team 115</v>
      </c>
      <c r="E57" s="11"/>
      <c r="F57" s="12"/>
      <c r="G57" s="13" t="str">
        <f t="shared" si="4"/>
        <v/>
      </c>
      <c r="H57" s="1"/>
      <c r="I57" s="1"/>
      <c r="J57" s="1"/>
      <c r="K57" s="8"/>
      <c r="L57" s="1"/>
      <c r="M57" s="8"/>
      <c r="N57" s="1"/>
      <c r="O57" s="1"/>
      <c r="P57" s="1"/>
      <c r="Q57" s="1"/>
      <c r="R57" s="1"/>
      <c r="S57" s="8"/>
      <c r="T57" s="1"/>
      <c r="U57" s="8"/>
      <c r="V57" s="1"/>
      <c r="W57" s="1"/>
      <c r="X57" s="1"/>
      <c r="Y57" s="1"/>
      <c r="Z57" s="1"/>
      <c r="AA57" s="8"/>
      <c r="AB57" s="1"/>
      <c r="AC57" s="8"/>
      <c r="AD57" s="1"/>
      <c r="AE57" s="1"/>
      <c r="AF57" s="1"/>
      <c r="AG57" s="1"/>
      <c r="AH57" s="1"/>
      <c r="AI57" s="8"/>
      <c r="AJ57" s="1"/>
      <c r="AK57" s="8"/>
      <c r="AL57" s="1"/>
      <c r="AM57" s="1"/>
      <c r="AN57" s="1"/>
      <c r="AO57" s="1"/>
      <c r="AP57" s="1"/>
      <c r="AQ57" s="8"/>
      <c r="AR57" s="1"/>
      <c r="AS57" s="8"/>
      <c r="AT57" s="1"/>
      <c r="AU57" s="1"/>
      <c r="AV57" s="1"/>
      <c r="AW57" s="1"/>
      <c r="AX57" s="1"/>
      <c r="AY57" s="8"/>
      <c r="AZ57" s="1"/>
      <c r="BA57" s="8"/>
      <c r="BB57" s="1"/>
      <c r="BC57" s="1"/>
    </row>
    <row r="58" spans="1:55">
      <c r="A58" s="1" t="str">
        <f>IF(Setup!$B$5&gt;=128,"Round of 128 54","")</f>
        <v>Round of 128 54</v>
      </c>
      <c r="B58" s="1" t="str">
        <f>IF(Setup!$B$5=128,Teams!$B$54,"")</f>
        <v>Team 51</v>
      </c>
      <c r="C58" s="11"/>
      <c r="D58" s="1" t="str">
        <f>IF(Setup!$B$5=128,Teams!$B$81,"")</f>
        <v>Team 78</v>
      </c>
      <c r="E58" s="11"/>
      <c r="F58" s="12"/>
      <c r="G58" s="13" t="str">
        <f t="shared" si="4"/>
        <v/>
      </c>
      <c r="H58" s="1"/>
      <c r="I58" s="1"/>
      <c r="J58" s="1"/>
      <c r="K58" s="8"/>
      <c r="L58" s="1"/>
      <c r="M58" s="8"/>
      <c r="N58" s="1"/>
      <c r="O58" s="1"/>
      <c r="P58" s="1"/>
      <c r="Q58" s="1"/>
      <c r="R58" s="1"/>
      <c r="S58" s="8"/>
      <c r="T58" s="1"/>
      <c r="U58" s="8"/>
      <c r="V58" s="1"/>
      <c r="W58" s="1"/>
      <c r="X58" s="1"/>
      <c r="Y58" s="1"/>
      <c r="Z58" s="1"/>
      <c r="AA58" s="8"/>
      <c r="AB58" s="1"/>
      <c r="AC58" s="8"/>
      <c r="AD58" s="1"/>
      <c r="AE58" s="1"/>
      <c r="AF58" s="1"/>
      <c r="AG58" s="1"/>
      <c r="AH58" s="1"/>
      <c r="AI58" s="8"/>
      <c r="AJ58" s="1"/>
      <c r="AK58" s="8"/>
      <c r="AL58" s="1"/>
      <c r="AM58" s="1"/>
      <c r="AN58" s="1"/>
      <c r="AO58" s="1"/>
      <c r="AP58" s="1"/>
      <c r="AQ58" s="8"/>
      <c r="AR58" s="1"/>
      <c r="AS58" s="8"/>
      <c r="AT58" s="1"/>
      <c r="AU58" s="1"/>
      <c r="AV58" s="1"/>
      <c r="AW58" s="1"/>
      <c r="AX58" s="1"/>
      <c r="AY58" s="8"/>
      <c r="AZ58" s="1"/>
      <c r="BA58" s="8"/>
      <c r="BB58" s="1"/>
      <c r="BC58" s="1"/>
    </row>
    <row r="59" spans="1:55">
      <c r="A59" s="1" t="str">
        <f>IF(Setup!$B$5&gt;=128,"Round of 128 55","")</f>
        <v>Round of 128 55</v>
      </c>
      <c r="B59" s="1" t="str">
        <f>IF(Setup!$B$5=128,Teams!$B$22,"")</f>
        <v>Team 19</v>
      </c>
      <c r="C59" s="11"/>
      <c r="D59" s="1" t="str">
        <f>IF(Setup!$B$5=128,Teams!$B$113,"")</f>
        <v>Team 110</v>
      </c>
      <c r="E59" s="11"/>
      <c r="F59" s="12"/>
      <c r="G59" s="13" t="str">
        <f t="shared" si="4"/>
        <v/>
      </c>
      <c r="H59" s="1"/>
      <c r="I59" s="1"/>
      <c r="J59" s="1"/>
      <c r="K59" s="8"/>
      <c r="L59" s="1"/>
      <c r="M59" s="8"/>
      <c r="N59" s="1"/>
      <c r="O59" s="1"/>
      <c r="P59" s="1"/>
      <c r="Q59" s="1"/>
      <c r="R59" s="1"/>
      <c r="S59" s="8"/>
      <c r="T59" s="1"/>
      <c r="U59" s="8"/>
      <c r="V59" s="1"/>
      <c r="W59" s="1"/>
      <c r="X59" s="1"/>
      <c r="Y59" s="1"/>
      <c r="Z59" s="1"/>
      <c r="AA59" s="8"/>
      <c r="AB59" s="1"/>
      <c r="AC59" s="8"/>
      <c r="AD59" s="1"/>
      <c r="AE59" s="1"/>
      <c r="AF59" s="1"/>
      <c r="AG59" s="1"/>
      <c r="AH59" s="1"/>
      <c r="AI59" s="8"/>
      <c r="AJ59" s="1"/>
      <c r="AK59" s="8"/>
      <c r="AL59" s="1"/>
      <c r="AM59" s="1"/>
      <c r="AN59" s="1"/>
      <c r="AO59" s="1"/>
      <c r="AP59" s="1"/>
      <c r="AQ59" s="8"/>
      <c r="AR59" s="1"/>
      <c r="AS59" s="8"/>
      <c r="AT59" s="1"/>
      <c r="AU59" s="1"/>
      <c r="AV59" s="1"/>
      <c r="AW59" s="1"/>
      <c r="AX59" s="1"/>
      <c r="AY59" s="8"/>
      <c r="AZ59" s="1"/>
      <c r="BA59" s="8"/>
      <c r="BB59" s="1"/>
      <c r="BC59" s="1"/>
    </row>
    <row r="60" spans="1:55">
      <c r="A60" s="1" t="str">
        <f>IF(Setup!$B$5&gt;=128,"Round of 128 56","")</f>
        <v>Round of 128 56</v>
      </c>
      <c r="B60" s="1" t="str">
        <f>IF(Setup!$B$5=128,Teams!$B$49,"")</f>
        <v>Team 46</v>
      </c>
      <c r="C60" s="11"/>
      <c r="D60" s="1" t="str">
        <f>IF(Setup!$B$5=128,Teams!$B$86,"")</f>
        <v>Team 83</v>
      </c>
      <c r="E60" s="11"/>
      <c r="F60" s="12"/>
      <c r="G60" s="13" t="str">
        <f t="shared" si="4"/>
        <v/>
      </c>
      <c r="H60" s="1"/>
      <c r="I60" s="1"/>
      <c r="J60" s="1"/>
      <c r="K60" s="8"/>
      <c r="L60" s="1"/>
      <c r="M60" s="8"/>
      <c r="N60" s="1"/>
      <c r="O60" s="1"/>
      <c r="P60" s="1"/>
      <c r="Q60" s="1"/>
      <c r="R60" s="1"/>
      <c r="S60" s="8"/>
      <c r="T60" s="1"/>
      <c r="U60" s="8"/>
      <c r="V60" s="1"/>
      <c r="W60" s="1"/>
      <c r="X60" s="1"/>
      <c r="Y60" s="1"/>
      <c r="Z60" s="1"/>
      <c r="AA60" s="8"/>
      <c r="AB60" s="1"/>
      <c r="AC60" s="8"/>
      <c r="AD60" s="1"/>
      <c r="AE60" s="1"/>
      <c r="AF60" s="1"/>
      <c r="AG60" s="1"/>
      <c r="AH60" s="1"/>
      <c r="AI60" s="8"/>
      <c r="AJ60" s="1"/>
      <c r="AK60" s="8"/>
      <c r="AL60" s="1"/>
      <c r="AM60" s="1"/>
      <c r="AN60" s="1"/>
      <c r="AO60" s="1"/>
      <c r="AP60" s="1"/>
      <c r="AQ60" s="8"/>
      <c r="AR60" s="1"/>
      <c r="AS60" s="8"/>
      <c r="AT60" s="1"/>
      <c r="AU60" s="1"/>
      <c r="AV60" s="1"/>
      <c r="AW60" s="1"/>
      <c r="AX60" s="1"/>
      <c r="AY60" s="8"/>
      <c r="AZ60" s="1"/>
      <c r="BA60" s="8"/>
      <c r="BB60" s="1"/>
      <c r="BC60" s="1"/>
    </row>
    <row r="61" spans="1:55">
      <c r="A61" s="1" t="str">
        <f>IF(Setup!$B$5&gt;=128,"Round of 128 57","")</f>
        <v>Round of 128 57</v>
      </c>
      <c r="B61" s="1" t="str">
        <f>IF(Setup!$B$5=128,Teams!$B$9,"")</f>
        <v>Team 6</v>
      </c>
      <c r="C61" s="11"/>
      <c r="D61" s="1" t="str">
        <f>IF(Setup!$B$5=128,Teams!$B$126,"")</f>
        <v>Team 123</v>
      </c>
      <c r="E61" s="11"/>
      <c r="F61" s="12"/>
      <c r="G61" s="13" t="str">
        <f t="shared" si="4"/>
        <v/>
      </c>
      <c r="H61" s="1"/>
      <c r="I61" s="1"/>
      <c r="J61" s="1"/>
      <c r="K61" s="8"/>
      <c r="L61" s="1"/>
      <c r="M61" s="8"/>
      <c r="N61" s="1"/>
      <c r="O61" s="1"/>
      <c r="P61" s="1"/>
      <c r="Q61" s="1"/>
      <c r="R61" s="1"/>
      <c r="S61" s="8"/>
      <c r="T61" s="1"/>
      <c r="U61" s="8"/>
      <c r="V61" s="1"/>
      <c r="W61" s="1"/>
      <c r="X61" s="1"/>
      <c r="Y61" s="1"/>
      <c r="Z61" s="1"/>
      <c r="AA61" s="8"/>
      <c r="AB61" s="1"/>
      <c r="AC61" s="8"/>
      <c r="AD61" s="1"/>
      <c r="AE61" s="1"/>
      <c r="AF61" s="1"/>
      <c r="AG61" s="1"/>
      <c r="AH61" s="1"/>
      <c r="AI61" s="8"/>
      <c r="AJ61" s="1"/>
      <c r="AK61" s="8"/>
      <c r="AL61" s="1"/>
      <c r="AM61" s="1"/>
      <c r="AN61" s="1"/>
      <c r="AO61" s="1"/>
      <c r="AP61" s="1"/>
      <c r="AQ61" s="8"/>
      <c r="AR61" s="1"/>
      <c r="AS61" s="8"/>
      <c r="AT61" s="1"/>
      <c r="AU61" s="1"/>
      <c r="AV61" s="1"/>
      <c r="AW61" s="1"/>
      <c r="AX61" s="1"/>
      <c r="AY61" s="8"/>
      <c r="AZ61" s="1"/>
      <c r="BA61" s="8"/>
      <c r="BB61" s="1"/>
      <c r="BC61" s="1"/>
    </row>
    <row r="62" spans="1:55">
      <c r="A62" s="1" t="str">
        <f>IF(Setup!$B$5&gt;=128,"Round of 128 58","")</f>
        <v>Round of 128 58</v>
      </c>
      <c r="B62" s="1" t="str">
        <f>IF(Setup!$B$5=128,Teams!$B$62,"")</f>
        <v>Team 59</v>
      </c>
      <c r="C62" s="11"/>
      <c r="D62" s="1" t="str">
        <f>IF(Setup!$B$5=128,Teams!$B$73,"")</f>
        <v>Team 70</v>
      </c>
      <c r="E62" s="11"/>
      <c r="F62" s="12"/>
      <c r="G62" s="13" t="str">
        <f t="shared" si="4"/>
        <v/>
      </c>
      <c r="H62" s="1"/>
      <c r="I62" s="1"/>
      <c r="J62" s="1"/>
      <c r="K62" s="8"/>
      <c r="L62" s="1"/>
      <c r="M62" s="8"/>
      <c r="N62" s="1"/>
      <c r="O62" s="1"/>
      <c r="P62" s="1"/>
      <c r="Q62" s="1"/>
      <c r="R62" s="1"/>
      <c r="S62" s="8"/>
      <c r="T62" s="1"/>
      <c r="U62" s="8"/>
      <c r="V62" s="1"/>
      <c r="W62" s="1"/>
      <c r="X62" s="1"/>
      <c r="Y62" s="1"/>
      <c r="Z62" s="1"/>
      <c r="AA62" s="8"/>
      <c r="AB62" s="1"/>
      <c r="AC62" s="8"/>
      <c r="AD62" s="1"/>
      <c r="AE62" s="1"/>
      <c r="AF62" s="1"/>
      <c r="AG62" s="1"/>
      <c r="AH62" s="1"/>
      <c r="AI62" s="8"/>
      <c r="AJ62" s="1"/>
      <c r="AK62" s="8"/>
      <c r="AL62" s="1"/>
      <c r="AM62" s="1"/>
      <c r="AN62" s="1"/>
      <c r="AO62" s="1"/>
      <c r="AP62" s="1"/>
      <c r="AQ62" s="8"/>
      <c r="AR62" s="1"/>
      <c r="AS62" s="8"/>
      <c r="AT62" s="1"/>
      <c r="AU62" s="1"/>
      <c r="AV62" s="1"/>
      <c r="AW62" s="1"/>
      <c r="AX62" s="1"/>
      <c r="AY62" s="8"/>
      <c r="AZ62" s="1"/>
      <c r="BA62" s="8"/>
      <c r="BB62" s="1"/>
      <c r="BC62" s="1"/>
    </row>
    <row r="63" spans="1:55">
      <c r="A63" s="1" t="str">
        <f>IF(Setup!$B$5&gt;=128,"Round of 128 59","")</f>
        <v>Round of 128 59</v>
      </c>
      <c r="B63" s="1" t="str">
        <f>IF(Setup!$B$5=128,Teams!$B$30,"")</f>
        <v>Team 27</v>
      </c>
      <c r="C63" s="11"/>
      <c r="D63" s="1" t="str">
        <f>IF(Setup!$B$5=128,Teams!$B$105,"")</f>
        <v>Team 102</v>
      </c>
      <c r="E63" s="11"/>
      <c r="F63" s="12"/>
      <c r="G63" s="13" t="str">
        <f t="shared" si="4"/>
        <v/>
      </c>
      <c r="H63" s="1"/>
      <c r="I63" s="1"/>
      <c r="J63" s="1"/>
      <c r="K63" s="8"/>
      <c r="L63" s="1"/>
      <c r="M63" s="8"/>
      <c r="N63" s="1"/>
      <c r="O63" s="1"/>
      <c r="P63" s="1"/>
      <c r="Q63" s="1"/>
      <c r="R63" s="1"/>
      <c r="S63" s="8"/>
      <c r="T63" s="1"/>
      <c r="U63" s="8"/>
      <c r="V63" s="1"/>
      <c r="W63" s="1"/>
      <c r="X63" s="1"/>
      <c r="Y63" s="1"/>
      <c r="Z63" s="1"/>
      <c r="AA63" s="8"/>
      <c r="AB63" s="1"/>
      <c r="AC63" s="8"/>
      <c r="AD63" s="1"/>
      <c r="AE63" s="1"/>
      <c r="AF63" s="1"/>
      <c r="AG63" s="1"/>
      <c r="AH63" s="1"/>
      <c r="AI63" s="8"/>
      <c r="AJ63" s="1"/>
      <c r="AK63" s="8"/>
      <c r="AL63" s="1"/>
      <c r="AM63" s="1"/>
      <c r="AN63" s="1"/>
      <c r="AO63" s="1"/>
      <c r="AP63" s="1"/>
      <c r="AQ63" s="8"/>
      <c r="AR63" s="1"/>
      <c r="AS63" s="8"/>
      <c r="AT63" s="1"/>
      <c r="AU63" s="1"/>
      <c r="AV63" s="1"/>
      <c r="AW63" s="1"/>
      <c r="AX63" s="1"/>
      <c r="AY63" s="8"/>
      <c r="AZ63" s="1"/>
      <c r="BA63" s="8"/>
      <c r="BB63" s="1"/>
      <c r="BC63" s="1"/>
    </row>
    <row r="64" spans="1:55">
      <c r="A64" s="1" t="str">
        <f>IF(Setup!$B$5&gt;=128,"Round of 128 60","")</f>
        <v>Round of 128 60</v>
      </c>
      <c r="B64" s="1" t="str">
        <f>IF(Setup!$B$5=128,Teams!$B$41,"")</f>
        <v>Team 38</v>
      </c>
      <c r="C64" s="11"/>
      <c r="D64" s="1" t="str">
        <f>IF(Setup!$B$5=128,Teams!$B$94,"")</f>
        <v>Team 91</v>
      </c>
      <c r="E64" s="11"/>
      <c r="F64" s="12"/>
      <c r="G64" s="13" t="str">
        <f t="shared" si="4"/>
        <v/>
      </c>
      <c r="H64" s="1"/>
      <c r="I64" s="1"/>
      <c r="J64" s="1"/>
      <c r="K64" s="8"/>
      <c r="L64" s="1"/>
      <c r="M64" s="8"/>
      <c r="N64" s="1"/>
      <c r="O64" s="1"/>
      <c r="P64" s="1"/>
      <c r="Q64" s="1"/>
      <c r="R64" s="1"/>
      <c r="S64" s="8"/>
      <c r="T64" s="1"/>
      <c r="U64" s="8"/>
      <c r="V64" s="1"/>
      <c r="W64" s="1"/>
      <c r="X64" s="1"/>
      <c r="Y64" s="1"/>
      <c r="Z64" s="1"/>
      <c r="AA64" s="8"/>
      <c r="AB64" s="1"/>
      <c r="AC64" s="8"/>
      <c r="AD64" s="1"/>
      <c r="AE64" s="1"/>
      <c r="AF64" s="1"/>
      <c r="AG64" s="1"/>
      <c r="AH64" s="1"/>
      <c r="AI64" s="8"/>
      <c r="AJ64" s="1"/>
      <c r="AK64" s="8"/>
      <c r="AL64" s="1"/>
      <c r="AM64" s="1"/>
      <c r="AN64" s="1"/>
      <c r="AO64" s="1"/>
      <c r="AP64" s="1"/>
      <c r="AQ64" s="8"/>
      <c r="AR64" s="1"/>
      <c r="AS64" s="8"/>
      <c r="AT64" s="1"/>
      <c r="AU64" s="1"/>
      <c r="AV64" s="1"/>
      <c r="AW64" s="1"/>
      <c r="AX64" s="1"/>
      <c r="AY64" s="8"/>
      <c r="AZ64" s="1"/>
      <c r="BA64" s="8"/>
      <c r="BB64" s="1"/>
      <c r="BC64" s="1"/>
    </row>
    <row r="65" spans="1:55">
      <c r="A65" s="1" t="str">
        <f>IF(Setup!$B$5&gt;=128,"Round of 128 61","")</f>
        <v>Round of 128 61</v>
      </c>
      <c r="B65" s="1" t="str">
        <f>IF(Setup!$B$5=128,Teams!$B$14,"")</f>
        <v>Team 11</v>
      </c>
      <c r="C65" s="11"/>
      <c r="D65" s="1" t="str">
        <f>IF(Setup!$B$5=128,Teams!$B$121,"")</f>
        <v>Team 118</v>
      </c>
      <c r="E65" s="11"/>
      <c r="F65" s="12"/>
      <c r="G65" s="13" t="str">
        <f t="shared" si="4"/>
        <v/>
      </c>
      <c r="H65" s="1"/>
      <c r="I65" s="1"/>
      <c r="J65" s="1"/>
      <c r="K65" s="8"/>
      <c r="L65" s="1"/>
      <c r="M65" s="8"/>
      <c r="N65" s="1"/>
      <c r="O65" s="1"/>
      <c r="P65" s="1"/>
      <c r="Q65" s="1"/>
      <c r="R65" s="1"/>
      <c r="S65" s="8"/>
      <c r="T65" s="1"/>
      <c r="U65" s="8"/>
      <c r="V65" s="1"/>
      <c r="W65" s="1"/>
      <c r="X65" s="1"/>
      <c r="Y65" s="1"/>
      <c r="Z65" s="1"/>
      <c r="AA65" s="8"/>
      <c r="AB65" s="1"/>
      <c r="AC65" s="8"/>
      <c r="AD65" s="1"/>
      <c r="AE65" s="1"/>
      <c r="AF65" s="1"/>
      <c r="AG65" s="1"/>
      <c r="AH65" s="1"/>
      <c r="AI65" s="8"/>
      <c r="AJ65" s="1"/>
      <c r="AK65" s="8"/>
      <c r="AL65" s="1"/>
      <c r="AM65" s="1"/>
      <c r="AN65" s="1"/>
      <c r="AO65" s="1"/>
      <c r="AP65" s="1"/>
      <c r="AQ65" s="8"/>
      <c r="AR65" s="1"/>
      <c r="AS65" s="8"/>
      <c r="AT65" s="1"/>
      <c r="AU65" s="1"/>
      <c r="AV65" s="1"/>
      <c r="AW65" s="1"/>
      <c r="AX65" s="1"/>
      <c r="AY65" s="8"/>
      <c r="AZ65" s="1"/>
      <c r="BA65" s="8"/>
      <c r="BB65" s="1"/>
      <c r="BC65" s="1"/>
    </row>
    <row r="66" spans="1:55">
      <c r="A66" s="1" t="str">
        <f>IF(Setup!$B$5&gt;=128,"Round of 128 62","")</f>
        <v>Round of 128 62</v>
      </c>
      <c r="B66" s="1" t="str">
        <f>IF(Setup!$B$5=128,Teams!$B$57,"")</f>
        <v>Team 54</v>
      </c>
      <c r="C66" s="11"/>
      <c r="D66" s="1" t="str">
        <f>IF(Setup!$B$5=128,Teams!$B$78,"")</f>
        <v>Team 75</v>
      </c>
      <c r="E66" s="11"/>
      <c r="F66" s="12"/>
      <c r="G66" s="13" t="str">
        <f t="shared" si="4"/>
        <v/>
      </c>
      <c r="H66" s="1"/>
      <c r="I66" s="1"/>
      <c r="J66" s="1"/>
      <c r="K66" s="8"/>
      <c r="L66" s="1"/>
      <c r="M66" s="8"/>
      <c r="N66" s="1"/>
      <c r="O66" s="1"/>
      <c r="P66" s="1"/>
      <c r="Q66" s="1"/>
      <c r="R66" s="1"/>
      <c r="S66" s="8"/>
      <c r="T66" s="1"/>
      <c r="U66" s="8"/>
      <c r="V66" s="1"/>
      <c r="W66" s="1"/>
      <c r="X66" s="1"/>
      <c r="Y66" s="1"/>
      <c r="Z66" s="1"/>
      <c r="AA66" s="8"/>
      <c r="AB66" s="1"/>
      <c r="AC66" s="8"/>
      <c r="AD66" s="1"/>
      <c r="AE66" s="1"/>
      <c r="AF66" s="1"/>
      <c r="AG66" s="1"/>
      <c r="AH66" s="1"/>
      <c r="AI66" s="8"/>
      <c r="AJ66" s="1"/>
      <c r="AK66" s="8"/>
      <c r="AL66" s="1"/>
      <c r="AM66" s="1"/>
      <c r="AN66" s="1"/>
      <c r="AO66" s="1"/>
      <c r="AP66" s="1"/>
      <c r="AQ66" s="8"/>
      <c r="AR66" s="1"/>
      <c r="AS66" s="8"/>
      <c r="AT66" s="1"/>
      <c r="AU66" s="1"/>
      <c r="AV66" s="1"/>
      <c r="AW66" s="1"/>
      <c r="AX66" s="1"/>
      <c r="AY66" s="8"/>
      <c r="AZ66" s="1"/>
      <c r="BA66" s="8"/>
      <c r="BB66" s="1"/>
      <c r="BC66" s="1"/>
    </row>
    <row r="67" spans="1:55">
      <c r="A67" s="1" t="str">
        <f>IF(Setup!$B$5&gt;=128,"Round of 128 63","")</f>
        <v>Round of 128 63</v>
      </c>
      <c r="B67" s="1" t="str">
        <f>IF(Setup!$B$5=128,Teams!$B$25,"")</f>
        <v>Team 22</v>
      </c>
      <c r="C67" s="11"/>
      <c r="D67" s="1" t="str">
        <f>IF(Setup!$B$5=128,Teams!$B$110,"")</f>
        <v>Team 107</v>
      </c>
      <c r="E67" s="11"/>
      <c r="F67" s="12"/>
      <c r="G67" s="13" t="str">
        <f t="shared" si="4"/>
        <v/>
      </c>
      <c r="H67" s="1"/>
      <c r="I67" s="1"/>
      <c r="J67" s="1"/>
      <c r="K67" s="8"/>
      <c r="L67" s="1"/>
      <c r="M67" s="8"/>
      <c r="N67" s="1"/>
      <c r="O67" s="1"/>
      <c r="P67" s="1"/>
      <c r="Q67" s="1"/>
      <c r="R67" s="1"/>
      <c r="S67" s="8"/>
      <c r="T67" s="1"/>
      <c r="U67" s="8"/>
      <c r="V67" s="1"/>
      <c r="W67" s="1"/>
      <c r="X67" s="1"/>
      <c r="Y67" s="1"/>
      <c r="Z67" s="1"/>
      <c r="AA67" s="8"/>
      <c r="AB67" s="1"/>
      <c r="AC67" s="8"/>
      <c r="AD67" s="1"/>
      <c r="AE67" s="1"/>
      <c r="AF67" s="1"/>
      <c r="AG67" s="1"/>
      <c r="AH67" s="1"/>
      <c r="AI67" s="8"/>
      <c r="AJ67" s="1"/>
      <c r="AK67" s="8"/>
      <c r="AL67" s="1"/>
      <c r="AM67" s="1"/>
      <c r="AN67" s="1"/>
      <c r="AO67" s="1"/>
      <c r="AP67" s="1"/>
      <c r="AQ67" s="8"/>
      <c r="AR67" s="1"/>
      <c r="AS67" s="8"/>
      <c r="AT67" s="1"/>
      <c r="AU67" s="1"/>
      <c r="AV67" s="1"/>
      <c r="AW67" s="1"/>
      <c r="AX67" s="1"/>
      <c r="AY67" s="8"/>
      <c r="AZ67" s="1"/>
      <c r="BA67" s="8"/>
      <c r="BB67" s="1"/>
      <c r="BC67" s="1"/>
    </row>
    <row r="68" spans="1:55">
      <c r="A68" s="1" t="str">
        <f>IF(Setup!$B$5&gt;=128,"Round of 128 64","")</f>
        <v>Round of 128 64</v>
      </c>
      <c r="B68" s="1" t="str">
        <f>IF(Setup!$B$5=128,Teams!$B$46,"")</f>
        <v>Team 43</v>
      </c>
      <c r="C68" s="11"/>
      <c r="D68" s="1" t="str">
        <f>IF(Setup!$B$5=128,Teams!$B$89,"")</f>
        <v>Team 86</v>
      </c>
      <c r="E68" s="11"/>
      <c r="F68" s="12"/>
      <c r="G68" s="13" t="str">
        <f t="shared" si="4"/>
        <v/>
      </c>
      <c r="H68" s="1"/>
      <c r="I68" s="1"/>
      <c r="J68" s="1"/>
      <c r="K68" s="8"/>
      <c r="L68" s="1"/>
      <c r="M68" s="8"/>
      <c r="N68" s="1"/>
      <c r="O68" s="1"/>
      <c r="P68" s="1"/>
      <c r="Q68" s="1"/>
      <c r="R68" s="1"/>
      <c r="S68" s="8"/>
      <c r="T68" s="1"/>
      <c r="U68" s="8"/>
      <c r="V68" s="1"/>
      <c r="W68" s="1"/>
      <c r="X68" s="1"/>
      <c r="Y68" s="1"/>
      <c r="Z68" s="1"/>
      <c r="AA68" s="8"/>
      <c r="AB68" s="1"/>
      <c r="AC68" s="8"/>
      <c r="AD68" s="1"/>
      <c r="AE68" s="1"/>
      <c r="AF68" s="1"/>
      <c r="AG68" s="1"/>
      <c r="AH68" s="1"/>
      <c r="AI68" s="8"/>
      <c r="AJ68" s="1"/>
      <c r="AK68" s="8"/>
      <c r="AL68" s="1"/>
      <c r="AM68" s="1"/>
      <c r="AN68" s="1"/>
      <c r="AO68" s="1"/>
      <c r="AP68" s="1"/>
      <c r="AQ68" s="8"/>
      <c r="AR68" s="1"/>
      <c r="AS68" s="8"/>
      <c r="AT68" s="1"/>
      <c r="AU68" s="1"/>
      <c r="AV68" s="1"/>
      <c r="AW68" s="1"/>
      <c r="AX68" s="1"/>
      <c r="AY68" s="8"/>
      <c r="AZ68" s="1"/>
      <c r="BA68" s="8"/>
      <c r="BB68" s="1"/>
      <c r="BC68" s="1"/>
    </row>
    <row r="69" spans="1:5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</row>
  </sheetData>
  <mergeCells count="10">
    <mergeCell ref="AW12:BC12"/>
    <mergeCell ref="A1:BC1"/>
    <mergeCell ref="A2:BC2"/>
    <mergeCell ref="A3:G3"/>
    <mergeCell ref="I3:O3"/>
    <mergeCell ref="Q3:W3"/>
    <mergeCell ref="Y3:AE3"/>
    <mergeCell ref="AG3:AM3"/>
    <mergeCell ref="AO3:AU3"/>
    <mergeCell ref="AW3:BC3"/>
  </mergeCell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E11" sqref="E11"/>
    </sheetView>
  </sheetViews>
  <sheetFormatPr defaultRowHeight="14.25"/>
  <cols>
    <col min="1" max="2" width="24" customWidth="1"/>
    <col min="3" max="3" width="36" customWidth="1"/>
    <col min="4" max="4" width="24" customWidth="1"/>
  </cols>
  <sheetData>
    <row r="1" spans="1:4" ht="24" customHeight="1">
      <c r="A1" s="18" t="s">
        <v>194</v>
      </c>
      <c r="B1" s="19"/>
      <c r="C1" s="19"/>
      <c r="D1" s="19"/>
    </row>
    <row r="2" spans="1:4">
      <c r="A2" s="1"/>
      <c r="B2" s="1"/>
      <c r="C2" s="1"/>
      <c r="D2" s="1"/>
    </row>
    <row r="3" spans="1:4" ht="15">
      <c r="A3" s="3" t="s">
        <v>195</v>
      </c>
      <c r="B3" s="3" t="s">
        <v>196</v>
      </c>
      <c r="C3" s="3" t="s">
        <v>18</v>
      </c>
      <c r="D3" s="3" t="s">
        <v>197</v>
      </c>
    </row>
    <row r="4" spans="1:4" ht="15">
      <c r="A4" s="3" t="s">
        <v>198</v>
      </c>
      <c r="B4" s="6" t="str">
        <f>Setup!$B$4</f>
        <v>Knockout Tournament</v>
      </c>
      <c r="C4" s="1" t="s">
        <v>199</v>
      </c>
      <c r="D4" s="1"/>
    </row>
    <row r="5" spans="1:4" ht="15">
      <c r="A5" s="3" t="s">
        <v>200</v>
      </c>
      <c r="B5" s="14">
        <f>Setup!$B$5</f>
        <v>128</v>
      </c>
      <c r="C5" s="1" t="s">
        <v>201</v>
      </c>
      <c r="D5" s="1"/>
    </row>
    <row r="6" spans="1:4" ht="15">
      <c r="A6" s="3" t="s">
        <v>33</v>
      </c>
      <c r="B6" s="6" t="str">
        <f>Setup!$B$6</f>
        <v>Yes</v>
      </c>
      <c r="C6" s="1" t="s">
        <v>202</v>
      </c>
      <c r="D6" s="1"/>
    </row>
    <row r="7" spans="1:4" ht="15">
      <c r="A7" s="3" t="s">
        <v>203</v>
      </c>
      <c r="B7" s="6" t="str">
        <f>IF('Knockout Draw'!$BC$5="","",'Knockout Draw'!$BC$5)</f>
        <v/>
      </c>
      <c r="C7" s="1" t="s">
        <v>204</v>
      </c>
      <c r="D7" s="1"/>
    </row>
    <row r="8" spans="1:4" ht="15">
      <c r="A8" s="3" t="s">
        <v>205</v>
      </c>
      <c r="B8" s="6" t="str">
        <f>IF('Knockout Draw'!$BC$5="","",IF('Knockout Draw'!$BC$5='Knockout Draw'!$AX$5,'Knockout Draw'!$AZ$5,IF('Knockout Draw'!$BC$5='Knockout Draw'!$AZ$5,'Knockout Draw'!$AX$5,"")))</f>
        <v/>
      </c>
      <c r="C8" s="1" t="s">
        <v>206</v>
      </c>
      <c r="D8" s="1"/>
    </row>
    <row r="9" spans="1:4" ht="15">
      <c r="A9" s="3" t="s">
        <v>207</v>
      </c>
      <c r="B9" s="6" t="str">
        <f>IF(Setup!$B$6="Yes",IF('Knockout Draw'!$BC$14="","",'Knockout Draw'!$BC$14),"")</f>
        <v/>
      </c>
      <c r="C9" s="1" t="s">
        <v>208</v>
      </c>
      <c r="D9" s="1"/>
    </row>
    <row r="10" spans="1:4" ht="28.5">
      <c r="A10" s="3" t="s">
        <v>209</v>
      </c>
      <c r="B10" s="14">
        <f>COUNTIFS('Knockout Draw'!$C$5:$C$68,"&lt;&gt;",'Knockout Draw'!$E$5:$E$68,"&lt;&gt;")+COUNTIFS('Knockout Draw'!$K$5:$K$36,"&lt;&gt;",'Knockout Draw'!$M$5:$M$36,"&lt;&gt;")+COUNTIFS('Knockout Draw'!$S$5:$S$20,"&lt;&gt;",'Knockout Draw'!$U$5:$U$20,"&lt;&gt;")+COUNTIFS('Knockout Draw'!$AA$5:$AA$12,"&lt;&gt;",'Knockout Draw'!$AC$5:$AC$12,"&lt;&gt;")+COUNTIFS('Knockout Draw'!$AI$5:$AI$8,"&lt;&gt;",'Knockout Draw'!$AK$5:$AK$8,"&lt;&gt;")+COUNTIFS('Knockout Draw'!$AQ$5:$AQ$6,"&lt;&gt;",'Knockout Draw'!$AS$5:$AS$6,"&lt;&gt;")+COUNTIFS('Knockout Draw'!$AY$5:$AY$5,"&lt;&gt;",'Knockout Draw'!$BA$5:$BA$5,"&lt;&gt;")+IF(AND('Knockout Draw'!$AY$14&lt;&gt;"",'Knockout Draw'!$BA$14&lt;&gt;""),1,0)</f>
        <v>0</v>
      </c>
      <c r="C10" s="1" t="s">
        <v>210</v>
      </c>
      <c r="D10" s="1"/>
    </row>
    <row r="11" spans="1:4" ht="28.5">
      <c r="A11" s="3" t="s">
        <v>211</v>
      </c>
      <c r="B11" s="14">
        <f>Setup!$B$5-1+IF(Setup!$B$6="Yes",1,0)</f>
        <v>128</v>
      </c>
      <c r="C11" s="1" t="s">
        <v>212</v>
      </c>
      <c r="D11" s="1"/>
    </row>
    <row r="12" spans="1:4" ht="15">
      <c r="A12" s="3" t="s">
        <v>213</v>
      </c>
      <c r="B12" s="15">
        <f>IF(B11=0,"",B10/B11)</f>
        <v>0</v>
      </c>
      <c r="C12" s="1" t="s">
        <v>214</v>
      </c>
      <c r="D12" s="1"/>
    </row>
    <row r="15" spans="1:4" ht="15">
      <c r="A15" s="21" t="s">
        <v>215</v>
      </c>
      <c r="B15" s="17"/>
      <c r="C15" s="17"/>
      <c r="D15" s="17"/>
    </row>
    <row r="16" spans="1:4" ht="57">
      <c r="A16" s="1" t="s">
        <v>216</v>
      </c>
      <c r="B16" s="1"/>
      <c r="C16" s="1"/>
      <c r="D16" s="1"/>
    </row>
    <row r="17" spans="1:4" ht="71.25">
      <c r="A17" s="1" t="s">
        <v>217</v>
      </c>
      <c r="B17" s="1"/>
      <c r="C17" s="1"/>
      <c r="D17" s="1"/>
    </row>
    <row r="18" spans="1:4" ht="71.25">
      <c r="A18" s="1" t="s">
        <v>218</v>
      </c>
      <c r="B18" s="1"/>
      <c r="C18" s="1"/>
      <c r="D18" s="1"/>
    </row>
    <row r="19" spans="1:4" ht="42.75">
      <c r="A19" s="1" t="s">
        <v>219</v>
      </c>
      <c r="B19" s="1"/>
      <c r="C19" s="1"/>
      <c r="D19" s="1"/>
    </row>
  </sheetData>
  <mergeCells count="2">
    <mergeCell ref="A1:D1"/>
    <mergeCell ref="A15:D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1"/>
  <sheetViews>
    <sheetView workbookViewId="0">
      <selection activeCell="L9" sqref="L9"/>
    </sheetView>
  </sheetViews>
  <sheetFormatPr defaultRowHeight="14.25"/>
  <cols>
    <col min="1" max="8" width="12" customWidth="1"/>
  </cols>
  <sheetData>
    <row r="1" spans="1:8" ht="24" customHeight="1">
      <c r="A1" s="16" t="s">
        <v>220</v>
      </c>
      <c r="B1" s="17"/>
      <c r="C1" s="17"/>
      <c r="D1" s="17"/>
      <c r="E1" s="17"/>
      <c r="F1" s="17"/>
      <c r="G1" s="17"/>
      <c r="H1" s="17"/>
    </row>
    <row r="3" spans="1:8" ht="15">
      <c r="A3" s="2" t="s">
        <v>221</v>
      </c>
      <c r="B3" s="2" t="s">
        <v>12</v>
      </c>
      <c r="C3" s="2" t="s">
        <v>222</v>
      </c>
      <c r="D3" s="2" t="s">
        <v>223</v>
      </c>
      <c r="E3" s="2" t="s">
        <v>224</v>
      </c>
      <c r="F3" s="2" t="s">
        <v>225</v>
      </c>
      <c r="G3" s="2" t="s">
        <v>226</v>
      </c>
      <c r="H3" s="2" t="s">
        <v>227</v>
      </c>
    </row>
    <row r="4" spans="1:8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</row>
    <row r="5" spans="1:8">
      <c r="A5">
        <v>2</v>
      </c>
      <c r="B5">
        <v>4</v>
      </c>
      <c r="C5">
        <v>8</v>
      </c>
      <c r="D5">
        <v>16</v>
      </c>
      <c r="E5">
        <v>32</v>
      </c>
      <c r="F5">
        <v>64</v>
      </c>
      <c r="G5">
        <v>128</v>
      </c>
    </row>
    <row r="6" spans="1:8">
      <c r="A6">
        <v>3</v>
      </c>
      <c r="B6">
        <v>2</v>
      </c>
      <c r="C6">
        <v>4</v>
      </c>
      <c r="D6">
        <v>8</v>
      </c>
      <c r="E6">
        <v>16</v>
      </c>
      <c r="F6">
        <v>32</v>
      </c>
      <c r="G6">
        <v>64</v>
      </c>
    </row>
    <row r="7" spans="1:8">
      <c r="A7">
        <v>4</v>
      </c>
      <c r="B7">
        <v>3</v>
      </c>
      <c r="C7">
        <v>5</v>
      </c>
      <c r="D7">
        <v>9</v>
      </c>
      <c r="E7">
        <v>17</v>
      </c>
      <c r="F7">
        <v>33</v>
      </c>
      <c r="G7">
        <v>65</v>
      </c>
    </row>
    <row r="8" spans="1:8">
      <c r="A8">
        <v>5</v>
      </c>
      <c r="C8">
        <v>2</v>
      </c>
      <c r="D8">
        <v>4</v>
      </c>
      <c r="E8">
        <v>8</v>
      </c>
      <c r="F8">
        <v>16</v>
      </c>
      <c r="G8">
        <v>32</v>
      </c>
    </row>
    <row r="9" spans="1:8">
      <c r="A9">
        <v>6</v>
      </c>
      <c r="C9">
        <v>7</v>
      </c>
      <c r="D9">
        <v>13</v>
      </c>
      <c r="E9">
        <v>25</v>
      </c>
      <c r="F9">
        <v>49</v>
      </c>
      <c r="G9">
        <v>97</v>
      </c>
    </row>
    <row r="10" spans="1:8">
      <c r="A10">
        <v>7</v>
      </c>
      <c r="C10">
        <v>3</v>
      </c>
      <c r="D10">
        <v>5</v>
      </c>
      <c r="E10">
        <v>9</v>
      </c>
      <c r="F10">
        <v>17</v>
      </c>
      <c r="G10">
        <v>33</v>
      </c>
    </row>
    <row r="11" spans="1:8">
      <c r="A11">
        <v>8</v>
      </c>
      <c r="C11">
        <v>6</v>
      </c>
      <c r="D11">
        <v>12</v>
      </c>
      <c r="E11">
        <v>24</v>
      </c>
      <c r="F11">
        <v>48</v>
      </c>
      <c r="G11">
        <v>96</v>
      </c>
    </row>
    <row r="12" spans="1:8">
      <c r="A12">
        <v>9</v>
      </c>
      <c r="D12">
        <v>2</v>
      </c>
      <c r="E12">
        <v>4</v>
      </c>
      <c r="F12">
        <v>8</v>
      </c>
      <c r="G12">
        <v>16</v>
      </c>
    </row>
    <row r="13" spans="1:8">
      <c r="A13">
        <v>10</v>
      </c>
      <c r="D13">
        <v>15</v>
      </c>
      <c r="E13">
        <v>29</v>
      </c>
      <c r="F13">
        <v>57</v>
      </c>
      <c r="G13">
        <v>113</v>
      </c>
    </row>
    <row r="14" spans="1:8">
      <c r="A14">
        <v>11</v>
      </c>
      <c r="D14">
        <v>7</v>
      </c>
      <c r="E14">
        <v>13</v>
      </c>
      <c r="F14">
        <v>25</v>
      </c>
      <c r="G14">
        <v>49</v>
      </c>
    </row>
    <row r="15" spans="1:8">
      <c r="A15">
        <v>12</v>
      </c>
      <c r="D15">
        <v>10</v>
      </c>
      <c r="E15">
        <v>20</v>
      </c>
      <c r="F15">
        <v>40</v>
      </c>
      <c r="G15">
        <v>80</v>
      </c>
    </row>
    <row r="16" spans="1:8">
      <c r="A16">
        <v>13</v>
      </c>
      <c r="D16">
        <v>3</v>
      </c>
      <c r="E16">
        <v>5</v>
      </c>
      <c r="F16">
        <v>9</v>
      </c>
      <c r="G16">
        <v>17</v>
      </c>
    </row>
    <row r="17" spans="1:7">
      <c r="A17">
        <v>14</v>
      </c>
      <c r="D17">
        <v>14</v>
      </c>
      <c r="E17">
        <v>28</v>
      </c>
      <c r="F17">
        <v>56</v>
      </c>
      <c r="G17">
        <v>112</v>
      </c>
    </row>
    <row r="18" spans="1:7">
      <c r="A18">
        <v>15</v>
      </c>
      <c r="D18">
        <v>6</v>
      </c>
      <c r="E18">
        <v>12</v>
      </c>
      <c r="F18">
        <v>24</v>
      </c>
      <c r="G18">
        <v>48</v>
      </c>
    </row>
    <row r="19" spans="1:7">
      <c r="A19">
        <v>16</v>
      </c>
      <c r="D19">
        <v>11</v>
      </c>
      <c r="E19">
        <v>21</v>
      </c>
      <c r="F19">
        <v>41</v>
      </c>
      <c r="G19">
        <v>81</v>
      </c>
    </row>
    <row r="20" spans="1:7">
      <c r="A20">
        <v>17</v>
      </c>
      <c r="E20">
        <v>2</v>
      </c>
      <c r="F20">
        <v>4</v>
      </c>
      <c r="G20">
        <v>8</v>
      </c>
    </row>
    <row r="21" spans="1:7">
      <c r="A21">
        <v>18</v>
      </c>
      <c r="E21">
        <v>31</v>
      </c>
      <c r="F21">
        <v>61</v>
      </c>
      <c r="G21">
        <v>121</v>
      </c>
    </row>
    <row r="22" spans="1:7">
      <c r="A22">
        <v>19</v>
      </c>
      <c r="E22">
        <v>15</v>
      </c>
      <c r="F22">
        <v>29</v>
      </c>
      <c r="G22">
        <v>57</v>
      </c>
    </row>
    <row r="23" spans="1:7">
      <c r="A23">
        <v>20</v>
      </c>
      <c r="E23">
        <v>18</v>
      </c>
      <c r="F23">
        <v>36</v>
      </c>
      <c r="G23">
        <v>72</v>
      </c>
    </row>
    <row r="24" spans="1:7">
      <c r="A24">
        <v>21</v>
      </c>
      <c r="E24">
        <v>7</v>
      </c>
      <c r="F24">
        <v>13</v>
      </c>
      <c r="G24">
        <v>25</v>
      </c>
    </row>
    <row r="25" spans="1:7">
      <c r="A25">
        <v>22</v>
      </c>
      <c r="E25">
        <v>26</v>
      </c>
      <c r="F25">
        <v>52</v>
      </c>
      <c r="G25">
        <v>104</v>
      </c>
    </row>
    <row r="26" spans="1:7">
      <c r="A26">
        <v>23</v>
      </c>
      <c r="E26">
        <v>10</v>
      </c>
      <c r="F26">
        <v>20</v>
      </c>
      <c r="G26">
        <v>40</v>
      </c>
    </row>
    <row r="27" spans="1:7">
      <c r="A27">
        <v>24</v>
      </c>
      <c r="E27">
        <v>23</v>
      </c>
      <c r="F27">
        <v>45</v>
      </c>
      <c r="G27">
        <v>89</v>
      </c>
    </row>
    <row r="28" spans="1:7">
      <c r="A28">
        <v>25</v>
      </c>
      <c r="E28">
        <v>3</v>
      </c>
      <c r="F28">
        <v>5</v>
      </c>
      <c r="G28">
        <v>9</v>
      </c>
    </row>
    <row r="29" spans="1:7">
      <c r="A29">
        <v>26</v>
      </c>
      <c r="E29">
        <v>30</v>
      </c>
      <c r="F29">
        <v>60</v>
      </c>
      <c r="G29">
        <v>120</v>
      </c>
    </row>
    <row r="30" spans="1:7">
      <c r="A30">
        <v>27</v>
      </c>
      <c r="E30">
        <v>14</v>
      </c>
      <c r="F30">
        <v>28</v>
      </c>
      <c r="G30">
        <v>56</v>
      </c>
    </row>
    <row r="31" spans="1:7">
      <c r="A31">
        <v>28</v>
      </c>
      <c r="E31">
        <v>19</v>
      </c>
      <c r="F31">
        <v>37</v>
      </c>
      <c r="G31">
        <v>73</v>
      </c>
    </row>
    <row r="32" spans="1:7">
      <c r="A32">
        <v>29</v>
      </c>
      <c r="E32">
        <v>6</v>
      </c>
      <c r="F32">
        <v>12</v>
      </c>
      <c r="G32">
        <v>24</v>
      </c>
    </row>
    <row r="33" spans="1:7">
      <c r="A33">
        <v>30</v>
      </c>
      <c r="E33">
        <v>27</v>
      </c>
      <c r="F33">
        <v>53</v>
      </c>
      <c r="G33">
        <v>105</v>
      </c>
    </row>
    <row r="34" spans="1:7">
      <c r="A34">
        <v>31</v>
      </c>
      <c r="E34">
        <v>11</v>
      </c>
      <c r="F34">
        <v>21</v>
      </c>
      <c r="G34">
        <v>41</v>
      </c>
    </row>
    <row r="35" spans="1:7">
      <c r="A35">
        <v>32</v>
      </c>
      <c r="E35">
        <v>22</v>
      </c>
      <c r="F35">
        <v>44</v>
      </c>
      <c r="G35">
        <v>88</v>
      </c>
    </row>
    <row r="36" spans="1:7">
      <c r="A36">
        <v>33</v>
      </c>
      <c r="F36">
        <v>2</v>
      </c>
      <c r="G36">
        <v>4</v>
      </c>
    </row>
    <row r="37" spans="1:7">
      <c r="A37">
        <v>34</v>
      </c>
      <c r="F37">
        <v>63</v>
      </c>
      <c r="G37">
        <v>125</v>
      </c>
    </row>
    <row r="38" spans="1:7">
      <c r="A38">
        <v>35</v>
      </c>
      <c r="F38">
        <v>31</v>
      </c>
      <c r="G38">
        <v>61</v>
      </c>
    </row>
    <row r="39" spans="1:7">
      <c r="A39">
        <v>36</v>
      </c>
      <c r="F39">
        <v>34</v>
      </c>
      <c r="G39">
        <v>68</v>
      </c>
    </row>
    <row r="40" spans="1:7">
      <c r="A40">
        <v>37</v>
      </c>
      <c r="F40">
        <v>15</v>
      </c>
      <c r="G40">
        <v>29</v>
      </c>
    </row>
    <row r="41" spans="1:7">
      <c r="A41">
        <v>38</v>
      </c>
      <c r="F41">
        <v>50</v>
      </c>
      <c r="G41">
        <v>100</v>
      </c>
    </row>
    <row r="42" spans="1:7">
      <c r="A42">
        <v>39</v>
      </c>
      <c r="F42">
        <v>18</v>
      </c>
      <c r="G42">
        <v>36</v>
      </c>
    </row>
    <row r="43" spans="1:7">
      <c r="A43">
        <v>40</v>
      </c>
      <c r="F43">
        <v>47</v>
      </c>
      <c r="G43">
        <v>93</v>
      </c>
    </row>
    <row r="44" spans="1:7">
      <c r="A44">
        <v>41</v>
      </c>
      <c r="F44">
        <v>7</v>
      </c>
      <c r="G44">
        <v>13</v>
      </c>
    </row>
    <row r="45" spans="1:7">
      <c r="A45">
        <v>42</v>
      </c>
      <c r="F45">
        <v>58</v>
      </c>
      <c r="G45">
        <v>116</v>
      </c>
    </row>
    <row r="46" spans="1:7">
      <c r="A46">
        <v>43</v>
      </c>
      <c r="F46">
        <v>26</v>
      </c>
      <c r="G46">
        <v>52</v>
      </c>
    </row>
    <row r="47" spans="1:7">
      <c r="A47">
        <v>44</v>
      </c>
      <c r="F47">
        <v>39</v>
      </c>
      <c r="G47">
        <v>77</v>
      </c>
    </row>
    <row r="48" spans="1:7">
      <c r="A48">
        <v>45</v>
      </c>
      <c r="F48">
        <v>10</v>
      </c>
      <c r="G48">
        <v>20</v>
      </c>
    </row>
    <row r="49" spans="1:7">
      <c r="A49">
        <v>46</v>
      </c>
      <c r="F49">
        <v>55</v>
      </c>
      <c r="G49">
        <v>109</v>
      </c>
    </row>
    <row r="50" spans="1:7">
      <c r="A50">
        <v>47</v>
      </c>
      <c r="F50">
        <v>23</v>
      </c>
      <c r="G50">
        <v>45</v>
      </c>
    </row>
    <row r="51" spans="1:7">
      <c r="A51">
        <v>48</v>
      </c>
      <c r="F51">
        <v>42</v>
      </c>
      <c r="G51">
        <v>84</v>
      </c>
    </row>
    <row r="52" spans="1:7">
      <c r="A52">
        <v>49</v>
      </c>
      <c r="F52">
        <v>3</v>
      </c>
      <c r="G52">
        <v>5</v>
      </c>
    </row>
    <row r="53" spans="1:7">
      <c r="A53">
        <v>50</v>
      </c>
      <c r="F53">
        <v>62</v>
      </c>
      <c r="G53">
        <v>124</v>
      </c>
    </row>
    <row r="54" spans="1:7">
      <c r="A54">
        <v>51</v>
      </c>
      <c r="F54">
        <v>30</v>
      </c>
      <c r="G54">
        <v>60</v>
      </c>
    </row>
    <row r="55" spans="1:7">
      <c r="A55">
        <v>52</v>
      </c>
      <c r="F55">
        <v>35</v>
      </c>
      <c r="G55">
        <v>69</v>
      </c>
    </row>
    <row r="56" spans="1:7">
      <c r="A56">
        <v>53</v>
      </c>
      <c r="F56">
        <v>14</v>
      </c>
      <c r="G56">
        <v>28</v>
      </c>
    </row>
    <row r="57" spans="1:7">
      <c r="A57">
        <v>54</v>
      </c>
      <c r="F57">
        <v>51</v>
      </c>
      <c r="G57">
        <v>101</v>
      </c>
    </row>
    <row r="58" spans="1:7">
      <c r="A58">
        <v>55</v>
      </c>
      <c r="F58">
        <v>19</v>
      </c>
      <c r="G58">
        <v>37</v>
      </c>
    </row>
    <row r="59" spans="1:7">
      <c r="A59">
        <v>56</v>
      </c>
      <c r="F59">
        <v>46</v>
      </c>
      <c r="G59">
        <v>92</v>
      </c>
    </row>
    <row r="60" spans="1:7">
      <c r="A60">
        <v>57</v>
      </c>
      <c r="F60">
        <v>6</v>
      </c>
      <c r="G60">
        <v>12</v>
      </c>
    </row>
    <row r="61" spans="1:7">
      <c r="A61">
        <v>58</v>
      </c>
      <c r="F61">
        <v>59</v>
      </c>
      <c r="G61">
        <v>117</v>
      </c>
    </row>
    <row r="62" spans="1:7">
      <c r="A62">
        <v>59</v>
      </c>
      <c r="F62">
        <v>27</v>
      </c>
      <c r="G62">
        <v>53</v>
      </c>
    </row>
    <row r="63" spans="1:7">
      <c r="A63">
        <v>60</v>
      </c>
      <c r="F63">
        <v>38</v>
      </c>
      <c r="G63">
        <v>76</v>
      </c>
    </row>
    <row r="64" spans="1:7">
      <c r="A64">
        <v>61</v>
      </c>
      <c r="F64">
        <v>11</v>
      </c>
      <c r="G64">
        <v>21</v>
      </c>
    </row>
    <row r="65" spans="1:7">
      <c r="A65">
        <v>62</v>
      </c>
      <c r="F65">
        <v>54</v>
      </c>
      <c r="G65">
        <v>108</v>
      </c>
    </row>
    <row r="66" spans="1:7">
      <c r="A66">
        <v>63</v>
      </c>
      <c r="F66">
        <v>22</v>
      </c>
      <c r="G66">
        <v>44</v>
      </c>
    </row>
    <row r="67" spans="1:7">
      <c r="A67">
        <v>64</v>
      </c>
      <c r="F67">
        <v>43</v>
      </c>
      <c r="G67">
        <v>85</v>
      </c>
    </row>
    <row r="68" spans="1:7">
      <c r="A68">
        <v>65</v>
      </c>
      <c r="G68">
        <v>2</v>
      </c>
    </row>
    <row r="69" spans="1:7">
      <c r="A69">
        <v>66</v>
      </c>
      <c r="G69">
        <v>127</v>
      </c>
    </row>
    <row r="70" spans="1:7">
      <c r="A70">
        <v>67</v>
      </c>
      <c r="G70">
        <v>63</v>
      </c>
    </row>
    <row r="71" spans="1:7">
      <c r="A71">
        <v>68</v>
      </c>
      <c r="G71">
        <v>66</v>
      </c>
    </row>
    <row r="72" spans="1:7">
      <c r="A72">
        <v>69</v>
      </c>
      <c r="G72">
        <v>31</v>
      </c>
    </row>
    <row r="73" spans="1:7">
      <c r="A73">
        <v>70</v>
      </c>
      <c r="G73">
        <v>98</v>
      </c>
    </row>
    <row r="74" spans="1:7">
      <c r="A74">
        <v>71</v>
      </c>
      <c r="G74">
        <v>34</v>
      </c>
    </row>
    <row r="75" spans="1:7">
      <c r="A75">
        <v>72</v>
      </c>
      <c r="G75">
        <v>95</v>
      </c>
    </row>
    <row r="76" spans="1:7">
      <c r="A76">
        <v>73</v>
      </c>
      <c r="G76">
        <v>15</v>
      </c>
    </row>
    <row r="77" spans="1:7">
      <c r="A77">
        <v>74</v>
      </c>
      <c r="G77">
        <v>114</v>
      </c>
    </row>
    <row r="78" spans="1:7">
      <c r="A78">
        <v>75</v>
      </c>
      <c r="G78">
        <v>50</v>
      </c>
    </row>
    <row r="79" spans="1:7">
      <c r="A79">
        <v>76</v>
      </c>
      <c r="G79">
        <v>79</v>
      </c>
    </row>
    <row r="80" spans="1:7">
      <c r="A80">
        <v>77</v>
      </c>
      <c r="G80">
        <v>18</v>
      </c>
    </row>
    <row r="81" spans="1:7">
      <c r="A81">
        <v>78</v>
      </c>
      <c r="G81">
        <v>111</v>
      </c>
    </row>
    <row r="82" spans="1:7">
      <c r="A82">
        <v>79</v>
      </c>
      <c r="G82">
        <v>47</v>
      </c>
    </row>
    <row r="83" spans="1:7">
      <c r="A83">
        <v>80</v>
      </c>
      <c r="G83">
        <v>82</v>
      </c>
    </row>
    <row r="84" spans="1:7">
      <c r="A84">
        <v>81</v>
      </c>
      <c r="G84">
        <v>7</v>
      </c>
    </row>
    <row r="85" spans="1:7">
      <c r="A85">
        <v>82</v>
      </c>
      <c r="G85">
        <v>122</v>
      </c>
    </row>
    <row r="86" spans="1:7">
      <c r="A86">
        <v>83</v>
      </c>
      <c r="G86">
        <v>58</v>
      </c>
    </row>
    <row r="87" spans="1:7">
      <c r="A87">
        <v>84</v>
      </c>
      <c r="G87">
        <v>71</v>
      </c>
    </row>
    <row r="88" spans="1:7">
      <c r="A88">
        <v>85</v>
      </c>
      <c r="G88">
        <v>26</v>
      </c>
    </row>
    <row r="89" spans="1:7">
      <c r="A89">
        <v>86</v>
      </c>
      <c r="G89">
        <v>103</v>
      </c>
    </row>
    <row r="90" spans="1:7">
      <c r="A90">
        <v>87</v>
      </c>
      <c r="G90">
        <v>39</v>
      </c>
    </row>
    <row r="91" spans="1:7">
      <c r="A91">
        <v>88</v>
      </c>
      <c r="G91">
        <v>90</v>
      </c>
    </row>
    <row r="92" spans="1:7">
      <c r="A92">
        <v>89</v>
      </c>
      <c r="G92">
        <v>10</v>
      </c>
    </row>
    <row r="93" spans="1:7">
      <c r="A93">
        <v>90</v>
      </c>
      <c r="G93">
        <v>119</v>
      </c>
    </row>
    <row r="94" spans="1:7">
      <c r="A94">
        <v>91</v>
      </c>
      <c r="G94">
        <v>55</v>
      </c>
    </row>
    <row r="95" spans="1:7">
      <c r="A95">
        <v>92</v>
      </c>
      <c r="G95">
        <v>74</v>
      </c>
    </row>
    <row r="96" spans="1:7">
      <c r="A96">
        <v>93</v>
      </c>
      <c r="G96">
        <v>23</v>
      </c>
    </row>
    <row r="97" spans="1:7">
      <c r="A97">
        <v>94</v>
      </c>
      <c r="G97">
        <v>106</v>
      </c>
    </row>
    <row r="98" spans="1:7">
      <c r="A98">
        <v>95</v>
      </c>
      <c r="G98">
        <v>42</v>
      </c>
    </row>
    <row r="99" spans="1:7">
      <c r="A99">
        <v>96</v>
      </c>
      <c r="G99">
        <v>87</v>
      </c>
    </row>
    <row r="100" spans="1:7">
      <c r="A100">
        <v>97</v>
      </c>
      <c r="G100">
        <v>3</v>
      </c>
    </row>
    <row r="101" spans="1:7">
      <c r="A101">
        <v>98</v>
      </c>
      <c r="G101">
        <v>126</v>
      </c>
    </row>
    <row r="102" spans="1:7">
      <c r="A102">
        <v>99</v>
      </c>
      <c r="G102">
        <v>62</v>
      </c>
    </row>
    <row r="103" spans="1:7">
      <c r="A103">
        <v>100</v>
      </c>
      <c r="G103">
        <v>67</v>
      </c>
    </row>
    <row r="104" spans="1:7">
      <c r="A104">
        <v>101</v>
      </c>
      <c r="G104">
        <v>30</v>
      </c>
    </row>
    <row r="105" spans="1:7">
      <c r="A105">
        <v>102</v>
      </c>
      <c r="G105">
        <v>99</v>
      </c>
    </row>
    <row r="106" spans="1:7">
      <c r="A106">
        <v>103</v>
      </c>
      <c r="G106">
        <v>35</v>
      </c>
    </row>
    <row r="107" spans="1:7">
      <c r="A107">
        <v>104</v>
      </c>
      <c r="G107">
        <v>94</v>
      </c>
    </row>
    <row r="108" spans="1:7">
      <c r="A108">
        <v>105</v>
      </c>
      <c r="G108">
        <v>14</v>
      </c>
    </row>
    <row r="109" spans="1:7">
      <c r="A109">
        <v>106</v>
      </c>
      <c r="G109">
        <v>115</v>
      </c>
    </row>
    <row r="110" spans="1:7">
      <c r="A110">
        <v>107</v>
      </c>
      <c r="G110">
        <v>51</v>
      </c>
    </row>
    <row r="111" spans="1:7">
      <c r="A111">
        <v>108</v>
      </c>
      <c r="G111">
        <v>78</v>
      </c>
    </row>
    <row r="112" spans="1:7">
      <c r="A112">
        <v>109</v>
      </c>
      <c r="G112">
        <v>19</v>
      </c>
    </row>
    <row r="113" spans="1:7">
      <c r="A113">
        <v>110</v>
      </c>
      <c r="G113">
        <v>110</v>
      </c>
    </row>
    <row r="114" spans="1:7">
      <c r="A114">
        <v>111</v>
      </c>
      <c r="G114">
        <v>46</v>
      </c>
    </row>
    <row r="115" spans="1:7">
      <c r="A115">
        <v>112</v>
      </c>
      <c r="G115">
        <v>83</v>
      </c>
    </row>
    <row r="116" spans="1:7">
      <c r="A116">
        <v>113</v>
      </c>
      <c r="G116">
        <v>6</v>
      </c>
    </row>
    <row r="117" spans="1:7">
      <c r="A117">
        <v>114</v>
      </c>
      <c r="G117">
        <v>123</v>
      </c>
    </row>
    <row r="118" spans="1:7">
      <c r="A118">
        <v>115</v>
      </c>
      <c r="G118">
        <v>59</v>
      </c>
    </row>
    <row r="119" spans="1:7">
      <c r="A119">
        <v>116</v>
      </c>
      <c r="G119">
        <v>70</v>
      </c>
    </row>
    <row r="120" spans="1:7">
      <c r="A120">
        <v>117</v>
      </c>
      <c r="G120">
        <v>27</v>
      </c>
    </row>
    <row r="121" spans="1:7">
      <c r="A121">
        <v>118</v>
      </c>
      <c r="G121">
        <v>102</v>
      </c>
    </row>
    <row r="122" spans="1:7">
      <c r="A122">
        <v>119</v>
      </c>
      <c r="G122">
        <v>38</v>
      </c>
    </row>
    <row r="123" spans="1:7">
      <c r="A123">
        <v>120</v>
      </c>
      <c r="G123">
        <v>91</v>
      </c>
    </row>
    <row r="124" spans="1:7">
      <c r="A124">
        <v>121</v>
      </c>
      <c r="G124">
        <v>11</v>
      </c>
    </row>
    <row r="125" spans="1:7">
      <c r="A125">
        <v>122</v>
      </c>
      <c r="G125">
        <v>118</v>
      </c>
    </row>
    <row r="126" spans="1:7">
      <c r="A126">
        <v>123</v>
      </c>
      <c r="G126">
        <v>54</v>
      </c>
    </row>
    <row r="127" spans="1:7">
      <c r="A127">
        <v>124</v>
      </c>
      <c r="G127">
        <v>75</v>
      </c>
    </row>
    <row r="128" spans="1:7">
      <c r="A128">
        <v>125</v>
      </c>
      <c r="G128">
        <v>22</v>
      </c>
    </row>
    <row r="129" spans="1:7">
      <c r="A129">
        <v>126</v>
      </c>
      <c r="G129">
        <v>107</v>
      </c>
    </row>
    <row r="130" spans="1:7">
      <c r="A130">
        <v>127</v>
      </c>
      <c r="G130">
        <v>43</v>
      </c>
    </row>
    <row r="131" spans="1:7">
      <c r="A131">
        <v>128</v>
      </c>
      <c r="G131">
        <v>86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Guide</vt:lpstr>
      <vt:lpstr>Setup</vt:lpstr>
      <vt:lpstr>Teams</vt:lpstr>
      <vt:lpstr>Knockout Draw</vt:lpstr>
      <vt:lpstr>Summary</vt:lpstr>
      <vt:lpstr>Seed 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2026-06-30T08:14:21Z</dcterms:created>
  <dcterms:modified xsi:type="dcterms:W3CDTF">2026-07-01T04:38:36Z</dcterms:modified>
</cp:coreProperties>
</file>