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e654ef7bbbcd4d0/ISMT Project/STR Files/"/>
    </mc:Choice>
  </mc:AlternateContent>
  <xr:revisionPtr revIDLastSave="0" documentId="8_{BAC77B54-A347-4995-8CEF-BC15078056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ME" sheetId="1" r:id="rId1"/>
    <sheet name="SWOT Assessment" sheetId="2" r:id="rId2"/>
    <sheet name="SWOT Matrix" sheetId="3" r:id="rId3"/>
    <sheet name="Strategic Preparation" sheetId="4" r:id="rId4"/>
    <sheet name="Gate Review" sheetId="5" r:id="rId5"/>
    <sheet name="Strategic Summary" sheetId="6" r:id="rId6"/>
    <sheet name="Technical - Context" sheetId="7" state="hidden" r:id="rId7"/>
    <sheet name="Technical - Automation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8" l="1"/>
  <c r="G24" i="8"/>
  <c r="F24" i="8"/>
  <c r="D24" i="8"/>
  <c r="H23" i="8"/>
  <c r="G23" i="8"/>
  <c r="F23" i="8"/>
  <c r="D23" i="8"/>
  <c r="H22" i="8"/>
  <c r="G22" i="8"/>
  <c r="F22" i="8"/>
  <c r="D22" i="8"/>
  <c r="H21" i="8"/>
  <c r="G21" i="8"/>
  <c r="F21" i="8"/>
  <c r="D21" i="8"/>
  <c r="H20" i="8"/>
  <c r="G20" i="8"/>
  <c r="F20" i="8"/>
  <c r="D20" i="8"/>
  <c r="H19" i="8"/>
  <c r="G19" i="8"/>
  <c r="F19" i="8"/>
  <c r="D19" i="8"/>
  <c r="H18" i="8"/>
  <c r="G18" i="8"/>
  <c r="F18" i="8"/>
  <c r="D18" i="8"/>
  <c r="H17" i="8"/>
  <c r="G17" i="8"/>
  <c r="F17" i="8"/>
  <c r="D17" i="8"/>
  <c r="H16" i="8"/>
  <c r="G16" i="8"/>
  <c r="F16" i="8"/>
  <c r="D16" i="8"/>
  <c r="H15" i="8"/>
  <c r="G15" i="8"/>
  <c r="F15" i="8"/>
  <c r="D15" i="8"/>
  <c r="H14" i="8"/>
  <c r="G14" i="8"/>
  <c r="F14" i="8"/>
  <c r="D14" i="8"/>
  <c r="H13" i="8"/>
  <c r="G13" i="8"/>
  <c r="F13" i="8"/>
  <c r="D13" i="8"/>
  <c r="H12" i="8"/>
  <c r="G12" i="8"/>
  <c r="F12" i="8"/>
  <c r="D12" i="8"/>
  <c r="H11" i="8"/>
  <c r="G11" i="8"/>
  <c r="F11" i="8"/>
  <c r="D11" i="8"/>
  <c r="H10" i="8"/>
  <c r="G10" i="8"/>
  <c r="F10" i="8"/>
  <c r="D10" i="8"/>
  <c r="H9" i="8"/>
  <c r="G9" i="8"/>
  <c r="F9" i="8"/>
  <c r="D9" i="8"/>
  <c r="H8" i="8"/>
  <c r="G8" i="8"/>
  <c r="F8" i="8"/>
  <c r="D8" i="8"/>
  <c r="H7" i="8"/>
  <c r="G7" i="8"/>
  <c r="F7" i="8"/>
  <c r="D7" i="8"/>
  <c r="H6" i="8"/>
  <c r="G6" i="8"/>
  <c r="F6" i="8"/>
  <c r="D6" i="8"/>
  <c r="H5" i="8"/>
  <c r="G5" i="8"/>
  <c r="F5" i="8"/>
  <c r="D5" i="8"/>
  <c r="B8" i="6"/>
  <c r="B7" i="6"/>
  <c r="B6" i="6"/>
  <c r="B5" i="6"/>
  <c r="B4" i="6"/>
  <c r="E8" i="3"/>
  <c r="E7" i="3"/>
  <c r="E6" i="3"/>
  <c r="B5" i="3"/>
  <c r="N24" i="2"/>
  <c r="K24" i="8" s="1"/>
  <c r="H24" i="2"/>
  <c r="E24" i="8" s="1"/>
  <c r="E24" i="2"/>
  <c r="D24" i="2"/>
  <c r="C24" i="8" s="1"/>
  <c r="C24" i="2"/>
  <c r="B24" i="2"/>
  <c r="B24" i="8" s="1"/>
  <c r="A24" i="2"/>
  <c r="A24" i="8" s="1"/>
  <c r="N23" i="2"/>
  <c r="K23" i="8" s="1"/>
  <c r="H23" i="2"/>
  <c r="E23" i="8" s="1"/>
  <c r="E23" i="2"/>
  <c r="D23" i="2"/>
  <c r="C23" i="8" s="1"/>
  <c r="C23" i="2"/>
  <c r="B23" i="2"/>
  <c r="B23" i="8" s="1"/>
  <c r="A23" i="2"/>
  <c r="A23" i="8" s="1"/>
  <c r="N22" i="2"/>
  <c r="K22" i="8" s="1"/>
  <c r="H22" i="2"/>
  <c r="E22" i="8" s="1"/>
  <c r="E22" i="2"/>
  <c r="D22" i="2"/>
  <c r="C22" i="8" s="1"/>
  <c r="C22" i="2"/>
  <c r="B22" i="2"/>
  <c r="B22" i="8" s="1"/>
  <c r="A22" i="2"/>
  <c r="A22" i="8" s="1"/>
  <c r="N21" i="2"/>
  <c r="K21" i="8" s="1"/>
  <c r="H21" i="2"/>
  <c r="E21" i="8" s="1"/>
  <c r="E21" i="2"/>
  <c r="D21" i="2"/>
  <c r="C21" i="8" s="1"/>
  <c r="C21" i="2"/>
  <c r="B21" i="2"/>
  <c r="B21" i="8" s="1"/>
  <c r="A21" i="2"/>
  <c r="A21" i="8" s="1"/>
  <c r="N20" i="2"/>
  <c r="K20" i="8" s="1"/>
  <c r="H20" i="2"/>
  <c r="E20" i="8" s="1"/>
  <c r="E20" i="2"/>
  <c r="D20" i="2"/>
  <c r="C20" i="8" s="1"/>
  <c r="C20" i="2"/>
  <c r="B20" i="2"/>
  <c r="B20" i="8" s="1"/>
  <c r="A20" i="2"/>
  <c r="A20" i="8" s="1"/>
  <c r="N19" i="2"/>
  <c r="K19" i="8" s="1"/>
  <c r="L19" i="2"/>
  <c r="I19" i="8" s="1"/>
  <c r="H19" i="2"/>
  <c r="E19" i="8" s="1"/>
  <c r="E19" i="2"/>
  <c r="D19" i="2"/>
  <c r="C19" i="8" s="1"/>
  <c r="C19" i="2"/>
  <c r="B19" i="2"/>
  <c r="B19" i="8" s="1"/>
  <c r="A19" i="2"/>
  <c r="A19" i="8" s="1"/>
  <c r="N18" i="2"/>
  <c r="K18" i="8" s="1"/>
  <c r="M18" i="2"/>
  <c r="H18" i="2"/>
  <c r="E18" i="8" s="1"/>
  <c r="E18" i="2"/>
  <c r="D18" i="2"/>
  <c r="C18" i="8" s="1"/>
  <c r="C18" i="2"/>
  <c r="B18" i="2"/>
  <c r="B18" i="8" s="1"/>
  <c r="A18" i="2"/>
  <c r="A18" i="8" s="1"/>
  <c r="N17" i="2"/>
  <c r="K17" i="8" s="1"/>
  <c r="M17" i="2"/>
  <c r="H17" i="2"/>
  <c r="E17" i="8" s="1"/>
  <c r="E17" i="2"/>
  <c r="D17" i="2"/>
  <c r="C17" i="8" s="1"/>
  <c r="C17" i="2"/>
  <c r="B17" i="2"/>
  <c r="B17" i="8" s="1"/>
  <c r="A17" i="2"/>
  <c r="A17" i="8" s="1"/>
  <c r="N16" i="2"/>
  <c r="K16" i="8" s="1"/>
  <c r="H16" i="2"/>
  <c r="E16" i="8" s="1"/>
  <c r="E16" i="2"/>
  <c r="D16" i="2"/>
  <c r="C16" i="8" s="1"/>
  <c r="C16" i="2"/>
  <c r="B16" i="2"/>
  <c r="B16" i="8" s="1"/>
  <c r="A16" i="2"/>
  <c r="A16" i="8" s="1"/>
  <c r="N15" i="2"/>
  <c r="K15" i="8" s="1"/>
  <c r="L15" i="2"/>
  <c r="I15" i="8" s="1"/>
  <c r="H15" i="2"/>
  <c r="E15" i="8" s="1"/>
  <c r="E15" i="2"/>
  <c r="D15" i="2"/>
  <c r="C15" i="8" s="1"/>
  <c r="C15" i="2"/>
  <c r="B15" i="2"/>
  <c r="B15" i="8" s="1"/>
  <c r="A15" i="2"/>
  <c r="A15" i="8" s="1"/>
  <c r="N14" i="2"/>
  <c r="K14" i="8" s="1"/>
  <c r="M14" i="2"/>
  <c r="H14" i="2"/>
  <c r="E14" i="8" s="1"/>
  <c r="E14" i="2"/>
  <c r="D14" i="2"/>
  <c r="C14" i="8" s="1"/>
  <c r="C14" i="2"/>
  <c r="B14" i="2"/>
  <c r="B14" i="8" s="1"/>
  <c r="A14" i="2"/>
  <c r="A14" i="8" s="1"/>
  <c r="N13" i="2"/>
  <c r="K13" i="8" s="1"/>
  <c r="M13" i="2"/>
  <c r="L13" i="2"/>
  <c r="I13" i="8" s="1"/>
  <c r="H13" i="2"/>
  <c r="E13" i="8" s="1"/>
  <c r="E13" i="2"/>
  <c r="D13" i="2"/>
  <c r="C13" i="8" s="1"/>
  <c r="C13" i="2"/>
  <c r="B13" i="2"/>
  <c r="B13" i="8" s="1"/>
  <c r="A13" i="2"/>
  <c r="A13" i="8" s="1"/>
  <c r="N12" i="2"/>
  <c r="K12" i="8" s="1"/>
  <c r="H12" i="2"/>
  <c r="E12" i="8" s="1"/>
  <c r="E12" i="2"/>
  <c r="D12" i="2"/>
  <c r="C12" i="8" s="1"/>
  <c r="C12" i="2"/>
  <c r="B12" i="2"/>
  <c r="B12" i="8" s="1"/>
  <c r="A12" i="2"/>
  <c r="A12" i="8" s="1"/>
  <c r="N11" i="2"/>
  <c r="K11" i="8" s="1"/>
  <c r="L11" i="2"/>
  <c r="I11" i="8" s="1"/>
  <c r="H11" i="2"/>
  <c r="E11" i="8" s="1"/>
  <c r="E11" i="2"/>
  <c r="D11" i="2"/>
  <c r="C11" i="8" s="1"/>
  <c r="C11" i="2"/>
  <c r="B11" i="2"/>
  <c r="B11" i="8" s="1"/>
  <c r="A11" i="2"/>
  <c r="A11" i="8" s="1"/>
  <c r="N10" i="2"/>
  <c r="K10" i="8" s="1"/>
  <c r="M10" i="2"/>
  <c r="H10" i="2"/>
  <c r="E10" i="8" s="1"/>
  <c r="E10" i="2"/>
  <c r="D10" i="2"/>
  <c r="C10" i="8" s="1"/>
  <c r="C10" i="2"/>
  <c r="B10" i="2"/>
  <c r="B10" i="8" s="1"/>
  <c r="A10" i="2"/>
  <c r="A10" i="8" s="1"/>
  <c r="N9" i="2"/>
  <c r="K9" i="8" s="1"/>
  <c r="M9" i="2"/>
  <c r="L9" i="2"/>
  <c r="I9" i="8" s="1"/>
  <c r="H9" i="2"/>
  <c r="E9" i="8" s="1"/>
  <c r="E9" i="2"/>
  <c r="D9" i="2"/>
  <c r="C9" i="8" s="1"/>
  <c r="C9" i="2"/>
  <c r="B9" i="2"/>
  <c r="B9" i="8" s="1"/>
  <c r="A9" i="2"/>
  <c r="A9" i="8" s="1"/>
  <c r="N8" i="2"/>
  <c r="K8" i="8" s="1"/>
  <c r="H8" i="2"/>
  <c r="E8" i="8" s="1"/>
  <c r="E8" i="2"/>
  <c r="D8" i="2"/>
  <c r="C8" i="8" s="1"/>
  <c r="C8" i="2"/>
  <c r="B8" i="2"/>
  <c r="B8" i="8" s="1"/>
  <c r="A8" i="2"/>
  <c r="A8" i="8" s="1"/>
  <c r="N7" i="2"/>
  <c r="K7" i="8" s="1"/>
  <c r="L7" i="2"/>
  <c r="I7" i="8" s="1"/>
  <c r="H7" i="2"/>
  <c r="E7" i="8" s="1"/>
  <c r="E7" i="2"/>
  <c r="D7" i="2"/>
  <c r="C7" i="8" s="1"/>
  <c r="C7" i="2"/>
  <c r="B7" i="2"/>
  <c r="B7" i="8" s="1"/>
  <c r="A7" i="2"/>
  <c r="A7" i="8" s="1"/>
  <c r="N6" i="2"/>
  <c r="K6" i="8" s="1"/>
  <c r="M6" i="2"/>
  <c r="H6" i="2"/>
  <c r="E6" i="8" s="1"/>
  <c r="E6" i="2"/>
  <c r="D6" i="2"/>
  <c r="C6" i="8" s="1"/>
  <c r="C6" i="2"/>
  <c r="B6" i="2"/>
  <c r="B6" i="8" s="1"/>
  <c r="A6" i="2"/>
  <c r="A6" i="8" s="1"/>
  <c r="N5" i="2"/>
  <c r="K5" i="8" s="1"/>
  <c r="L5" i="2"/>
  <c r="I5" i="8" s="1"/>
  <c r="H5" i="2"/>
  <c r="E5" i="2"/>
  <c r="D5" i="2"/>
  <c r="C5" i="8" s="1"/>
  <c r="C5" i="2"/>
  <c r="B5" i="2"/>
  <c r="B5" i="8" s="1"/>
  <c r="A5" i="2"/>
  <c r="A5" i="8" s="1"/>
  <c r="A2" i="2"/>
  <c r="E13" i="1"/>
  <c r="E9" i="1"/>
  <c r="E5" i="1"/>
  <c r="L17" i="2" l="1"/>
  <c r="I17" i="8" s="1"/>
  <c r="L21" i="2"/>
  <c r="I21" i="8" s="1"/>
  <c r="M22" i="2"/>
  <c r="L23" i="2"/>
  <c r="I23" i="8" s="1"/>
  <c r="J23" i="8" s="1"/>
  <c r="E6" i="1"/>
  <c r="E10" i="1"/>
  <c r="E5" i="8"/>
  <c r="E6" i="6"/>
  <c r="E4" i="6"/>
  <c r="E7" i="6"/>
  <c r="E5" i="6"/>
  <c r="B9" i="6"/>
  <c r="B9" i="3"/>
  <c r="B7" i="3"/>
  <c r="M7" i="2"/>
  <c r="L8" i="2"/>
  <c r="I8" i="8" s="1"/>
  <c r="J8" i="8" s="1"/>
  <c r="L9" i="8"/>
  <c r="O9" i="8"/>
  <c r="N9" i="8"/>
  <c r="J9" i="8"/>
  <c r="M9" i="8"/>
  <c r="M11" i="2"/>
  <c r="L12" i="2"/>
  <c r="I12" i="8" s="1"/>
  <c r="L13" i="8"/>
  <c r="O13" i="8"/>
  <c r="N13" i="8"/>
  <c r="J13" i="8"/>
  <c r="M13" i="8"/>
  <c r="M15" i="2"/>
  <c r="L16" i="2"/>
  <c r="I16" i="8" s="1"/>
  <c r="L17" i="8"/>
  <c r="O17" i="8"/>
  <c r="N17" i="8"/>
  <c r="J17" i="8"/>
  <c r="M17" i="8"/>
  <c r="M19" i="2"/>
  <c r="L20" i="2"/>
  <c r="I20" i="8" s="1"/>
  <c r="L21" i="8"/>
  <c r="O21" i="8"/>
  <c r="N21" i="8"/>
  <c r="J21" i="8"/>
  <c r="M21" i="8"/>
  <c r="M23" i="2"/>
  <c r="L24" i="2"/>
  <c r="I24" i="8" s="1"/>
  <c r="J24" i="8" s="1"/>
  <c r="E5" i="3"/>
  <c r="B8" i="3"/>
  <c r="O8" i="8"/>
  <c r="N8" i="8"/>
  <c r="M8" i="8"/>
  <c r="L8" i="8"/>
  <c r="O20" i="8"/>
  <c r="N20" i="8"/>
  <c r="J20" i="8"/>
  <c r="M20" i="8"/>
  <c r="L20" i="8"/>
  <c r="O24" i="8"/>
  <c r="N24" i="8"/>
  <c r="M24" i="8"/>
  <c r="L24" i="8"/>
  <c r="E7" i="1"/>
  <c r="M6" i="8"/>
  <c r="L6" i="8"/>
  <c r="O6" i="8"/>
  <c r="N6" i="8"/>
  <c r="M8" i="2"/>
  <c r="M10" i="8"/>
  <c r="L10" i="8"/>
  <c r="O10" i="8"/>
  <c r="N10" i="8"/>
  <c r="M12" i="2"/>
  <c r="M14" i="8"/>
  <c r="L14" i="8"/>
  <c r="O14" i="8"/>
  <c r="N14" i="8"/>
  <c r="M16" i="2"/>
  <c r="M18" i="8"/>
  <c r="L18" i="8"/>
  <c r="O18" i="8"/>
  <c r="N18" i="8"/>
  <c r="M20" i="2"/>
  <c r="M22" i="8"/>
  <c r="L22" i="8"/>
  <c r="O22" i="8"/>
  <c r="N22" i="8"/>
  <c r="M24" i="2"/>
  <c r="B6" i="3"/>
  <c r="O12" i="8"/>
  <c r="N12" i="8"/>
  <c r="J12" i="8"/>
  <c r="M12" i="8"/>
  <c r="L12" i="8"/>
  <c r="O16" i="8"/>
  <c r="N16" i="8"/>
  <c r="J16" i="8"/>
  <c r="M16" i="8"/>
  <c r="L16" i="8"/>
  <c r="E8" i="1"/>
  <c r="M5" i="2"/>
  <c r="L6" i="2"/>
  <c r="I6" i="8" s="1"/>
  <c r="J6" i="8" s="1"/>
  <c r="N7" i="8"/>
  <c r="J7" i="8"/>
  <c r="M7" i="8"/>
  <c r="L7" i="8"/>
  <c r="O7" i="8"/>
  <c r="L10" i="2"/>
  <c r="I10" i="8" s="1"/>
  <c r="J10" i="8" s="1"/>
  <c r="N11" i="8"/>
  <c r="J11" i="8"/>
  <c r="M11" i="8"/>
  <c r="L11" i="8"/>
  <c r="O11" i="8"/>
  <c r="L14" i="2"/>
  <c r="I14" i="8" s="1"/>
  <c r="J14" i="8" s="1"/>
  <c r="N15" i="8"/>
  <c r="J15" i="8"/>
  <c r="M15" i="8"/>
  <c r="L15" i="8"/>
  <c r="O15" i="8"/>
  <c r="L18" i="2"/>
  <c r="I18" i="8" s="1"/>
  <c r="J18" i="8" s="1"/>
  <c r="N19" i="8"/>
  <c r="J19" i="8"/>
  <c r="M19" i="8"/>
  <c r="L19" i="8"/>
  <c r="O19" i="8"/>
  <c r="M21" i="2"/>
  <c r="L22" i="2"/>
  <c r="I22" i="8" s="1"/>
  <c r="J22" i="8" s="1"/>
  <c r="N23" i="8"/>
  <c r="M23" i="8"/>
  <c r="L23" i="8"/>
  <c r="O23" i="8"/>
  <c r="E9" i="3" l="1"/>
  <c r="L5" i="8"/>
  <c r="O5" i="8"/>
  <c r="N5" i="8"/>
  <c r="J5" i="8"/>
  <c r="M5" i="8"/>
  <c r="A12" i="6"/>
  <c r="B25" i="3" l="1"/>
  <c r="B23" i="3"/>
  <c r="B26" i="3"/>
  <c r="B24" i="3"/>
  <c r="B22" i="3"/>
  <c r="G25" i="3"/>
  <c r="G26" i="3"/>
  <c r="G24" i="3"/>
  <c r="G22" i="3"/>
  <c r="G23" i="3"/>
  <c r="G13" i="3"/>
  <c r="G16" i="3"/>
  <c r="G14" i="3"/>
  <c r="G17" i="3"/>
  <c r="G15" i="3"/>
  <c r="B17" i="3"/>
  <c r="B15" i="3"/>
  <c r="B13" i="3"/>
  <c r="B16" i="3"/>
  <c r="B14" i="3"/>
  <c r="G20" i="6" l="1"/>
  <c r="H15" i="3"/>
  <c r="I20" i="6" s="1"/>
  <c r="J15" i="3"/>
  <c r="I15" i="3"/>
  <c r="B18" i="6"/>
  <c r="C13" i="3"/>
  <c r="E13" i="3"/>
  <c r="Q9" i="4"/>
  <c r="F9" i="4" s="1"/>
  <c r="Q5" i="4"/>
  <c r="D13" i="3"/>
  <c r="B19" i="6"/>
  <c r="C14" i="3"/>
  <c r="Q10" i="4"/>
  <c r="Q6" i="4"/>
  <c r="E14" i="3"/>
  <c r="D14" i="3"/>
  <c r="C17" i="3"/>
  <c r="E17" i="3"/>
  <c r="D17" i="3"/>
  <c r="H16" i="3"/>
  <c r="J16" i="3"/>
  <c r="I16" i="3"/>
  <c r="H24" i="3"/>
  <c r="I26" i="6" s="1"/>
  <c r="G26" i="6"/>
  <c r="J24" i="3"/>
  <c r="I24" i="3"/>
  <c r="B26" i="6"/>
  <c r="C24" i="3"/>
  <c r="D26" i="6" s="1"/>
  <c r="E24" i="3"/>
  <c r="D24" i="3"/>
  <c r="C26" i="3"/>
  <c r="E26" i="3"/>
  <c r="D26" i="3"/>
  <c r="G18" i="6"/>
  <c r="H13" i="3"/>
  <c r="J13" i="3"/>
  <c r="I13" i="3"/>
  <c r="Q11" i="4"/>
  <c r="Q7" i="4"/>
  <c r="H17" i="3"/>
  <c r="J17" i="3"/>
  <c r="I17" i="3"/>
  <c r="G25" i="6"/>
  <c r="H23" i="3"/>
  <c r="I25" i="6" s="1"/>
  <c r="J23" i="3"/>
  <c r="R12" i="4"/>
  <c r="I23" i="3"/>
  <c r="R10" i="4"/>
  <c r="H25" i="3"/>
  <c r="J25" i="3"/>
  <c r="I25" i="3"/>
  <c r="B25" i="6"/>
  <c r="C23" i="3"/>
  <c r="D25" i="6" s="1"/>
  <c r="E23" i="3"/>
  <c r="R8" i="4"/>
  <c r="D23" i="3"/>
  <c r="R6" i="4"/>
  <c r="C16" i="3"/>
  <c r="E16" i="3"/>
  <c r="D16" i="3"/>
  <c r="H26" i="3"/>
  <c r="J26" i="3"/>
  <c r="I26" i="3"/>
  <c r="B20" i="6"/>
  <c r="C15" i="3"/>
  <c r="D20" i="6" s="1"/>
  <c r="E15" i="3"/>
  <c r="D15" i="3"/>
  <c r="G19" i="6"/>
  <c r="Q12" i="4"/>
  <c r="F12" i="4" s="1"/>
  <c r="Q8" i="4"/>
  <c r="H14" i="3"/>
  <c r="J14" i="3"/>
  <c r="I14" i="3"/>
  <c r="G24" i="6"/>
  <c r="R11" i="4"/>
  <c r="H22" i="3"/>
  <c r="I24" i="6" s="1"/>
  <c r="R9" i="4"/>
  <c r="J22" i="3"/>
  <c r="I22" i="3"/>
  <c r="B24" i="6"/>
  <c r="R7" i="4"/>
  <c r="C22" i="3"/>
  <c r="D24" i="6" s="1"/>
  <c r="R5" i="4"/>
  <c r="E22" i="3"/>
  <c r="D22" i="3"/>
  <c r="C25" i="3"/>
  <c r="E25" i="3"/>
  <c r="D25" i="3"/>
  <c r="J19" i="6" l="1"/>
  <c r="H19" i="6"/>
  <c r="E25" i="6"/>
  <c r="C25" i="6"/>
  <c r="J25" i="6"/>
  <c r="H25" i="6"/>
  <c r="F7" i="4"/>
  <c r="I18" i="6"/>
  <c r="C11" i="4"/>
  <c r="E11" i="4" s="1"/>
  <c r="C7" i="4"/>
  <c r="E7" i="4" s="1"/>
  <c r="E26" i="6"/>
  <c r="C26" i="6"/>
  <c r="E19" i="6"/>
  <c r="C19" i="6"/>
  <c r="E20" i="6"/>
  <c r="C20" i="6"/>
  <c r="J26" i="6"/>
  <c r="H26" i="6"/>
  <c r="C10" i="4"/>
  <c r="E10" i="4" s="1"/>
  <c r="C6" i="4"/>
  <c r="E6" i="4" s="1"/>
  <c r="D19" i="6"/>
  <c r="I19" i="6"/>
  <c r="C12" i="4"/>
  <c r="E12" i="4" s="1"/>
  <c r="C8" i="4"/>
  <c r="E8" i="4" s="1"/>
  <c r="J24" i="6"/>
  <c r="H24" i="6"/>
  <c r="F8" i="4"/>
  <c r="F11" i="4"/>
  <c r="J18" i="6"/>
  <c r="H18" i="6"/>
  <c r="F6" i="4"/>
  <c r="D18" i="6"/>
  <c r="C5" i="4"/>
  <c r="E5" i="4" s="1"/>
  <c r="C9" i="4"/>
  <c r="E9" i="4" s="1"/>
  <c r="E24" i="6"/>
  <c r="C24" i="6"/>
  <c r="F10" i="4"/>
  <c r="F5" i="4"/>
  <c r="E18" i="6"/>
  <c r="C18" i="6"/>
  <c r="J20" i="6"/>
  <c r="H20" i="6"/>
  <c r="A12" i="5" l="1"/>
  <c r="J12" i="4"/>
  <c r="B12" i="5"/>
  <c r="L12" i="4"/>
  <c r="A10" i="5"/>
  <c r="A46" i="6" s="1"/>
  <c r="B10" i="5"/>
  <c r="L10" i="4"/>
  <c r="J10" i="4"/>
  <c r="A6" i="5"/>
  <c r="A42" i="6" s="1"/>
  <c r="B6" i="5"/>
  <c r="L6" i="4"/>
  <c r="J6" i="4"/>
  <c r="B9" i="5"/>
  <c r="L9" i="4"/>
  <c r="J9" i="4"/>
  <c r="A9" i="5"/>
  <c r="A45" i="6" s="1"/>
  <c r="J7" i="4"/>
  <c r="B7" i="5"/>
  <c r="L7" i="4"/>
  <c r="A7" i="5"/>
  <c r="A43" i="6" s="1"/>
  <c r="A8" i="5"/>
  <c r="A44" i="6" s="1"/>
  <c r="J8" i="4"/>
  <c r="L8" i="4"/>
  <c r="B8" i="5"/>
  <c r="E8" i="6"/>
  <c r="B5" i="5"/>
  <c r="L5" i="4"/>
  <c r="J5" i="4"/>
  <c r="A5" i="5"/>
  <c r="A41" i="6" s="1"/>
  <c r="J11" i="4"/>
  <c r="B11" i="5"/>
  <c r="L11" i="4"/>
  <c r="A11" i="5"/>
  <c r="C8" i="5" l="1"/>
  <c r="J8" i="5"/>
  <c r="I8" i="5"/>
  <c r="H45" i="6"/>
  <c r="D45" i="6"/>
  <c r="G45" i="6"/>
  <c r="C45" i="6"/>
  <c r="J45" i="6"/>
  <c r="F45" i="6"/>
  <c r="B45" i="6"/>
  <c r="I45" i="6"/>
  <c r="E45" i="6"/>
  <c r="S10" i="4"/>
  <c r="K10" i="4"/>
  <c r="I11" i="5"/>
  <c r="J11" i="5"/>
  <c r="C11" i="5"/>
  <c r="S9" i="4"/>
  <c r="K9" i="4"/>
  <c r="C12" i="5"/>
  <c r="J12" i="5"/>
  <c r="I12" i="5"/>
  <c r="S5" i="4"/>
  <c r="K5" i="4"/>
  <c r="H43" i="6"/>
  <c r="D43" i="6"/>
  <c r="G43" i="6"/>
  <c r="C43" i="6"/>
  <c r="J43" i="6"/>
  <c r="F43" i="6"/>
  <c r="B43" i="6"/>
  <c r="I43" i="6"/>
  <c r="E43" i="6"/>
  <c r="S6" i="4"/>
  <c r="K6" i="4"/>
  <c r="S11" i="4"/>
  <c r="K11" i="4"/>
  <c r="I5" i="5"/>
  <c r="C5" i="5"/>
  <c r="J5" i="5"/>
  <c r="S8" i="4"/>
  <c r="K8" i="4"/>
  <c r="I7" i="5"/>
  <c r="J7" i="5"/>
  <c r="C7" i="5"/>
  <c r="J6" i="5"/>
  <c r="C6" i="5"/>
  <c r="I6" i="5"/>
  <c r="J10" i="5"/>
  <c r="C10" i="5"/>
  <c r="I10" i="5"/>
  <c r="S12" i="4"/>
  <c r="K12" i="4"/>
  <c r="H41" i="6"/>
  <c r="D41" i="6"/>
  <c r="G41" i="6"/>
  <c r="C41" i="6"/>
  <c r="J41" i="6"/>
  <c r="F41" i="6"/>
  <c r="B41" i="6"/>
  <c r="E41" i="6"/>
  <c r="I41" i="6"/>
  <c r="J44" i="6"/>
  <c r="F44" i="6"/>
  <c r="B44" i="6"/>
  <c r="I44" i="6"/>
  <c r="E44" i="6"/>
  <c r="H44" i="6"/>
  <c r="D44" i="6"/>
  <c r="G44" i="6"/>
  <c r="C44" i="6"/>
  <c r="S7" i="4"/>
  <c r="K7" i="4"/>
  <c r="I9" i="5"/>
  <c r="C9" i="5"/>
  <c r="J9" i="5"/>
  <c r="J42" i="6"/>
  <c r="F42" i="6"/>
  <c r="B42" i="6"/>
  <c r="I42" i="6"/>
  <c r="E42" i="6"/>
  <c r="H42" i="6"/>
  <c r="D42" i="6"/>
  <c r="G42" i="6"/>
  <c r="C42" i="6"/>
  <c r="J46" i="6"/>
  <c r="F46" i="6"/>
  <c r="B46" i="6"/>
  <c r="I46" i="6"/>
  <c r="E46" i="6"/>
  <c r="H46" i="6"/>
  <c r="D46" i="6"/>
  <c r="C46" i="6"/>
  <c r="G46" i="6"/>
  <c r="B36" i="6" l="1"/>
  <c r="B32" i="6"/>
  <c r="B35" i="6"/>
  <c r="B31" i="6"/>
  <c r="B34" i="6"/>
  <c r="B33" i="6"/>
  <c r="E9" i="6"/>
  <c r="G35" i="6" l="1"/>
  <c r="C35" i="6"/>
  <c r="J35" i="6"/>
  <c r="F35" i="6"/>
  <c r="I35" i="6"/>
  <c r="E35" i="6"/>
  <c r="H35" i="6"/>
  <c r="D35" i="6"/>
  <c r="G31" i="6"/>
  <c r="C31" i="6"/>
  <c r="J31" i="6"/>
  <c r="F31" i="6"/>
  <c r="I31" i="6"/>
  <c r="E31" i="6"/>
  <c r="H31" i="6"/>
  <c r="D31" i="6"/>
  <c r="I33" i="6"/>
  <c r="E33" i="6"/>
  <c r="H33" i="6"/>
  <c r="D33" i="6"/>
  <c r="G33" i="6"/>
  <c r="C33" i="6"/>
  <c r="J33" i="6"/>
  <c r="F33" i="6"/>
  <c r="J32" i="6"/>
  <c r="F32" i="6"/>
  <c r="I32" i="6"/>
  <c r="E32" i="6"/>
  <c r="H32" i="6"/>
  <c r="D32" i="6"/>
  <c r="C32" i="6"/>
  <c r="G32" i="6"/>
  <c r="H34" i="6"/>
  <c r="D34" i="6"/>
  <c r="G34" i="6"/>
  <c r="C34" i="6"/>
  <c r="J34" i="6"/>
  <c r="F34" i="6"/>
  <c r="I34" i="6"/>
  <c r="E34" i="6"/>
  <c r="J36" i="6"/>
  <c r="F36" i="6"/>
  <c r="I36" i="6"/>
  <c r="E36" i="6"/>
  <c r="H36" i="6"/>
  <c r="D36" i="6"/>
  <c r="G36" i="6"/>
  <c r="C36" i="6"/>
</calcChain>
</file>

<file path=xl/sharedStrings.xml><?xml version="1.0" encoding="utf-8"?>
<sst xmlns="http://schemas.openxmlformats.org/spreadsheetml/2006/main" count="990" uniqueCount="603">
  <si>
    <t>Subject / Entity</t>
  </si>
  <si>
    <t>Factors Entered</t>
  </si>
  <si>
    <t>Plan / Initiative</t>
  </si>
  <si>
    <t>Classified Factors</t>
  </si>
  <si>
    <t>Location / Community</t>
  </si>
  <si>
    <t>Strengths</t>
  </si>
  <si>
    <t>Responsible Body / Owner</t>
  </si>
  <si>
    <t>Weaknesses</t>
  </si>
  <si>
    <t>Assessment Team</t>
  </si>
  <si>
    <t>Opportunities</t>
  </si>
  <si>
    <t>Planning Notes</t>
  </si>
  <si>
    <t>Threats</t>
  </si>
  <si>
    <t>CONTEXT SETUP — CHOOSE BEFORE ENTERING SWOT FACTORS</t>
  </si>
  <si>
    <t>Context Type</t>
  </si>
  <si>
    <t>Sport Facility</t>
  </si>
  <si>
    <t>Active Prompt Set</t>
  </si>
  <si>
    <t>Assessment Stage</t>
  </si>
  <si>
    <t>Reactivation / Recovery</t>
  </si>
  <si>
    <t>Minimum Input</t>
  </si>
  <si>
    <t>Factor + Direction</t>
  </si>
  <si>
    <t>Strategic Purpose</t>
  </si>
  <si>
    <t>Strategic Preparation</t>
  </si>
  <si>
    <t>Default Scoring</t>
  </si>
  <si>
    <t>Importance 3 / Confidence 1 — adjust where evidence supports it</t>
  </si>
  <si>
    <t>QUICK START</t>
  </si>
  <si>
    <t>1</t>
  </si>
  <si>
    <t>Choose Context</t>
  </si>
  <si>
    <t>Select the sport environment before entering factors.</t>
  </si>
  <si>
    <t>2</t>
  </si>
  <si>
    <t>Enter Factors</t>
  </si>
  <si>
    <t>For each useful lens, enter one concise current factor or finding. If STR-02 is complete, reuse its verified findings.</t>
  </si>
  <si>
    <t>3</t>
  </si>
  <si>
    <t>Select Direction</t>
  </si>
  <si>
    <t>Positive or Negative automatically becomes S/W for internal factors and O/T for external factors.</t>
  </si>
  <si>
    <t>4</t>
  </si>
  <si>
    <t>Adjust Importance / Confidence</t>
  </si>
  <si>
    <t>Defaults are deliberately conservative. Increase only when the factor is strategically important or evidence is stronger.</t>
  </si>
  <si>
    <t>5</t>
  </si>
  <si>
    <t>Review Automated Outputs</t>
  </si>
  <si>
    <t>SWOT Matrix, TOWS starters, priority scores, gate review and summary update automatically.</t>
  </si>
  <si>
    <t>CLASSIFICATION &amp; SCORING GUIDE</t>
  </si>
  <si>
    <t>Direction</t>
  </si>
  <si>
    <t>Internal factor</t>
  </si>
  <si>
    <t>External factor</t>
  </si>
  <si>
    <t>Measure</t>
  </si>
  <si>
    <t>Scale</t>
  </si>
  <si>
    <t>Meaning</t>
  </si>
  <si>
    <t>Positive</t>
  </si>
  <si>
    <t>Strength</t>
  </si>
  <si>
    <t>Opportunity</t>
  </si>
  <si>
    <t>Strategic Importance</t>
  </si>
  <si>
    <t>1–5</t>
  </si>
  <si>
    <t>1 = very low; 3 = moderate; 5 = critical</t>
  </si>
  <si>
    <t>Negative</t>
  </si>
  <si>
    <t>Weakness</t>
  </si>
  <si>
    <t>Threat</t>
  </si>
  <si>
    <t>Evidence Confidence</t>
  </si>
  <si>
    <t>1–3</t>
  </si>
  <si>
    <t>1 = low / provisional; 2 = medium; 3 = high / verified</t>
  </si>
  <si>
    <t>Mixed</t>
  </si>
  <si>
    <t>Review before classification</t>
  </si>
  <si>
    <t>Weighted Priority</t>
  </si>
  <si>
    <t>Auto</t>
  </si>
  <si>
    <t>Importance × Confidence; maximum 15</t>
  </si>
  <si>
    <t>Unknown</t>
  </si>
  <si>
    <t>Do not classify yet</t>
  </si>
  <si>
    <t>TOWS Score</t>
  </si>
  <si>
    <t>Impact + Feasibility + Urgency; maximum 15</t>
  </si>
  <si>
    <t>Rule</t>
  </si>
  <si>
    <t>Internal = substantially controllable</t>
  </si>
  <si>
    <t>External = outside direct control</t>
  </si>
  <si>
    <t>Interpretation</t>
  </si>
  <si>
    <t>Human judgement</t>
  </si>
  <si>
    <t>Automation prioritises review; it does not replace strategic decisions</t>
  </si>
  <si>
    <t>STR-03 — CONTEXTUAL SWOT ASSESSMENT</t>
  </si>
  <si>
    <t>ID</t>
  </si>
  <si>
    <t>Environment</t>
  </si>
  <si>
    <t>Set</t>
  </si>
  <si>
    <t>Domain</t>
  </si>
  <si>
    <t>Assessment lens</t>
  </si>
  <si>
    <t>Factor / Finding</t>
  </si>
  <si>
    <t>SWOT Type (Auto)</t>
  </si>
  <si>
    <t>Evidence / Source</t>
  </si>
  <si>
    <t>Strategic Importance (1–5)</t>
  </si>
  <si>
    <t>Evidence Confidence (1–3)</t>
  </si>
  <si>
    <t>Weighted Priority (Auto)</t>
  </si>
  <si>
    <t>Planning Question (Auto)</t>
  </si>
  <si>
    <t>Suggested Theme</t>
  </si>
  <si>
    <t>STR-03 — AUTOMATED SWOT MATRIX</t>
  </si>
  <si>
    <t>The Matrix ranks classified factors using Strategic Importance × Evidence Confidence. Review balance before developing TOWS strategies.</t>
  </si>
  <si>
    <t>Value</t>
  </si>
  <si>
    <t>Control Check</t>
  </si>
  <si>
    <t>Factors entered</t>
  </si>
  <si>
    <t>Review / unclassified</t>
  </si>
  <si>
    <t>High-confidence factors</t>
  </si>
  <si>
    <t>Internal factors</t>
  </si>
  <si>
    <t>External factors</t>
  </si>
  <si>
    <t>SWOT Balance</t>
  </si>
  <si>
    <t>STRENGTHS</t>
  </si>
  <si>
    <t>WEAKNESSES</t>
  </si>
  <si>
    <t>Rank</t>
  </si>
  <si>
    <t>Factor</t>
  </si>
  <si>
    <t>Score</t>
  </si>
  <si>
    <t>Theme</t>
  </si>
  <si>
    <t>OPPORTUNITIES</t>
  </si>
  <si>
    <t>THREATS</t>
  </si>
  <si>
    <t>INTERPRETATION</t>
  </si>
  <si>
    <t>SO</t>
  </si>
  <si>
    <t>Use internal strengths to capture external opportunities.</t>
  </si>
  <si>
    <t>WO</t>
  </si>
  <si>
    <t>Use external opportunities to address important internal weaknesses.</t>
  </si>
  <si>
    <t>ST</t>
  </si>
  <si>
    <t>Use internal strengths to reduce exposure to external threats.</t>
  </si>
  <si>
    <t>WT</t>
  </si>
  <si>
    <t>Reduce weaknesses that increase vulnerability to threats.</t>
  </si>
  <si>
    <t>Evidence rule</t>
  </si>
  <si>
    <t>Low-confidence factors can be important, but should trigger verification before major commitment.</t>
  </si>
  <si>
    <t>Balance rule</t>
  </si>
  <si>
    <t>TOWS is strongest when each quadrant contains at least two credible factors.</t>
  </si>
  <si>
    <t>Decision rule</t>
  </si>
  <si>
    <t>The matrix ranks evidence-supported factors. It does not decide strategy automatically.</t>
  </si>
  <si>
    <t>Next step</t>
  </si>
  <si>
    <t>Review the automated TOWS starters on Strategic Preparation.</t>
  </si>
  <si>
    <t>STR-03 — AUTOMATED TOWS STRATEGIC PREPARATION</t>
  </si>
  <si>
    <t>Eight TOWS starters are generated automatically from the leading SWOT factors. Edit only where needed, then adjust Impact, Feasibility and Urgency.</t>
  </si>
  <si>
    <t>Strategy ID</t>
  </si>
  <si>
    <t>TOWS Logic</t>
  </si>
  <si>
    <t>Suggested Strategic Response (Auto)</t>
  </si>
  <si>
    <t>Edited Response (Optional)</t>
  </si>
  <si>
    <t>Working Strategic Response (Auto)</t>
  </si>
  <si>
    <t>SWOT References</t>
  </si>
  <si>
    <t>Impact (1–5)</t>
  </si>
  <si>
    <t>Feasibility (1–5)</t>
  </si>
  <si>
    <t>Urgency (1–5)</t>
  </si>
  <si>
    <t>Priority Score (Auto)</t>
  </si>
  <si>
    <t>Priority Class (Auto)</t>
  </si>
  <si>
    <t>Indicative Lead</t>
  </si>
  <si>
    <t>Planning Horizon</t>
  </si>
  <si>
    <t>Decision</t>
  </si>
  <si>
    <t>Decision / Notes</t>
  </si>
  <si>
    <t>Factor 1 ID</t>
  </si>
  <si>
    <t>Factor 2 ID</t>
  </si>
  <si>
    <t>Summary Rank</t>
  </si>
  <si>
    <t>TOWS-01</t>
  </si>
  <si>
    <t>Review</t>
  </si>
  <si>
    <t>TOWS-02</t>
  </si>
  <si>
    <t>TOWS-03</t>
  </si>
  <si>
    <t>TOWS-04</t>
  </si>
  <si>
    <t>TOWS-05</t>
  </si>
  <si>
    <t>TOWS-06</t>
  </si>
  <si>
    <t>TOWS-07</t>
  </si>
  <si>
    <t>TOWS-08</t>
  </si>
  <si>
    <t>Default scores are 3 / 3 / 3. Adjust them after strategic discussion; the automatic text is a starting point, not a final strategy.</t>
  </si>
  <si>
    <t>Next: strategies intended to proceed should be checked on the Gate Review sheet before being carried into the strategic plan.</t>
  </si>
  <si>
    <t>STR-03 — STRATEGIC PLANNING GATE REVIEW</t>
  </si>
  <si>
    <t>Evidence is assessed automatically from the paired SWOT factors. Complete the remaining gates only for strategies that may proceed.</t>
  </si>
  <si>
    <t>Working Strategic Response</t>
  </si>
  <si>
    <t>Evidence Sufficient? (Auto)</t>
  </si>
  <si>
    <t>Owner Identified?</t>
  </si>
  <si>
    <t>Resources Realistic?</t>
  </si>
  <si>
    <t>Risks / Dependencies Visible?</t>
  </si>
  <si>
    <t>Measurable?</t>
  </si>
  <si>
    <t>Authority Confirmed?</t>
  </si>
  <si>
    <t>Gate Status (Auto)</t>
  </si>
  <si>
    <t>Gate status: Ready = no unresolved gate; Develop = at least one Partly; Not Ready = assessment incomplete; Hold / Resolve = at least one No.</t>
  </si>
  <si>
    <t>STR-03 — STRATEGIC PLANNING SUMMARY</t>
  </si>
  <si>
    <t>Decision-ready output from the contextual SWOT and automated TOWS preparation.</t>
  </si>
  <si>
    <t>Candidate TOWS Responses</t>
  </si>
  <si>
    <t>Gate Ready</t>
  </si>
  <si>
    <t>1. STRATEGIC SITUATION — AUTOMATIC INTERPRETATION</t>
  </si>
  <si>
    <t>2. PRIORITY SWOT FINDINGS</t>
  </si>
  <si>
    <t>Priority</t>
  </si>
  <si>
    <t>#1</t>
  </si>
  <si>
    <t>#2</t>
  </si>
  <si>
    <t>#3</t>
  </si>
  <si>
    <t>3. PRIORITY STRATEGIC RESPONSES</t>
  </si>
  <si>
    <t>Priority Score</t>
  </si>
  <si>
    <t>Lead</t>
  </si>
  <si>
    <t>Horizon</t>
  </si>
  <si>
    <t>4. STRATEGIC PLANNING GATE STATUS</t>
  </si>
  <si>
    <t>Strategic Response</t>
  </si>
  <si>
    <t>Evidence</t>
  </si>
  <si>
    <t>Owner</t>
  </si>
  <si>
    <t>Resources</t>
  </si>
  <si>
    <t>Risks / Dependencies</t>
  </si>
  <si>
    <t>Measurable</t>
  </si>
  <si>
    <t>Authority</t>
  </si>
  <si>
    <t>Gate Status</t>
  </si>
  <si>
    <t>5. NEXT PLANNING STEPS</t>
  </si>
  <si>
    <t>Review the automated TOWS starters; edit only those that do not express the intended strategic response.</t>
  </si>
  <si>
    <t>Adjust Impact, Feasibility and Urgency, then record Adopt / Develop Further / Hold / Reject decisions.</t>
  </si>
  <si>
    <t>Complete Gate Review for strategies intended to proceed and carry adopted responses into the next ISMT planning tools.</t>
  </si>
  <si>
    <t>TECHNICAL REFERENCE — STR-03 CONTEXT PROMPT BANK</t>
  </si>
  <si>
    <t>No user input is required here. STR-03 always presents 10 core lenses plus 10 lenses for the selected sport context.</t>
  </si>
  <si>
    <t>Context</t>
  </si>
  <si>
    <t>Assessment prompt</t>
  </si>
  <si>
    <t>Suggested theme</t>
  </si>
  <si>
    <t>Prompt purpose</t>
  </si>
  <si>
    <t>Start Index</t>
  </si>
  <si>
    <t>CORE-I01</t>
  </si>
  <si>
    <t>Core</t>
  </si>
  <si>
    <t>ALL</t>
  </si>
  <si>
    <t>Internal</t>
  </si>
  <si>
    <t>Purpose &amp; Governance</t>
  </si>
  <si>
    <t>What internal factor in mandate, governance or accountability currently helps or limits strategic performance?</t>
  </si>
  <si>
    <t>Governance &amp; Leadership</t>
  </si>
  <si>
    <t>Identify controllable governance capability or weakness.</t>
  </si>
  <si>
    <t>Immediate (0–3 months)</t>
  </si>
  <si>
    <t>CORE-I02</t>
  </si>
  <si>
    <t>Leadership &amp; People</t>
  </si>
  <si>
    <t>What internal factor in leadership, staffing, volunteers or capability currently helps or limits performance?</t>
  </si>
  <si>
    <t>People &amp; Capability</t>
  </si>
  <si>
    <t>Identify people capability that can be leveraged or strengthened.</t>
  </si>
  <si>
    <t>Short Term (3–12 months)</t>
  </si>
  <si>
    <t>Adopt</t>
  </si>
  <si>
    <t>Sport Organisation / Federation</t>
  </si>
  <si>
    <t>CORE-I03</t>
  </si>
  <si>
    <t>Resources &amp; Finance</t>
  </si>
  <si>
    <t>What internal factor in finance, resources or asset availability currently helps or limits delivery?</t>
  </si>
  <si>
    <t>Finance &amp; Sustainability</t>
  </si>
  <si>
    <t>Identify resource strength or constraint.</t>
  </si>
  <si>
    <t>Medium Term (1–3 years)</t>
  </si>
  <si>
    <t>Develop Further</t>
  </si>
  <si>
    <t>Community Sport Club</t>
  </si>
  <si>
    <t>CORE-I04</t>
  </si>
  <si>
    <t>Operations &amp; Systems</t>
  </si>
  <si>
    <t>What internal factor in operating systems, processes or management controls currently helps or limits reliability?</t>
  </si>
  <si>
    <t>Identify operational capability or weakness.</t>
  </si>
  <si>
    <t>Long Term (3+ years)</t>
  </si>
  <si>
    <t>Hold</t>
  </si>
  <si>
    <t>Government Sport Department / Agency</t>
  </si>
  <si>
    <t>CORE-I05</t>
  </si>
  <si>
    <t>Evidence &amp; Service Delivery</t>
  </si>
  <si>
    <t>What internal factor in service delivery, monitoring, communication or evidence currently helps or limits improvement?</t>
  </si>
  <si>
    <t>Data, Monitoring &amp; Service Quality</t>
  </si>
  <si>
    <t>Identify delivery or information capability.</t>
  </si>
  <si>
    <t>Ongoing</t>
  </si>
  <si>
    <t>Reject</t>
  </si>
  <si>
    <t>Sport Programme / Project</t>
  </si>
  <si>
    <t>CORE-E01</t>
  </si>
  <si>
    <t>External</t>
  </si>
  <si>
    <t>Demand &amp; Community</t>
  </si>
  <si>
    <t>What external demand, demographic, community or participant trend could create an opportunity or threat?</t>
  </si>
  <si>
    <t>Participation &amp; Community</t>
  </si>
  <si>
    <t>Identify external demand conditions.</t>
  </si>
  <si>
    <t>Event / Competition</t>
  </si>
  <si>
    <t>CORE-E02</t>
  </si>
  <si>
    <t>Policy &amp; Institutions</t>
  </si>
  <si>
    <t>What external government, policy or institutional condition could enable or constrain success?</t>
  </si>
  <si>
    <t>Governance &amp; External Relations</t>
  </si>
  <si>
    <t>Identify policy or institutional opportunity/threat.</t>
  </si>
  <si>
    <t>General / Other</t>
  </si>
  <si>
    <t>CORE-E03</t>
  </si>
  <si>
    <t>Funding &amp; Economy</t>
  </si>
  <si>
    <t>What external funding, economic or cost condition could create opportunity or pressure?</t>
  </si>
  <si>
    <t>Identify external funding/economic conditions.</t>
  </si>
  <si>
    <t>CORE-E04</t>
  </si>
  <si>
    <t>Partnerships &amp; Network</t>
  </si>
  <si>
    <t>What external partnership, sport-network or stakeholder condition could expand or constrain capability?</t>
  </si>
  <si>
    <t>Partnerships &amp; Stakeholders</t>
  </si>
  <si>
    <t>Identify network opportunity or dependency.</t>
  </si>
  <si>
    <t>Gate</t>
  </si>
  <si>
    <t>CORE-E05</t>
  </si>
  <si>
    <t>Technology, Risk &amp; Environment</t>
  </si>
  <si>
    <t>What external technology, safety, environmental, security or regulatory change could create opportunity or threat?</t>
  </si>
  <si>
    <t>Risk, Integrity &amp; Resilience</t>
  </si>
  <si>
    <t>Identify external change or risk exposure.</t>
  </si>
  <si>
    <t>Yes</t>
  </si>
  <si>
    <t>FAC-I01</t>
  </si>
  <si>
    <t>Physical Condition</t>
  </si>
  <si>
    <t>What factor in facility condition, usability or infrastructure is a current strength or weakness?</t>
  </si>
  <si>
    <t>Facilities &amp; Assets</t>
  </si>
  <si>
    <t>Focus on physical serviceability and usability.</t>
  </si>
  <si>
    <t>Partly</t>
  </si>
  <si>
    <t>FAC-I02</t>
  </si>
  <si>
    <t>Safety &amp; Access</t>
  </si>
  <si>
    <t>What factor in safety, access, utilities or emergency readiness is a current strength or weakness?</t>
  </si>
  <si>
    <t>Safety, Compliance &amp; Access</t>
  </si>
  <si>
    <t>Focus on safe lawful operation.</t>
  </si>
  <si>
    <t>No</t>
  </si>
  <si>
    <t>FAC-I03</t>
  </si>
  <si>
    <t>Equipment &amp; Maintenance</t>
  </si>
  <si>
    <t>What factor in equipment, maintenance or asset custody is a current strength or weakness?</t>
  </si>
  <si>
    <t>Focus on asset readiness and protection.</t>
  </si>
  <si>
    <t>Not assessed</t>
  </si>
  <si>
    <t>FAC-I04</t>
  </si>
  <si>
    <t>Use &amp; Programming</t>
  </si>
  <si>
    <t>What factor in utilisation, bookings, programmes or supervision is a current strength or weakness?</t>
  </si>
  <si>
    <t>Programmes &amp; Participation</t>
  </si>
  <si>
    <t>Focus on actual or potential use.</t>
  </si>
  <si>
    <t>Not applicable</t>
  </si>
  <si>
    <t>FAC-I05</t>
  </si>
  <si>
    <t>Operating Model</t>
  </si>
  <si>
    <t>What factor in staffing, revenue, operating hours or management structure is a current strength or weakness?</t>
  </si>
  <si>
    <t>Operations &amp; Sustainability</t>
  </si>
  <si>
    <t>Focus on sustainable operation.</t>
  </si>
  <si>
    <t>FAC-E01</t>
  </si>
  <si>
    <t>Community &amp; Landowner Environment</t>
  </si>
  <si>
    <t>What community, landowner or local legitimacy condition creates an opportunity or threat for the facility?</t>
  </si>
  <si>
    <t>Community &amp; Stakeholders</t>
  </si>
  <si>
    <t>Focus on local legitimacy and support.</t>
  </si>
  <si>
    <t>FAC-E02</t>
  </si>
  <si>
    <t>Location &amp; Access Environment</t>
  </si>
  <si>
    <t>What transport, location, surrounding infrastructure or catchment condition creates an opportunity or threat?</t>
  </si>
  <si>
    <t>Access &amp; Participation</t>
  </si>
  <si>
    <t>Focus on external accessibility.</t>
  </si>
  <si>
    <t>FAC-E03</t>
  </si>
  <si>
    <t>Sport User Network</t>
  </si>
  <si>
    <t>What school, club, association or user-market condition creates an opportunity or threat?</t>
  </si>
  <si>
    <t>Partnerships &amp; Sport Network</t>
  </si>
  <si>
    <t>Focus on user partnerships and demand.</t>
  </si>
  <si>
    <t>FAC-E04</t>
  </si>
  <si>
    <t>Government &amp; Asset Environment</t>
  </si>
  <si>
    <t>What external government, asset-management or public funding condition creates an opportunity or threat?</t>
  </si>
  <si>
    <t>Focus on owner/support environment.</t>
  </si>
  <si>
    <t>FAC-E05</t>
  </si>
  <si>
    <t>Climate, Security &amp; Resilience</t>
  </si>
  <si>
    <t>What climate, security, vandalism or environmental condition creates an opportunity or threat?</t>
  </si>
  <si>
    <t>Focus on external physical risk.</t>
  </si>
  <si>
    <t>ORG-I01</t>
  </si>
  <si>
    <t>Legal &amp; Board Governance</t>
  </si>
  <si>
    <t>What factor in constitution, registration, board effectiveness or decision-making is a strength or weakness?</t>
  </si>
  <si>
    <t>Focus on governing-body effectiveness.</t>
  </si>
  <si>
    <t>ORG-I02</t>
  </si>
  <si>
    <t>Membership &amp; Affiliates</t>
  </si>
  <si>
    <t>What factor in membership, clubs, regions or member service is a strength or weakness?</t>
  </si>
  <si>
    <t>Membership &amp; Participation</t>
  </si>
  <si>
    <t>Focus on the active membership base.</t>
  </si>
  <si>
    <t>ORG-I03</t>
  </si>
  <si>
    <t>Competition &amp; Programmes</t>
  </si>
  <si>
    <t>What factor in competitions, programmes or service delivery is a strength or weakness?</t>
  </si>
  <si>
    <t>Focus on core sport delivery.</t>
  </si>
  <si>
    <t>ORG-I04</t>
  </si>
  <si>
    <t>Technical Workforce &amp; Pathway</t>
  </si>
  <si>
    <t>What factor in coaches, officials, athlete pathway or technical development is a strength or weakness?</t>
  </si>
  <si>
    <t>Athlete &amp; Workforce Development</t>
  </si>
  <si>
    <t>Focus on technical capability and progression.</t>
  </si>
  <si>
    <t>ORG-I05</t>
  </si>
  <si>
    <t>Finance, Integrity &amp; Communication</t>
  </si>
  <si>
    <t>What factor in finance, integrity, safeguarding or communication is a strength or weakness?</t>
  </si>
  <si>
    <t>Finance, Integrity &amp; Member Trust</t>
  </si>
  <si>
    <t>Focus on organisational credibility and sustainability.</t>
  </si>
  <si>
    <t>ORG-E01</t>
  </si>
  <si>
    <t>Government &amp; Sport System</t>
  </si>
  <si>
    <t>What government, NOC, international federation or sport-system condition creates an opportunity or threat?</t>
  </si>
  <si>
    <t>Focus on institutional environment.</t>
  </si>
  <si>
    <t>ORG-E02</t>
  </si>
  <si>
    <t>Funding &amp; Sponsorship</t>
  </si>
  <si>
    <t>What external sponsorship, grant or funding condition creates an opportunity or threat?</t>
  </si>
  <si>
    <t>Focus on revenue environment.</t>
  </si>
  <si>
    <t>ORG-E03</t>
  </si>
  <si>
    <t>Participation Trends</t>
  </si>
  <si>
    <t>What participation, demographic or community trend creates an opportunity or threat?</t>
  </si>
  <si>
    <t>Focus on market and participation change.</t>
  </si>
  <si>
    <t>ORG-E04</t>
  </si>
  <si>
    <t>Partner Network</t>
  </si>
  <si>
    <t>What school, club, commercial or development-partner condition creates an opportunity or threat?</t>
  </si>
  <si>
    <t>Focus on external capability and reach.</t>
  </si>
  <si>
    <t>ORG-E05</t>
  </si>
  <si>
    <t>Integrity, Technology &amp; Competition</t>
  </si>
  <si>
    <t>What integrity, digital, media or competitive-sport trend creates an opportunity or threat?</t>
  </si>
  <si>
    <t>Risk, Integrity &amp; Innovation</t>
  </si>
  <si>
    <t>Focus on external reputation and change.</t>
  </si>
  <si>
    <t>CLB-I01</t>
  </si>
  <si>
    <t>Committee &amp; Governance</t>
  </si>
  <si>
    <t>What factor in committee leadership, governance or succession is a strength or weakness?</t>
  </si>
  <si>
    <t>Focus on simple active club governance.</t>
  </si>
  <si>
    <t>CLB-I02</t>
  </si>
  <si>
    <t>Members &amp; Retention</t>
  </si>
  <si>
    <t>What factor in membership, attendance or retention is a strength or weakness?</t>
  </si>
  <si>
    <t>Focus on real active participation.</t>
  </si>
  <si>
    <t>CLB-I03</t>
  </si>
  <si>
    <t>Coaches &amp; Volunteers</t>
  </si>
  <si>
    <t>What factor in coaches, volunteers or helpers is a strength or weakness?</t>
  </si>
  <si>
    <t>Focus on delivery workforce.</t>
  </si>
  <si>
    <t>CLB-I04</t>
  </si>
  <si>
    <t>Facility &amp; Equipment</t>
  </si>
  <si>
    <t>What factor in venue access, equipment or programme resources is a strength or weakness?</t>
  </si>
  <si>
    <t>Focus on practical delivery resources.</t>
  </si>
  <si>
    <t>CLB-I05</t>
  </si>
  <si>
    <t>Programme &amp; Finances</t>
  </si>
  <si>
    <t>What factor in regular activities, fees, costs or club finances is a strength or weakness?</t>
  </si>
  <si>
    <t>Programmes &amp; Sustainability</t>
  </si>
  <si>
    <t>Focus on consistent affordable activity.</t>
  </si>
  <si>
    <t>CLB-E01</t>
  </si>
  <si>
    <t>Community Demand</t>
  </si>
  <si>
    <t>What local community, youth or demographic condition creates an opportunity or threat?</t>
  </si>
  <si>
    <t>Focus on community need and growth.</t>
  </si>
  <si>
    <t>CLB-E02</t>
  </si>
  <si>
    <t>Schools &amp; Local Partners</t>
  </si>
  <si>
    <t>What school, community organisation or local-leader condition creates an opportunity or threat?</t>
  </si>
  <si>
    <t>Focus on practical local support.</t>
  </si>
  <si>
    <t>CLB-E03</t>
  </si>
  <si>
    <t>Facility Availability</t>
  </si>
  <si>
    <t>What external venue availability, cost or access condition creates an opportunity or threat?</t>
  </si>
  <si>
    <t>Facilities &amp; Access</t>
  </si>
  <si>
    <t>Focus on external facility dependency.</t>
  </si>
  <si>
    <t>CLB-E04</t>
  </si>
  <si>
    <t>Local Funding &amp; Sponsorship</t>
  </si>
  <si>
    <t>What grant, sponsor or local business condition creates an opportunity or threat?</t>
  </si>
  <si>
    <t>Focus on modest sustainable support.</t>
  </si>
  <si>
    <t>CLB-E05</t>
  </si>
  <si>
    <t>Safety, Inclusion &amp; Regulation</t>
  </si>
  <si>
    <t>What safeguarding, inclusion, regulation or community-expectation condition creates an opportunity or threat?</t>
  </si>
  <si>
    <t>Safety, Inclusion &amp; Integrity</t>
  </si>
  <si>
    <t>Focus on safe legitimate participation.</t>
  </si>
  <si>
    <t>GOV-I01</t>
  </si>
  <si>
    <t>Mandate &amp; Structure</t>
  </si>
  <si>
    <t>What factor in statutory mandate, organisational structure or delegated authority is a strength or weakness?</t>
  </si>
  <si>
    <t>Focus on public-sector role clarity.</t>
  </si>
  <si>
    <t>GOV-I02</t>
  </si>
  <si>
    <t>Workforce Capability</t>
  </si>
  <si>
    <t>What factor in staffing, technical skills or management capability is a strength or weakness?</t>
  </si>
  <si>
    <t>Focus on workforce matched to mandate.</t>
  </si>
  <si>
    <t>GOV-I03</t>
  </si>
  <si>
    <t>Budget &amp; Resource Allocation</t>
  </si>
  <si>
    <t>What factor in budgeting, expenditure or resource allocation is a strength or weakness?</t>
  </si>
  <si>
    <t>Finance &amp; Public Value</t>
  </si>
  <si>
    <t>Focus on allocation and execution.</t>
  </si>
  <si>
    <t>GOV-I04</t>
  </si>
  <si>
    <t>Programme &amp; Facility Oversight</t>
  </si>
  <si>
    <t>What factor in programme delivery, grants, facilities or asset oversight is a strength or weakness?</t>
  </si>
  <si>
    <t>Service Delivery &amp; Assets</t>
  </si>
  <si>
    <t>Focus on public sport delivery.</t>
  </si>
  <si>
    <t>GOV-I05</t>
  </si>
  <si>
    <t>Data, Reporting &amp; Accountability</t>
  </si>
  <si>
    <t>What factor in monitoring, reporting, procurement, audit or data is a strength or weakness?</t>
  </si>
  <si>
    <t>Data, Accountability &amp; Integrity</t>
  </si>
  <si>
    <t>Focus on management information and public accountability.</t>
  </si>
  <si>
    <t>GOV-E01</t>
  </si>
  <si>
    <t>Policy &amp; Political Environment</t>
  </si>
  <si>
    <t>What policy, political or government-priority condition creates an opportunity or threat?</t>
  </si>
  <si>
    <t>Policy &amp; External Relations</t>
  </si>
  <si>
    <t>Focus on public-policy direction.</t>
  </si>
  <si>
    <t>GOV-E02</t>
  </si>
  <si>
    <t>Fiscal &amp; Economic Environment</t>
  </si>
  <si>
    <t>What fiscal, economic or budget-environment condition creates an opportunity or threat?</t>
  </si>
  <si>
    <t>Focus on public resource pressures.</t>
  </si>
  <si>
    <t>GOV-E03</t>
  </si>
  <si>
    <t>Intergovernmental &amp; Sport Network</t>
  </si>
  <si>
    <t>What district, national, sport-body or inter-agency condition creates an opportunity or threat?</t>
  </si>
  <si>
    <t>Coordination &amp; Partnerships</t>
  </si>
  <si>
    <t>Focus on system coordination.</t>
  </si>
  <si>
    <t>GOV-E04</t>
  </si>
  <si>
    <t>Population &amp; Service Demand</t>
  </si>
  <si>
    <t>What demographic, community or participation trend creates an opportunity or threat?</t>
  </si>
  <si>
    <t>Participation &amp; Public Service</t>
  </si>
  <si>
    <t>Focus on changing public need.</t>
  </si>
  <si>
    <t>GOV-E05</t>
  </si>
  <si>
    <t>Audit, Technology &amp; Environmental Change</t>
  </si>
  <si>
    <t>What audit, integrity, technology, climate or infrastructure condition creates an opportunity or threat?</t>
  </si>
  <si>
    <t>Focus on changing external obligations and risks.</t>
  </si>
  <si>
    <t>PRG-I01</t>
  </si>
  <si>
    <t>Outcomes &amp; Design</t>
  </si>
  <si>
    <t>What factor in programme purpose, target group or design is a strength or weakness?</t>
  </si>
  <si>
    <t>Programme Design &amp; Outcomes</t>
  </si>
  <si>
    <t>Focus on clarity and logic.</t>
  </si>
  <si>
    <t>PRG-I02</t>
  </si>
  <si>
    <t>Delivery Model</t>
  </si>
  <si>
    <t>What factor in schedule, locations or delivery method is a strength or weakness?</t>
  </si>
  <si>
    <t>Programme Delivery</t>
  </si>
  <si>
    <t>Focus on practical implementation.</t>
  </si>
  <si>
    <t>PRG-I03</t>
  </si>
  <si>
    <t>Delivery Workforce</t>
  </si>
  <si>
    <t>What factor in staff, coaches or facilitators is a strength or weakness?</t>
  </si>
  <si>
    <t>Focus on delivery capacity.</t>
  </si>
  <si>
    <t>PRG-I04</t>
  </si>
  <si>
    <t>Budget &amp; Logistics</t>
  </si>
  <si>
    <t>What factor in funding, equipment, venues or logistics is a strength or weakness?</t>
  </si>
  <si>
    <t>Resources &amp; Sustainability</t>
  </si>
  <si>
    <t>Focus on minimum viable resources.</t>
  </si>
  <si>
    <t>PRG-I05</t>
  </si>
  <si>
    <t>Monitoring &amp; Learning</t>
  </si>
  <si>
    <t>What factor in data, evaluation or learning is a strength or weakness?</t>
  </si>
  <si>
    <t>Data, Monitoring &amp; Improvement</t>
  </si>
  <si>
    <t>Focus on evidence and adaptation.</t>
  </si>
  <si>
    <t>PRG-E01</t>
  </si>
  <si>
    <t>Participant Demand</t>
  </si>
  <si>
    <t>What target-group, participation or social trend creates an opportunity or threat?</t>
  </si>
  <si>
    <t>Focus on relevance and reach.</t>
  </si>
  <si>
    <t>PRG-E02</t>
  </si>
  <si>
    <t>Partners &amp; Referral Network</t>
  </si>
  <si>
    <t>What partner, referral or stakeholder condition creates an opportunity or threat?</t>
  </si>
  <si>
    <t>Focus on support and participant pathways.</t>
  </si>
  <si>
    <t>PRG-E03</t>
  </si>
  <si>
    <t>Venue &amp; Resource Environment</t>
  </si>
  <si>
    <t>What external venue, equipment or resource condition creates an opportunity or threat?</t>
  </si>
  <si>
    <t>Facilities &amp; Resources</t>
  </si>
  <si>
    <t>Focus on delivery dependency.</t>
  </si>
  <si>
    <t>PRG-E04</t>
  </si>
  <si>
    <t>Funding &amp; Policy Environment</t>
  </si>
  <si>
    <t>What grant, policy or funding condition creates an opportunity or threat?</t>
  </si>
  <si>
    <t>Finance &amp; External Support</t>
  </si>
  <si>
    <t>Focus on continuity and scale.</t>
  </si>
  <si>
    <t>PRG-E05</t>
  </si>
  <si>
    <t>Safety, Inclusion &amp; Technology</t>
  </si>
  <si>
    <t>What safeguarding, inclusion, technology or communication trend creates an opportunity or threat?</t>
  </si>
  <si>
    <t>Safety, Inclusion &amp; Innovation</t>
  </si>
  <si>
    <t>Focus on quality and access.</t>
  </si>
  <si>
    <t>EVT-I01</t>
  </si>
  <si>
    <t>Governance &amp; Roles</t>
  </si>
  <si>
    <t>What factor in event authority, roles or decision-making is a strength or weakness?</t>
  </si>
  <si>
    <t>Event Governance</t>
  </si>
  <si>
    <t>Focus on command and accountability.</t>
  </si>
  <si>
    <t>EVT-I02</t>
  </si>
  <si>
    <t>Competition System</t>
  </si>
  <si>
    <t>What factor in draw, schedule, rules or result management is a strength or weakness?</t>
  </si>
  <si>
    <t>Competition Operations</t>
  </si>
  <si>
    <t>Focus on reliable competition control.</t>
  </si>
  <si>
    <t>EVT-I03</t>
  </si>
  <si>
    <t>Venue Readiness</t>
  </si>
  <si>
    <t>What factor in venue, field of play or support-space readiness is a strength or weakness?</t>
  </si>
  <si>
    <t>Venue &amp; Asset Readiness</t>
  </si>
  <si>
    <t>Focus on delivery standard.</t>
  </si>
  <si>
    <t>EVT-I04</t>
  </si>
  <si>
    <t>Officials &amp; Workforce</t>
  </si>
  <si>
    <t>What factor in officials, volunteers or staff is a strength or weakness?</t>
  </si>
  <si>
    <t>Focus on event workforce.</t>
  </si>
  <si>
    <t>EVT-I05</t>
  </si>
  <si>
    <t>Logistics, Finance &amp; Communication</t>
  </si>
  <si>
    <t>What factor in logistics, equipment, budget or participant communication is a strength or weakness?</t>
  </si>
  <si>
    <t>Event Delivery &amp; Resources</t>
  </si>
  <si>
    <t>Focus on operational reliability.</t>
  </si>
  <si>
    <t>EVT-E01</t>
  </si>
  <si>
    <t>Entries &amp; Participant Environment</t>
  </si>
  <si>
    <t>What entry, team, athlete or participant condition creates an opportunity or threat?</t>
  </si>
  <si>
    <t>Participation &amp; Competition</t>
  </si>
  <si>
    <t>Focus on event demand and quality.</t>
  </si>
  <si>
    <t>EVT-E02</t>
  </si>
  <si>
    <t>Weather &amp; Security</t>
  </si>
  <si>
    <t>What weather, security or environmental condition creates an opportunity or threat?</t>
  </si>
  <si>
    <t>Risk &amp; Resilience</t>
  </si>
  <si>
    <t>Focus on event continuity.</t>
  </si>
  <si>
    <t>EVT-E03</t>
  </si>
  <si>
    <t>Suppliers &amp; Transport</t>
  </si>
  <si>
    <t>What supplier, accommodation, transport or logistics condition creates an opportunity or threat?</t>
  </si>
  <si>
    <t>Logistics &amp; Partnerships</t>
  </si>
  <si>
    <t>Focus on external delivery dependency.</t>
  </si>
  <si>
    <t>EVT-E04</t>
  </si>
  <si>
    <t>Regulation &amp; Medical</t>
  </si>
  <si>
    <t>What regulatory, medical, safeguarding or authority condition creates an opportunity or threat?</t>
  </si>
  <si>
    <t>Safety &amp; Compliance</t>
  </si>
  <si>
    <t>Focus on non-negotiable event requirements.</t>
  </si>
  <si>
    <t>EVT-E05</t>
  </si>
  <si>
    <t>Media, Reputation &amp; Partners</t>
  </si>
  <si>
    <t>What media, sponsor, spectator or partner condition creates an opportunity or threat?</t>
  </si>
  <si>
    <t>Reputation &amp; Partnerships</t>
  </si>
  <si>
    <t>Focus on external value and exposure.</t>
  </si>
  <si>
    <t>GEN-I01</t>
  </si>
  <si>
    <t>What internal governance or leadership factor is a current strength or weakness?</t>
  </si>
  <si>
    <t>Focus on controllable direction and accountability.</t>
  </si>
  <si>
    <t>GEN-I02</t>
  </si>
  <si>
    <t>What internal people or capability factor is a current strength or weakness?</t>
  </si>
  <si>
    <t>GEN-I03</t>
  </si>
  <si>
    <t>What internal resource or finance factor is a current strength or weakness?</t>
  </si>
  <si>
    <t>Focus on resource sufficiency.</t>
  </si>
  <si>
    <t>GEN-I04</t>
  </si>
  <si>
    <t>Operations &amp; Delivery</t>
  </si>
  <si>
    <t>What internal operating or service-delivery factor is a current strength or weakness?</t>
  </si>
  <si>
    <t>Operations &amp; Service Delivery</t>
  </si>
  <si>
    <t>Focus on reliable performance.</t>
  </si>
  <si>
    <t>GEN-I05</t>
  </si>
  <si>
    <t>Systems &amp; Evidence</t>
  </si>
  <si>
    <t>What internal information, control or monitoring factor is a current strength or weakness?</t>
  </si>
  <si>
    <t>Data &amp; Monitoring</t>
  </si>
  <si>
    <t>Focus on decision support.</t>
  </si>
  <si>
    <t>GEN-E01</t>
  </si>
  <si>
    <t>What external policy or institutional condition creates an opportunity or threat?</t>
  </si>
  <si>
    <t>External Relations</t>
  </si>
  <si>
    <t>Focus on enabling or constraining institutions.</t>
  </si>
  <si>
    <t>GEN-E02</t>
  </si>
  <si>
    <t>Economic &amp; Funding</t>
  </si>
  <si>
    <t>What external economic or funding condition creates an opportunity or threat?</t>
  </si>
  <si>
    <t>Focus on external resource conditions.</t>
  </si>
  <si>
    <t>GEN-E03</t>
  </si>
  <si>
    <t>Social &amp; Demand</t>
  </si>
  <si>
    <t>What external social, demographic or demand condition creates an opportunity or threat?</t>
  </si>
  <si>
    <t>Focus on changing need.</t>
  </si>
  <si>
    <t>GEN-E04</t>
  </si>
  <si>
    <t>Technology &amp; Partnerships</t>
  </si>
  <si>
    <t>What external technology or partnership condition creates an opportunity or threat?</t>
  </si>
  <si>
    <t>Innovation &amp; Partnerships</t>
  </si>
  <si>
    <t>Focus on changing external capability.</t>
  </si>
  <si>
    <t>GEN-E05</t>
  </si>
  <si>
    <t>Legal, Environmental &amp; Risk</t>
  </si>
  <si>
    <t>What external legal, environmental or risk condition creates an opportunity or threat?</t>
  </si>
  <si>
    <t>Focus on external exposure.</t>
  </si>
  <si>
    <t>TECHNICAL AUTOMATION — NO USER INPUT REQUIRED</t>
  </si>
  <si>
    <t>Copies classified SWOT factors, calculates within-type ranks, and supplies the automated Matrix and TOWS preparation.</t>
  </si>
  <si>
    <t>SWOT Type</t>
  </si>
  <si>
    <t>Evidence Source</t>
  </si>
  <si>
    <t>Importance</t>
  </si>
  <si>
    <t>Confidence</t>
  </si>
  <si>
    <t>Type Rank</t>
  </si>
  <si>
    <t>Strength Rank</t>
  </si>
  <si>
    <t>Weakness Rank</t>
  </si>
  <si>
    <t>Opportunity Rank</t>
  </si>
  <si>
    <t>Threat Rank</t>
  </si>
  <si>
    <t>Row Key</t>
  </si>
  <si>
    <t>STR-03 — CONTEXTUAL SWOT &amp; STRATEGIC PREPARATION</t>
  </si>
  <si>
    <r>
      <rPr>
        <b/>
        <sz val="14"/>
        <color rgb="FF000000"/>
        <rFont val="Carlito"/>
      </rPr>
      <t>Important</t>
    </r>
    <r>
      <rPr>
        <sz val="10"/>
        <color rgb="FF000000"/>
        <rFont val="Carlito"/>
      </rPr>
      <t xml:space="preserve">: </t>
    </r>
    <r>
      <rPr>
        <i/>
        <sz val="12"/>
        <color rgb="FF000000"/>
        <rFont val="Carlito"/>
      </rPr>
      <t>changing Context Type changes the 10 context-specific lenses. Select context before entering factor text.</t>
    </r>
  </si>
  <si>
    <r>
      <rPr>
        <b/>
        <i/>
        <sz val="10"/>
        <color rgb="FF000000"/>
        <rFont val="Carlito"/>
      </rPr>
      <t>Purpose:</t>
    </r>
    <r>
      <rPr>
        <i/>
        <sz val="10"/>
        <color rgb="FF000000"/>
        <rFont val="Carlito"/>
      </rPr>
      <t xml:space="preserve"> turn verified situation findings into a focused SWOT, automatically rank the strongest factors, and prepare candidate TOWS responses for strategic decision.</t>
    </r>
  </si>
  <si>
    <r>
      <rPr>
        <b/>
        <i/>
        <sz val="10"/>
        <color rgb="FF000000"/>
        <rFont val="Carlito"/>
      </rPr>
      <t xml:space="preserve">Note: </t>
    </r>
    <r>
      <rPr>
        <i/>
        <sz val="10"/>
        <color rgb="FF000000"/>
        <rFont val="Carlito"/>
      </rPr>
      <t>Actively use only the yellow filled boxes.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</si>
</sst>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Carlito"/>
    </font>
    <font>
      <sz val="9"/>
      <color rgb="FF000000"/>
      <name val="Carlito"/>
    </font>
    <font>
      <b/>
      <sz val="14"/>
      <color rgb="FFFFFFFF"/>
      <name val="Carlito"/>
    </font>
    <font>
      <sz val="10"/>
      <color rgb="FF000000"/>
      <name val="Carlito"/>
    </font>
    <font>
      <b/>
      <sz val="18"/>
      <color rgb="FFFFFFFF"/>
      <name val="Carlito"/>
    </font>
    <font>
      <b/>
      <sz val="10"/>
      <color rgb="FF000000"/>
      <name val="Carlito"/>
    </font>
    <font>
      <b/>
      <sz val="10"/>
      <color rgb="FFFFFFFF"/>
      <name val="Carlito"/>
    </font>
    <font>
      <b/>
      <sz val="16"/>
      <color rgb="FFFFFFFF"/>
      <name val="Carlito"/>
    </font>
    <font>
      <b/>
      <sz val="13"/>
      <color rgb="FFFFFFFF"/>
      <name val="Carlito"/>
    </font>
    <font>
      <b/>
      <sz val="17"/>
      <color rgb="FFFFFFFF"/>
      <name val="Carlito"/>
    </font>
    <font>
      <b/>
      <sz val="12"/>
      <color rgb="FFFFFFFF"/>
      <name val="Carlito"/>
    </font>
    <font>
      <sz val="12"/>
      <name val="Carlito"/>
    </font>
    <font>
      <sz val="12"/>
      <color rgb="FF000000"/>
      <name val="Carlito"/>
    </font>
    <font>
      <b/>
      <sz val="12"/>
      <color rgb="FF000000"/>
      <name val="Carlito"/>
    </font>
    <font>
      <b/>
      <sz val="14"/>
      <color rgb="FF000000"/>
      <name val="Carlito"/>
    </font>
    <font>
      <i/>
      <sz val="12"/>
      <color rgb="FF000000"/>
      <name val="Carlito"/>
    </font>
    <font>
      <i/>
      <sz val="10"/>
      <color rgb="FF000000"/>
      <name val="Carlito"/>
    </font>
    <font>
      <i/>
      <sz val="11"/>
      <name val="Carlito"/>
    </font>
    <font>
      <b/>
      <i/>
      <sz val="10"/>
      <color rgb="FF000000"/>
      <name val="Carlito"/>
    </font>
    <font>
      <b/>
      <sz val="12"/>
      <name val="Carlito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F8C8D"/>
      </patternFill>
    </fill>
    <fill>
      <patternFill patternType="solid">
        <fgColor rgb="FFA6A6A6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4472C4"/>
      </patternFill>
    </fill>
    <fill>
      <patternFill patternType="solid">
        <fgColor rgb="FFF2F2F2"/>
      </patternFill>
    </fill>
    <fill>
      <patternFill patternType="solid">
        <fgColor rgb="FFFCE4D6"/>
      </patternFill>
    </fill>
    <fill>
      <patternFill patternType="solid">
        <fgColor rgb="FFD9EAD3"/>
      </patternFill>
    </fill>
    <fill>
      <patternFill patternType="solid">
        <fgColor rgb="FFF4CCCC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3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5" fillId="8" borderId="0" xfId="0" applyFont="1" applyFill="1" applyAlignment="1">
      <alignment vertical="center" wrapText="1"/>
    </xf>
    <xf numFmtId="0" fontId="3" fillId="9" borderId="0" xfId="0" applyFont="1" applyFill="1" applyAlignment="1">
      <alignment vertical="center" wrapText="1"/>
    </xf>
    <xf numFmtId="0" fontId="6" fillId="9" borderId="0" xfId="0" applyFont="1" applyFill="1" applyAlignment="1">
      <alignment vertical="center" wrapText="1"/>
    </xf>
    <xf numFmtId="0" fontId="3" fillId="10" borderId="0" xfId="0" applyFont="1" applyFill="1" applyAlignment="1">
      <alignment vertical="center" wrapText="1"/>
    </xf>
    <xf numFmtId="0" fontId="5" fillId="10" borderId="0" xfId="0" applyFont="1" applyFill="1" applyAlignment="1">
      <alignment vertical="center" wrapText="1"/>
    </xf>
    <xf numFmtId="0" fontId="3" fillId="11" borderId="0" xfId="0" applyFont="1" applyFill="1" applyAlignment="1">
      <alignment vertical="center" wrapText="1"/>
    </xf>
    <xf numFmtId="0" fontId="1" fillId="2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1" fillId="6" borderId="0" xfId="0" applyFont="1" applyFill="1" applyAlignment="1">
      <alignment vertical="top" wrapText="1"/>
    </xf>
    <xf numFmtId="0" fontId="1" fillId="10" borderId="0" xfId="0" applyFont="1" applyFill="1" applyAlignment="1">
      <alignment wrapText="1"/>
    </xf>
    <xf numFmtId="0" fontId="3" fillId="5" borderId="0" xfId="0" applyFont="1" applyFill="1" applyAlignment="1">
      <alignment wrapText="1"/>
    </xf>
    <xf numFmtId="0" fontId="3" fillId="6" borderId="0" xfId="0" applyFont="1" applyFill="1" applyAlignment="1">
      <alignment wrapText="1"/>
    </xf>
    <xf numFmtId="0" fontId="5" fillId="6" borderId="0" xfId="0" applyFont="1" applyFill="1" applyAlignment="1">
      <alignment wrapText="1"/>
    </xf>
    <xf numFmtId="0" fontId="3" fillId="10" borderId="0" xfId="0" applyFont="1" applyFill="1" applyAlignment="1">
      <alignment wrapText="1"/>
    </xf>
    <xf numFmtId="0" fontId="3" fillId="9" borderId="0" xfId="0" applyFont="1" applyFill="1" applyAlignment="1">
      <alignment wrapText="1"/>
    </xf>
    <xf numFmtId="0" fontId="6" fillId="9" borderId="1" xfId="0" applyFont="1" applyFill="1" applyBorder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3" fillId="11" borderId="0" xfId="0" applyFont="1" applyFill="1" applyAlignment="1">
      <alignment wrapText="1"/>
    </xf>
    <xf numFmtId="0" fontId="4" fillId="5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0" fontId="7" fillId="5" borderId="0" xfId="0" applyFont="1" applyFill="1" applyAlignment="1">
      <alignment vertical="center"/>
    </xf>
    <xf numFmtId="0" fontId="1" fillId="6" borderId="0" xfId="0" applyFont="1" applyFill="1" applyAlignment="1">
      <alignment vertical="center"/>
    </xf>
    <xf numFmtId="0" fontId="3" fillId="11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1" fillId="1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10" borderId="3" xfId="0" applyFont="1" applyFill="1" applyBorder="1" applyAlignment="1">
      <alignment horizontal="left" vertical="center" wrapText="1"/>
    </xf>
    <xf numFmtId="0" fontId="1" fillId="10" borderId="4" xfId="0" applyFont="1" applyFill="1" applyBorder="1" applyAlignment="1">
      <alignment horizontal="left" vertical="center" wrapText="1"/>
    </xf>
    <xf numFmtId="0" fontId="1" fillId="10" borderId="5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0" fillId="4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0" fillId="9" borderId="0" xfId="0" applyFont="1" applyFill="1" applyAlignment="1">
      <alignment vertical="center"/>
    </xf>
    <xf numFmtId="0" fontId="3" fillId="10" borderId="0" xfId="0" applyFont="1" applyFill="1" applyAlignment="1">
      <alignment horizontal="center" vertical="center" wrapText="1"/>
    </xf>
    <xf numFmtId="0" fontId="5" fillId="6" borderId="2" xfId="0" applyFont="1" applyFill="1" applyBorder="1" applyAlignment="1">
      <alignment vertical="center" wrapText="1"/>
    </xf>
    <xf numFmtId="0" fontId="3" fillId="10" borderId="2" xfId="0" applyFont="1" applyFill="1" applyBorder="1" applyAlignment="1">
      <alignment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3" fillId="10" borderId="0" xfId="0" applyFont="1" applyFill="1" applyAlignment="1"/>
    <xf numFmtId="0" fontId="3" fillId="2" borderId="0" xfId="0" applyFont="1" applyFill="1" applyAlignment="1">
      <alignment horizontal="center" vertical="center" wrapText="1"/>
    </xf>
    <xf numFmtId="0" fontId="5" fillId="6" borderId="3" xfId="0" applyFont="1" applyFill="1" applyBorder="1" applyAlignment="1">
      <alignment wrapText="1"/>
    </xf>
    <xf numFmtId="0" fontId="5" fillId="6" borderId="4" xfId="0" applyFont="1" applyFill="1" applyBorder="1" applyAlignment="1">
      <alignment wrapText="1"/>
    </xf>
    <xf numFmtId="0" fontId="5" fillId="6" borderId="5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5" fillId="6" borderId="3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10" fillId="9" borderId="3" xfId="0" applyFont="1" applyFill="1" applyBorder="1" applyAlignment="1">
      <alignment vertical="center"/>
    </xf>
    <xf numFmtId="0" fontId="12" fillId="9" borderId="4" xfId="0" applyFont="1" applyFill="1" applyBorder="1" applyAlignment="1">
      <alignment vertical="center"/>
    </xf>
    <xf numFmtId="0" fontId="12" fillId="9" borderId="5" xfId="0" applyFont="1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10" fillId="9" borderId="1" xfId="0" applyFont="1" applyFill="1" applyBorder="1" applyAlignment="1"/>
    <xf numFmtId="0" fontId="1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12" fillId="7" borderId="2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2" fillId="7" borderId="5" xfId="0" applyFont="1" applyFill="1" applyBorder="1" applyAlignment="1">
      <alignment vertical="center" wrapText="1"/>
    </xf>
    <xf numFmtId="0" fontId="16" fillId="6" borderId="0" xfId="0" applyFont="1" applyFill="1" applyAlignment="1">
      <alignment vertical="center"/>
    </xf>
    <xf numFmtId="0" fontId="16" fillId="6" borderId="0" xfId="0" applyFont="1" applyFill="1" applyAlignment="1">
      <alignment vertical="center" wrapText="1"/>
    </xf>
    <xf numFmtId="0" fontId="17" fillId="0" borderId="0" xfId="0" applyFont="1"/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vertical="center" wrapText="1"/>
    </xf>
    <xf numFmtId="0" fontId="10" fillId="9" borderId="3" xfId="0" applyFont="1" applyFill="1" applyBorder="1" applyAlignment="1">
      <alignment vertical="center" wrapText="1"/>
    </xf>
    <xf numFmtId="0" fontId="10" fillId="9" borderId="4" xfId="0" applyFont="1" applyFill="1" applyBorder="1" applyAlignment="1">
      <alignment vertical="center" wrapText="1"/>
    </xf>
    <xf numFmtId="0" fontId="10" fillId="9" borderId="5" xfId="0" applyFont="1" applyFill="1" applyBorder="1" applyAlignment="1">
      <alignment vertical="center" wrapText="1"/>
    </xf>
    <xf numFmtId="0" fontId="1" fillId="7" borderId="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10" borderId="4" xfId="0" applyFont="1" applyFill="1" applyBorder="1" applyAlignment="1">
      <alignment vertical="center" wrapText="1"/>
    </xf>
    <xf numFmtId="0" fontId="1" fillId="10" borderId="5" xfId="0" applyFont="1" applyFill="1" applyBorder="1" applyAlignment="1">
      <alignment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vertical="center" wrapText="1"/>
    </xf>
    <xf numFmtId="0" fontId="5" fillId="8" borderId="0" xfId="0" applyFont="1" applyFill="1" applyAlignment="1">
      <alignment horizontal="center" vertical="center" wrapText="1"/>
    </xf>
    <xf numFmtId="0" fontId="5" fillId="10" borderId="0" xfId="0" applyFont="1" applyFill="1" applyAlignment="1"/>
    <xf numFmtId="0" fontId="1" fillId="7" borderId="2" xfId="0" applyFont="1" applyFill="1" applyBorder="1" applyAlignment="1">
      <alignment horizontal="left" vertical="center" wrapText="1"/>
    </xf>
    <xf numFmtId="0" fontId="10" fillId="9" borderId="0" xfId="0" applyFont="1" applyFill="1" applyAlignment="1">
      <alignment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vertical="center"/>
    </xf>
    <xf numFmtId="0" fontId="1" fillId="11" borderId="0" xfId="0" applyFont="1" applyFill="1" applyAlignment="1">
      <alignment vertical="center" wrapText="1"/>
    </xf>
    <xf numFmtId="0" fontId="10" fillId="9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wrapText="1"/>
    </xf>
    <xf numFmtId="0" fontId="3" fillId="10" borderId="2" xfId="0" applyFont="1" applyFill="1" applyBorder="1" applyAlignment="1">
      <alignment wrapText="1"/>
    </xf>
    <xf numFmtId="0" fontId="3" fillId="7" borderId="2" xfId="0" applyFont="1" applyFill="1" applyBorder="1" applyAlignment="1">
      <alignment wrapText="1"/>
    </xf>
    <xf numFmtId="0" fontId="19" fillId="0" borderId="0" xfId="0" applyFont="1"/>
    <xf numFmtId="0" fontId="19" fillId="0" borderId="0" xfId="0" applyFont="1" applyAlignment="1">
      <alignment vertical="center"/>
    </xf>
    <xf numFmtId="0" fontId="13" fillId="12" borderId="6" xfId="0" applyFont="1" applyFill="1" applyBorder="1" applyAlignment="1"/>
    <xf numFmtId="0" fontId="13" fillId="12" borderId="7" xfId="0" applyFont="1" applyFill="1" applyBorder="1" applyAlignment="1">
      <alignment wrapText="1"/>
    </xf>
    <xf numFmtId="0" fontId="13" fillId="12" borderId="8" xfId="0" applyFont="1" applyFill="1" applyBorder="1" applyAlignment="1">
      <alignment wrapText="1"/>
    </xf>
    <xf numFmtId="0" fontId="6" fillId="9" borderId="9" xfId="0" applyFont="1" applyFill="1" applyBorder="1" applyAlignment="1">
      <alignment wrapText="1"/>
    </xf>
    <xf numFmtId="0" fontId="6" fillId="9" borderId="10" xfId="0" applyFont="1" applyFill="1" applyBorder="1" applyAlignment="1">
      <alignment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wrapText="1"/>
    </xf>
    <xf numFmtId="0" fontId="3" fillId="2" borderId="13" xfId="0" applyFont="1" applyFill="1" applyBorder="1" applyAlignment="1">
      <alignment wrapText="1"/>
    </xf>
    <xf numFmtId="0" fontId="13" fillId="13" borderId="6" xfId="0" applyFont="1" applyFill="1" applyBorder="1" applyAlignment="1"/>
    <xf numFmtId="0" fontId="13" fillId="13" borderId="7" xfId="0" applyFont="1" applyFill="1" applyBorder="1" applyAlignment="1">
      <alignment wrapText="1"/>
    </xf>
    <xf numFmtId="0" fontId="13" fillId="13" borderId="8" xfId="0" applyFont="1" applyFill="1" applyBorder="1" applyAlignment="1">
      <alignment wrapText="1"/>
    </xf>
    <xf numFmtId="0" fontId="3" fillId="2" borderId="9" xfId="0" applyFont="1" applyFill="1" applyBorder="1" applyAlignment="1">
      <alignment vertical="center" wrapText="1"/>
    </xf>
    <xf numFmtId="0" fontId="13" fillId="12" borderId="6" xfId="0" applyFont="1" applyFill="1" applyBorder="1" applyAlignment="1">
      <alignment vertical="center"/>
    </xf>
    <xf numFmtId="0" fontId="13" fillId="12" borderId="7" xfId="0" applyFont="1" applyFill="1" applyBorder="1" applyAlignment="1">
      <alignment vertical="center"/>
    </xf>
    <xf numFmtId="0" fontId="13" fillId="12" borderId="8" xfId="0" applyFont="1" applyFill="1" applyBorder="1" applyAlignment="1">
      <alignment vertical="center"/>
    </xf>
    <xf numFmtId="0" fontId="13" fillId="13" borderId="7" xfId="0" applyFont="1" applyFill="1" applyBorder="1" applyAlignment="1">
      <alignment vertical="center"/>
    </xf>
    <xf numFmtId="0" fontId="13" fillId="13" borderId="8" xfId="0" applyFont="1" applyFill="1" applyBorder="1" applyAlignment="1">
      <alignment vertical="center"/>
    </xf>
  </cellXfs>
  <cellStyles count="1">
    <cellStyle name="Normal" xfId="0" builtinId="0"/>
  </cellStyles>
  <dxfs count="11">
    <dxf>
      <font>
        <b/>
        <color rgb="FF000000"/>
      </font>
      <fill>
        <patternFill>
          <bgColor rgb="FFF4CCCC"/>
        </patternFill>
      </fill>
    </dxf>
    <dxf>
      <font>
        <color rgb="FF000000"/>
      </font>
      <fill>
        <patternFill>
          <bgColor rgb="FFFFF2CC"/>
        </patternFill>
      </fill>
    </dxf>
    <dxf>
      <font>
        <b/>
        <color rgb="FF000000"/>
      </font>
      <fill>
        <patternFill>
          <bgColor rgb="FFE2F0D9"/>
        </patternFill>
      </fill>
    </dxf>
    <dxf>
      <font>
        <color rgb="FF000000"/>
      </font>
      <fill>
        <patternFill>
          <bgColor rgb="FFF2F2F2"/>
        </patternFill>
      </fill>
    </dxf>
    <dxf>
      <font>
        <color rgb="FF000000"/>
      </font>
      <fill>
        <patternFill>
          <bgColor rgb="FFFFF2CC"/>
        </patternFill>
      </fill>
    </dxf>
    <dxf>
      <font>
        <b/>
        <color rgb="FF000000"/>
      </font>
      <fill>
        <patternFill>
          <bgColor rgb="FFE2F0D9"/>
        </patternFill>
      </fill>
    </dxf>
    <dxf>
      <font>
        <b/>
        <color rgb="FF000000"/>
      </font>
      <fill>
        <patternFill>
          <bgColor rgb="FFFCE4D6"/>
        </patternFill>
      </fill>
    </dxf>
    <dxf>
      <font>
        <b/>
        <color rgb="FF000000"/>
      </font>
      <fill>
        <patternFill>
          <bgColor rgb="FFF4CCCC"/>
        </patternFill>
      </fill>
    </dxf>
    <dxf>
      <font>
        <b/>
        <color rgb="FF000000"/>
      </font>
      <fill>
        <patternFill>
          <bgColor rgb="FFF4CCCC"/>
        </patternFill>
      </fill>
    </dxf>
    <dxf>
      <font>
        <b/>
        <color rgb="FF000000"/>
      </font>
      <fill>
        <patternFill>
          <bgColor rgb="FFE2F0D9"/>
        </patternFill>
      </fill>
    </dxf>
    <dxf>
      <font>
        <b/>
        <color rgb="FF000000"/>
      </font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C9" sqref="C9"/>
    </sheetView>
  </sheetViews>
  <sheetFormatPr defaultRowHeight="14.25"/>
  <cols>
    <col min="1" max="1" width="24" customWidth="1"/>
    <col min="2" max="2" width="35" customWidth="1"/>
    <col min="3" max="3" width="42" customWidth="1"/>
    <col min="4" max="4" width="23" customWidth="1"/>
    <col min="5" max="5" width="38" customWidth="1"/>
    <col min="6" max="6" width="24" customWidth="1"/>
    <col min="7" max="7" width="42" customWidth="1"/>
  </cols>
  <sheetData>
    <row r="1" spans="1:7" ht="23.25">
      <c r="A1" s="27" t="s">
        <v>599</v>
      </c>
      <c r="B1" s="6"/>
      <c r="C1" s="6"/>
      <c r="D1" s="6"/>
      <c r="E1" s="6"/>
      <c r="F1" s="6"/>
      <c r="G1" s="6"/>
    </row>
    <row r="2" spans="1:7">
      <c r="A2" s="5"/>
      <c r="B2" s="5"/>
      <c r="C2" s="5"/>
      <c r="D2" s="5"/>
      <c r="E2" s="5"/>
      <c r="F2" s="5"/>
      <c r="G2" s="5"/>
    </row>
    <row r="3" spans="1:7" s="87" customFormat="1" ht="18.75" customHeight="1">
      <c r="A3" s="85" t="s">
        <v>601</v>
      </c>
      <c r="B3" s="86"/>
      <c r="C3" s="86"/>
      <c r="D3" s="86"/>
      <c r="E3" s="86"/>
      <c r="F3" s="86"/>
      <c r="G3" s="86"/>
    </row>
    <row r="4" spans="1:7" s="87" customFormat="1" ht="18.75" customHeight="1">
      <c r="A4" s="88" t="s">
        <v>602</v>
      </c>
      <c r="B4" s="89"/>
      <c r="C4" s="89"/>
      <c r="D4" s="89"/>
      <c r="E4" s="89"/>
      <c r="F4" s="89"/>
      <c r="G4" s="89"/>
    </row>
    <row r="5" spans="1:7" ht="17.25" customHeight="1">
      <c r="A5" s="68" t="s">
        <v>0</v>
      </c>
      <c r="B5" s="84"/>
      <c r="C5" s="5"/>
      <c r="D5" s="7" t="s">
        <v>1</v>
      </c>
      <c r="E5" s="8">
        <f>COUNTIF('SWOT Assessment'!$F$5:$F$24,"&lt;&gt;")</f>
        <v>0</v>
      </c>
      <c r="F5" s="5"/>
      <c r="G5" s="5"/>
    </row>
    <row r="6" spans="1:7" ht="17.25" customHeight="1">
      <c r="A6" s="68" t="s">
        <v>2</v>
      </c>
      <c r="B6" s="84"/>
      <c r="C6" s="5"/>
      <c r="D6" s="7" t="s">
        <v>3</v>
      </c>
      <c r="E6" s="8">
        <f>COUNTIF('SWOT Assessment'!$H$5:$H$24,"Strength")+COUNTIF('SWOT Assessment'!$H$5:$H$24,"Weakness")+COUNTIF('SWOT Assessment'!$H$5:$H$24,"Opportunity")+COUNTIF('SWOT Assessment'!$H$5:$H$24,"Threat")</f>
        <v>0</v>
      </c>
      <c r="F6" s="5"/>
      <c r="G6" s="5"/>
    </row>
    <row r="7" spans="1:7" ht="17.25" customHeight="1">
      <c r="A7" s="68" t="s">
        <v>4</v>
      </c>
      <c r="B7" s="84"/>
      <c r="C7" s="5"/>
      <c r="D7" s="7" t="s">
        <v>5</v>
      </c>
      <c r="E7" s="8">
        <f>COUNTIF('SWOT Assessment'!$H$5:$H$24,"Strength")</f>
        <v>0</v>
      </c>
      <c r="F7" s="5"/>
      <c r="G7" s="5"/>
    </row>
    <row r="8" spans="1:7" ht="17.25" customHeight="1">
      <c r="A8" s="68" t="s">
        <v>6</v>
      </c>
      <c r="B8" s="84"/>
      <c r="C8" s="5"/>
      <c r="D8" s="7" t="s">
        <v>7</v>
      </c>
      <c r="E8" s="8">
        <f>COUNTIF('SWOT Assessment'!$H$5:$H$24,"Weakness")</f>
        <v>0</v>
      </c>
      <c r="F8" s="5"/>
      <c r="G8" s="5"/>
    </row>
    <row r="9" spans="1:7" ht="17.25" customHeight="1">
      <c r="A9" s="68" t="s">
        <v>8</v>
      </c>
      <c r="B9" s="84"/>
      <c r="C9" s="5"/>
      <c r="D9" s="7" t="s">
        <v>9</v>
      </c>
      <c r="E9" s="8">
        <f>COUNTIF('SWOT Assessment'!$H$5:$H$24,"Opportunity")</f>
        <v>0</v>
      </c>
      <c r="F9" s="5"/>
      <c r="G9" s="5"/>
    </row>
    <row r="10" spans="1:7" ht="17.25" customHeight="1">
      <c r="A10" s="68" t="s">
        <v>10</v>
      </c>
      <c r="B10" s="84"/>
      <c r="C10" s="5"/>
      <c r="D10" s="7" t="s">
        <v>11</v>
      </c>
      <c r="E10" s="8">
        <f>COUNTIF('SWOT Assessment'!$H$5:$H$24,"Threat")</f>
        <v>0</v>
      </c>
      <c r="F10" s="5"/>
      <c r="G10" s="5"/>
    </row>
    <row r="11" spans="1:7">
      <c r="A11" s="5"/>
      <c r="B11" s="5"/>
      <c r="C11" s="5"/>
      <c r="D11" s="5"/>
      <c r="E11" s="5"/>
      <c r="F11" s="5"/>
      <c r="G11" s="5"/>
    </row>
    <row r="12" spans="1:7" ht="27.75" customHeight="1">
      <c r="A12" s="52" t="s">
        <v>12</v>
      </c>
      <c r="B12" s="9"/>
      <c r="C12" s="9"/>
      <c r="D12" s="9"/>
      <c r="E12" s="9"/>
      <c r="F12" s="9"/>
      <c r="G12" s="9"/>
    </row>
    <row r="13" spans="1:7" ht="30.75" customHeight="1">
      <c r="A13" s="7" t="s">
        <v>13</v>
      </c>
      <c r="B13" s="82" t="s">
        <v>223</v>
      </c>
      <c r="C13" s="5"/>
      <c r="D13" s="7" t="s">
        <v>15</v>
      </c>
      <c r="E13" s="11" t="str">
        <f>"10 Core + 10 "&amp;B13&amp;" SWOT lenses"</f>
        <v>10 Core + 10 Community Sport Club SWOT lenses</v>
      </c>
      <c r="F13" s="5"/>
      <c r="G13" s="5"/>
    </row>
    <row r="14" spans="1:7" ht="30.75" customHeight="1">
      <c r="A14" s="7" t="s">
        <v>16</v>
      </c>
      <c r="B14" s="82" t="s">
        <v>17</v>
      </c>
      <c r="C14" s="5"/>
      <c r="D14" s="7" t="s">
        <v>18</v>
      </c>
      <c r="E14" s="11" t="s">
        <v>19</v>
      </c>
      <c r="F14" s="5"/>
      <c r="G14" s="5"/>
    </row>
    <row r="15" spans="1:7" ht="30.75" customHeight="1">
      <c r="A15" s="7" t="s">
        <v>20</v>
      </c>
      <c r="B15" s="82" t="s">
        <v>21</v>
      </c>
      <c r="C15" s="5"/>
      <c r="D15" s="7" t="s">
        <v>22</v>
      </c>
      <c r="E15" s="11" t="s">
        <v>23</v>
      </c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>
      <c r="A17" s="10" t="s">
        <v>24</v>
      </c>
      <c r="B17" s="9"/>
      <c r="C17" s="9"/>
      <c r="D17" s="9"/>
      <c r="E17" s="9"/>
      <c r="F17" s="9"/>
      <c r="G17" s="9"/>
    </row>
    <row r="18" spans="1:7" ht="15.75">
      <c r="A18" s="80" t="s">
        <v>25</v>
      </c>
      <c r="B18" s="5" t="s">
        <v>26</v>
      </c>
      <c r="C18" s="5" t="s">
        <v>27</v>
      </c>
      <c r="D18" s="5"/>
      <c r="E18" s="5"/>
      <c r="F18" s="5"/>
      <c r="G18" s="5"/>
    </row>
    <row r="19" spans="1:7" ht="38.25">
      <c r="A19" s="80" t="s">
        <v>28</v>
      </c>
      <c r="B19" s="5" t="s">
        <v>29</v>
      </c>
      <c r="C19" s="5" t="s">
        <v>30</v>
      </c>
      <c r="D19" s="5"/>
      <c r="E19" s="5"/>
      <c r="F19" s="5"/>
      <c r="G19" s="5"/>
    </row>
    <row r="20" spans="1:7" ht="25.5">
      <c r="A20" s="80" t="s">
        <v>31</v>
      </c>
      <c r="B20" s="5" t="s">
        <v>32</v>
      </c>
      <c r="C20" s="5" t="s">
        <v>33</v>
      </c>
      <c r="D20" s="5"/>
      <c r="E20" s="5"/>
      <c r="F20" s="5"/>
      <c r="G20" s="5"/>
    </row>
    <row r="21" spans="1:7" ht="38.25">
      <c r="A21" s="80" t="s">
        <v>34</v>
      </c>
      <c r="B21" s="5" t="s">
        <v>35</v>
      </c>
      <c r="C21" s="5" t="s">
        <v>36</v>
      </c>
      <c r="D21" s="5"/>
      <c r="E21" s="5"/>
      <c r="F21" s="5"/>
      <c r="G21" s="5"/>
    </row>
    <row r="22" spans="1:7" ht="25.5">
      <c r="A22" s="80" t="s">
        <v>37</v>
      </c>
      <c r="B22" s="5" t="s">
        <v>38</v>
      </c>
      <c r="C22" s="5" t="s">
        <v>39</v>
      </c>
      <c r="D22" s="5"/>
      <c r="E22" s="5"/>
      <c r="F22" s="5"/>
      <c r="G22" s="5"/>
    </row>
    <row r="23" spans="1:7">
      <c r="A23" s="5"/>
      <c r="B23" s="5"/>
      <c r="C23" s="5"/>
      <c r="D23" s="5"/>
      <c r="E23" s="5"/>
      <c r="F23" s="5"/>
      <c r="G23" s="5"/>
    </row>
    <row r="24" spans="1:7" ht="25.5">
      <c r="A24" s="12" t="s">
        <v>40</v>
      </c>
      <c r="B24" s="11"/>
      <c r="C24" s="11"/>
      <c r="D24" s="11"/>
      <c r="E24" s="11"/>
      <c r="F24" s="11"/>
      <c r="G24" s="11"/>
    </row>
    <row r="25" spans="1:7">
      <c r="A25" s="7" t="s">
        <v>41</v>
      </c>
      <c r="B25" s="7" t="s">
        <v>42</v>
      </c>
      <c r="C25" s="7" t="s">
        <v>43</v>
      </c>
      <c r="D25" s="5"/>
      <c r="E25" s="7" t="s">
        <v>44</v>
      </c>
      <c r="F25" s="7" t="s">
        <v>45</v>
      </c>
      <c r="G25" s="7" t="s">
        <v>46</v>
      </c>
    </row>
    <row r="26" spans="1:7">
      <c r="A26" s="5" t="s">
        <v>47</v>
      </c>
      <c r="B26" s="5" t="s">
        <v>48</v>
      </c>
      <c r="C26" s="5" t="s">
        <v>49</v>
      </c>
      <c r="D26" s="5"/>
      <c r="E26" s="5" t="s">
        <v>50</v>
      </c>
      <c r="F26" s="5" t="s">
        <v>51</v>
      </c>
      <c r="G26" s="5" t="s">
        <v>52</v>
      </c>
    </row>
    <row r="27" spans="1:7">
      <c r="A27" s="5" t="s">
        <v>53</v>
      </c>
      <c r="B27" s="5" t="s">
        <v>54</v>
      </c>
      <c r="C27" s="5" t="s">
        <v>55</v>
      </c>
      <c r="D27" s="5"/>
      <c r="E27" s="5" t="s">
        <v>56</v>
      </c>
      <c r="F27" s="5" t="s">
        <v>57</v>
      </c>
      <c r="G27" s="5" t="s">
        <v>58</v>
      </c>
    </row>
    <row r="28" spans="1:7">
      <c r="A28" s="5" t="s">
        <v>59</v>
      </c>
      <c r="B28" s="5" t="s">
        <v>60</v>
      </c>
      <c r="C28" s="5" t="s">
        <v>60</v>
      </c>
      <c r="D28" s="5"/>
      <c r="E28" s="5" t="s">
        <v>61</v>
      </c>
      <c r="F28" s="5" t="s">
        <v>62</v>
      </c>
      <c r="G28" s="5" t="s">
        <v>63</v>
      </c>
    </row>
    <row r="29" spans="1:7">
      <c r="A29" s="5" t="s">
        <v>64</v>
      </c>
      <c r="B29" s="5" t="s">
        <v>65</v>
      </c>
      <c r="C29" s="5" t="s">
        <v>65</v>
      </c>
      <c r="D29" s="5"/>
      <c r="E29" s="5" t="s">
        <v>66</v>
      </c>
      <c r="F29" s="5" t="s">
        <v>62</v>
      </c>
      <c r="G29" s="5" t="s">
        <v>67</v>
      </c>
    </row>
    <row r="30" spans="1:7" ht="25.5">
      <c r="A30" s="5" t="s">
        <v>68</v>
      </c>
      <c r="B30" s="5" t="s">
        <v>69</v>
      </c>
      <c r="C30" s="5" t="s">
        <v>70</v>
      </c>
      <c r="D30" s="5"/>
      <c r="E30" s="5" t="s">
        <v>71</v>
      </c>
      <c r="F30" s="5" t="s">
        <v>72</v>
      </c>
      <c r="G30" s="5" t="s">
        <v>73</v>
      </c>
    </row>
    <row r="31" spans="1:7" ht="27" customHeight="1">
      <c r="A31" s="31" t="s">
        <v>600</v>
      </c>
      <c r="B31" s="13"/>
      <c r="C31" s="13"/>
      <c r="D31" s="13"/>
      <c r="E31" s="13"/>
      <c r="F31" s="13"/>
      <c r="G31" s="13"/>
    </row>
    <row r="32" spans="1:7">
      <c r="A32" s="13"/>
      <c r="B32" s="13"/>
      <c r="C32" s="13"/>
      <c r="D32" s="13"/>
      <c r="E32" s="13"/>
      <c r="F32" s="13"/>
      <c r="G32" s="13"/>
    </row>
  </sheetData>
  <dataValidations count="3">
    <dataValidation type="list" sqref="B13" xr:uid="{00000000-0002-0000-0000-000000000000}">
      <formula1>"Sport Facility,Sport Organisation / Federation,Community Sport Club,Government Sport Department / Agency,Sport Programme / Project,Event / Competition,General / Other"</formula1>
    </dataValidation>
    <dataValidation type="list" sqref="B14" xr:uid="{00000000-0002-0000-0000-000001000000}">
      <formula1>"New / Proposed,Existing / Operating,Underperforming / At Risk,Reactivation / Recovery,Expansion / Development"</formula1>
    </dataValidation>
    <dataValidation type="list" sqref="B15" xr:uid="{00000000-0002-0000-0000-000002000000}">
      <formula1>"Strategic Preparation,Strategic Review,Improvement Planning,Readiness / Recovery,Growth / Development"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7"/>
  <sheetViews>
    <sheetView workbookViewId="0">
      <selection activeCell="F5" sqref="F5:G24"/>
    </sheetView>
  </sheetViews>
  <sheetFormatPr defaultRowHeight="14.25"/>
  <cols>
    <col min="1" max="1" width="10.125" customWidth="1"/>
    <col min="2" max="2" width="13.625" customWidth="1"/>
    <col min="3" max="3" width="8.75" customWidth="1"/>
    <col min="4" max="4" width="24" customWidth="1"/>
    <col min="5" max="5" width="44" customWidth="1"/>
    <col min="6" max="6" width="45" customWidth="1"/>
    <col min="7" max="7" width="14" customWidth="1"/>
    <col min="8" max="8" width="18" customWidth="1"/>
    <col min="9" max="9" width="28" customWidth="1"/>
    <col min="10" max="10" width="15" customWidth="1"/>
    <col min="11" max="12" width="16" customWidth="1"/>
    <col min="13" max="13" width="38" customWidth="1"/>
    <col min="14" max="14" width="28" customWidth="1"/>
  </cols>
  <sheetData>
    <row r="1" spans="1:14" ht="20.25">
      <c r="A1" s="29" t="s">
        <v>74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>
      <c r="A2" s="30" t="str">
        <f>"Context: "&amp;HOME!$B$13&amp;"  |  Enter a factor only where the lens reveals something strategically useful. Minimum input = Factor + Direction."</f>
        <v>Context: Community Sport Club  |  Enter a factor only where the lens reveals something strategically useful. Minimum input = Factor + Direction.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s="46" customFormat="1" ht="47.25">
      <c r="A4" s="90" t="s">
        <v>75</v>
      </c>
      <c r="B4" s="91" t="s">
        <v>76</v>
      </c>
      <c r="C4" s="91" t="s">
        <v>77</v>
      </c>
      <c r="D4" s="91" t="s">
        <v>78</v>
      </c>
      <c r="E4" s="91" t="s">
        <v>79</v>
      </c>
      <c r="F4" s="91" t="s">
        <v>80</v>
      </c>
      <c r="G4" s="91" t="s">
        <v>41</v>
      </c>
      <c r="H4" s="91" t="s">
        <v>81</v>
      </c>
      <c r="I4" s="91" t="s">
        <v>82</v>
      </c>
      <c r="J4" s="91" t="s">
        <v>83</v>
      </c>
      <c r="K4" s="91" t="s">
        <v>84</v>
      </c>
      <c r="L4" s="91" t="s">
        <v>85</v>
      </c>
      <c r="M4" s="91" t="s">
        <v>86</v>
      </c>
      <c r="N4" s="92" t="s">
        <v>87</v>
      </c>
    </row>
    <row r="5" spans="1:14" s="37" customFormat="1" ht="24">
      <c r="A5" s="94" t="str">
        <f>'Technical - Context'!A5</f>
        <v>CORE-I01</v>
      </c>
      <c r="B5" s="95" t="str">
        <f>'Technical - Context'!D5</f>
        <v>Internal</v>
      </c>
      <c r="C5" s="95" t="str">
        <f>'Technical - Context'!B5</f>
        <v>Core</v>
      </c>
      <c r="D5" s="95" t="str">
        <f>'Technical - Context'!E5</f>
        <v>Purpose &amp; Governance</v>
      </c>
      <c r="E5" s="95" t="str">
        <f>'Technical - Context'!F5</f>
        <v>What internal factor in mandate, governance or accountability currently helps or limits strategic performance?</v>
      </c>
      <c r="F5" s="99"/>
      <c r="G5" s="99"/>
      <c r="H5" s="96" t="str">
        <f t="shared" ref="H5:H24" si="0">IF(F5="","",IF(G5="Positive",IF(B5="Internal","Strength","Opportunity"),IF(G5="Negative",IF(B5="Internal","Weakness","Threat"),"Review")))</f>
        <v/>
      </c>
      <c r="I5" s="93"/>
      <c r="J5" s="98">
        <v>3</v>
      </c>
      <c r="K5" s="98">
        <v>1</v>
      </c>
      <c r="L5" s="96" t="str">
        <f t="shared" ref="L5:L24" si="1">IF(OR(F5="",H5="Review"),"",J5*K5)</f>
        <v/>
      </c>
      <c r="M5" s="96" t="str">
        <f t="shared" ref="M5:M24" si="2">IF(H5="Strength","How can this strength be protected or used strategically?",IF(H5="Weakness","What must be corrected, reduced or compensated for?",IF(H5="Opportunity","How could this opportunity be captured or accelerated?",IF(H5="Threat","How can exposure be reduced or contingency created?",IF(H5="Review","Clarify whether this is favourable or unfavourable before using it in SWOT.","")))))</f>
        <v/>
      </c>
      <c r="N5" s="97" t="str">
        <f>'Technical - Context'!G5</f>
        <v>Governance &amp; Leadership</v>
      </c>
    </row>
    <row r="6" spans="1:14" s="37" customFormat="1" ht="24">
      <c r="A6" s="94" t="str">
        <f>'Technical - Context'!A6</f>
        <v>CORE-I02</v>
      </c>
      <c r="B6" s="95" t="str">
        <f>'Technical - Context'!D6</f>
        <v>Internal</v>
      </c>
      <c r="C6" s="95" t="str">
        <f>'Technical - Context'!B6</f>
        <v>Core</v>
      </c>
      <c r="D6" s="95" t="str">
        <f>'Technical - Context'!E6</f>
        <v>Leadership &amp; People</v>
      </c>
      <c r="E6" s="95" t="str">
        <f>'Technical - Context'!F6</f>
        <v>What internal factor in leadership, staffing, volunteers or capability currently helps or limits performance?</v>
      </c>
      <c r="F6" s="99"/>
      <c r="G6" s="99"/>
      <c r="H6" s="96" t="str">
        <f t="shared" si="0"/>
        <v/>
      </c>
      <c r="I6" s="93"/>
      <c r="J6" s="98">
        <v>3</v>
      </c>
      <c r="K6" s="98">
        <v>1</v>
      </c>
      <c r="L6" s="96" t="str">
        <f t="shared" si="1"/>
        <v/>
      </c>
      <c r="M6" s="96" t="str">
        <f t="shared" si="2"/>
        <v/>
      </c>
      <c r="N6" s="97" t="str">
        <f>'Technical - Context'!G6</f>
        <v>People &amp; Capability</v>
      </c>
    </row>
    <row r="7" spans="1:14" s="37" customFormat="1" ht="24">
      <c r="A7" s="94" t="str">
        <f>'Technical - Context'!A7</f>
        <v>CORE-I03</v>
      </c>
      <c r="B7" s="95" t="str">
        <f>'Technical - Context'!D7</f>
        <v>Internal</v>
      </c>
      <c r="C7" s="95" t="str">
        <f>'Technical - Context'!B7</f>
        <v>Core</v>
      </c>
      <c r="D7" s="95" t="str">
        <f>'Technical - Context'!E7</f>
        <v>Resources &amp; Finance</v>
      </c>
      <c r="E7" s="95" t="str">
        <f>'Technical - Context'!F7</f>
        <v>What internal factor in finance, resources or asset availability currently helps or limits delivery?</v>
      </c>
      <c r="F7" s="99"/>
      <c r="G7" s="99"/>
      <c r="H7" s="96" t="str">
        <f t="shared" si="0"/>
        <v/>
      </c>
      <c r="I7" s="93"/>
      <c r="J7" s="98">
        <v>3</v>
      </c>
      <c r="K7" s="98">
        <v>1</v>
      </c>
      <c r="L7" s="96" t="str">
        <f t="shared" si="1"/>
        <v/>
      </c>
      <c r="M7" s="96" t="str">
        <f t="shared" si="2"/>
        <v/>
      </c>
      <c r="N7" s="97" t="str">
        <f>'Technical - Context'!G7</f>
        <v>Finance &amp; Sustainability</v>
      </c>
    </row>
    <row r="8" spans="1:14" s="37" customFormat="1" ht="24">
      <c r="A8" s="94" t="str">
        <f>'Technical - Context'!A8</f>
        <v>CORE-I04</v>
      </c>
      <c r="B8" s="95" t="str">
        <f>'Technical - Context'!D8</f>
        <v>Internal</v>
      </c>
      <c r="C8" s="95" t="str">
        <f>'Technical - Context'!B8</f>
        <v>Core</v>
      </c>
      <c r="D8" s="95" t="str">
        <f>'Technical - Context'!E8</f>
        <v>Operations &amp; Systems</v>
      </c>
      <c r="E8" s="95" t="str">
        <f>'Technical - Context'!F8</f>
        <v>What internal factor in operating systems, processes or management controls currently helps or limits reliability?</v>
      </c>
      <c r="F8" s="99"/>
      <c r="G8" s="99"/>
      <c r="H8" s="96" t="str">
        <f t="shared" si="0"/>
        <v/>
      </c>
      <c r="I8" s="93"/>
      <c r="J8" s="98">
        <v>3</v>
      </c>
      <c r="K8" s="98">
        <v>1</v>
      </c>
      <c r="L8" s="96" t="str">
        <f t="shared" si="1"/>
        <v/>
      </c>
      <c r="M8" s="96" t="str">
        <f t="shared" si="2"/>
        <v/>
      </c>
      <c r="N8" s="97" t="str">
        <f>'Technical - Context'!G8</f>
        <v>Operations &amp; Systems</v>
      </c>
    </row>
    <row r="9" spans="1:14" s="37" customFormat="1" ht="36">
      <c r="A9" s="94" t="str">
        <f>'Technical - Context'!A9</f>
        <v>CORE-I05</v>
      </c>
      <c r="B9" s="95" t="str">
        <f>'Technical - Context'!D9</f>
        <v>Internal</v>
      </c>
      <c r="C9" s="95" t="str">
        <f>'Technical - Context'!B9</f>
        <v>Core</v>
      </c>
      <c r="D9" s="95" t="str">
        <f>'Technical - Context'!E9</f>
        <v>Evidence &amp; Service Delivery</v>
      </c>
      <c r="E9" s="95" t="str">
        <f>'Technical - Context'!F9</f>
        <v>What internal factor in service delivery, monitoring, communication or evidence currently helps or limits improvement?</v>
      </c>
      <c r="F9" s="99"/>
      <c r="G9" s="99"/>
      <c r="H9" s="96" t="str">
        <f t="shared" si="0"/>
        <v/>
      </c>
      <c r="I9" s="93"/>
      <c r="J9" s="98">
        <v>3</v>
      </c>
      <c r="K9" s="98">
        <v>1</v>
      </c>
      <c r="L9" s="96" t="str">
        <f t="shared" si="1"/>
        <v/>
      </c>
      <c r="M9" s="96" t="str">
        <f t="shared" si="2"/>
        <v/>
      </c>
      <c r="N9" s="97" t="str">
        <f>'Technical - Context'!G9</f>
        <v>Data, Monitoring &amp; Service Quality</v>
      </c>
    </row>
    <row r="10" spans="1:14" s="37" customFormat="1" ht="24">
      <c r="A10" s="94" t="str">
        <f>'Technical - Context'!A10</f>
        <v>CORE-E01</v>
      </c>
      <c r="B10" s="95" t="str">
        <f>'Technical - Context'!D10</f>
        <v>External</v>
      </c>
      <c r="C10" s="95" t="str">
        <f>'Technical - Context'!B10</f>
        <v>Core</v>
      </c>
      <c r="D10" s="95" t="str">
        <f>'Technical - Context'!E10</f>
        <v>Demand &amp; Community</v>
      </c>
      <c r="E10" s="95" t="str">
        <f>'Technical - Context'!F10</f>
        <v>What external demand, demographic, community or participant trend could create an opportunity or threat?</v>
      </c>
      <c r="F10" s="99"/>
      <c r="G10" s="99"/>
      <c r="H10" s="96" t="str">
        <f t="shared" si="0"/>
        <v/>
      </c>
      <c r="I10" s="93"/>
      <c r="J10" s="98">
        <v>3</v>
      </c>
      <c r="K10" s="98">
        <v>1</v>
      </c>
      <c r="L10" s="96" t="str">
        <f t="shared" si="1"/>
        <v/>
      </c>
      <c r="M10" s="96" t="str">
        <f t="shared" si="2"/>
        <v/>
      </c>
      <c r="N10" s="97" t="str">
        <f>'Technical - Context'!G10</f>
        <v>Participation &amp; Community</v>
      </c>
    </row>
    <row r="11" spans="1:14" s="37" customFormat="1" ht="24">
      <c r="A11" s="94" t="str">
        <f>'Technical - Context'!A11</f>
        <v>CORE-E02</v>
      </c>
      <c r="B11" s="95" t="str">
        <f>'Technical - Context'!D11</f>
        <v>External</v>
      </c>
      <c r="C11" s="95" t="str">
        <f>'Technical - Context'!B11</f>
        <v>Core</v>
      </c>
      <c r="D11" s="95" t="str">
        <f>'Technical - Context'!E11</f>
        <v>Policy &amp; Institutions</v>
      </c>
      <c r="E11" s="95" t="str">
        <f>'Technical - Context'!F11</f>
        <v>What external government, policy or institutional condition could enable or constrain success?</v>
      </c>
      <c r="F11" s="99"/>
      <c r="G11" s="99"/>
      <c r="H11" s="96" t="str">
        <f t="shared" si="0"/>
        <v/>
      </c>
      <c r="I11" s="93"/>
      <c r="J11" s="98">
        <v>3</v>
      </c>
      <c r="K11" s="98">
        <v>1</v>
      </c>
      <c r="L11" s="96" t="str">
        <f t="shared" si="1"/>
        <v/>
      </c>
      <c r="M11" s="96" t="str">
        <f t="shared" si="2"/>
        <v/>
      </c>
      <c r="N11" s="97" t="str">
        <f>'Technical - Context'!G11</f>
        <v>Governance &amp; External Relations</v>
      </c>
    </row>
    <row r="12" spans="1:14" s="37" customFormat="1" ht="24">
      <c r="A12" s="94" t="str">
        <f>'Technical - Context'!A12</f>
        <v>CORE-E03</v>
      </c>
      <c r="B12" s="95" t="str">
        <f>'Technical - Context'!D12</f>
        <v>External</v>
      </c>
      <c r="C12" s="95" t="str">
        <f>'Technical - Context'!B12</f>
        <v>Core</v>
      </c>
      <c r="D12" s="95" t="str">
        <f>'Technical - Context'!E12</f>
        <v>Funding &amp; Economy</v>
      </c>
      <c r="E12" s="95" t="str">
        <f>'Technical - Context'!F12</f>
        <v>What external funding, economic or cost condition could create opportunity or pressure?</v>
      </c>
      <c r="F12" s="99"/>
      <c r="G12" s="99"/>
      <c r="H12" s="96" t="str">
        <f t="shared" si="0"/>
        <v/>
      </c>
      <c r="I12" s="93"/>
      <c r="J12" s="98">
        <v>3</v>
      </c>
      <c r="K12" s="98">
        <v>1</v>
      </c>
      <c r="L12" s="96" t="str">
        <f t="shared" si="1"/>
        <v/>
      </c>
      <c r="M12" s="96" t="str">
        <f t="shared" si="2"/>
        <v/>
      </c>
      <c r="N12" s="97" t="str">
        <f>'Technical - Context'!G12</f>
        <v>Finance &amp; Sustainability</v>
      </c>
    </row>
    <row r="13" spans="1:14" s="37" customFormat="1" ht="24">
      <c r="A13" s="94" t="str">
        <f>'Technical - Context'!A13</f>
        <v>CORE-E04</v>
      </c>
      <c r="B13" s="95" t="str">
        <f>'Technical - Context'!D13</f>
        <v>External</v>
      </c>
      <c r="C13" s="95" t="str">
        <f>'Technical - Context'!B13</f>
        <v>Core</v>
      </c>
      <c r="D13" s="95" t="str">
        <f>'Technical - Context'!E13</f>
        <v>Partnerships &amp; Network</v>
      </c>
      <c r="E13" s="95" t="str">
        <f>'Technical - Context'!F13</f>
        <v>What external partnership, sport-network or stakeholder condition could expand or constrain capability?</v>
      </c>
      <c r="F13" s="99"/>
      <c r="G13" s="99"/>
      <c r="H13" s="96" t="str">
        <f t="shared" si="0"/>
        <v/>
      </c>
      <c r="I13" s="93"/>
      <c r="J13" s="98">
        <v>3</v>
      </c>
      <c r="K13" s="98">
        <v>1</v>
      </c>
      <c r="L13" s="96" t="str">
        <f t="shared" si="1"/>
        <v/>
      </c>
      <c r="M13" s="96" t="str">
        <f t="shared" si="2"/>
        <v/>
      </c>
      <c r="N13" s="97" t="str">
        <f>'Technical - Context'!G13</f>
        <v>Partnerships &amp; Stakeholders</v>
      </c>
    </row>
    <row r="14" spans="1:14" s="37" customFormat="1" ht="24">
      <c r="A14" s="94" t="str">
        <f>'Technical - Context'!A14</f>
        <v>CORE-E05</v>
      </c>
      <c r="B14" s="95" t="str">
        <f>'Technical - Context'!D14</f>
        <v>External</v>
      </c>
      <c r="C14" s="95" t="str">
        <f>'Technical - Context'!B14</f>
        <v>Core</v>
      </c>
      <c r="D14" s="95" t="str">
        <f>'Technical - Context'!E14</f>
        <v>Technology, Risk &amp; Environment</v>
      </c>
      <c r="E14" s="95" t="str">
        <f>'Technical - Context'!F14</f>
        <v>What external technology, safety, environmental, security or regulatory change could create opportunity or threat?</v>
      </c>
      <c r="F14" s="99"/>
      <c r="G14" s="99"/>
      <c r="H14" s="96" t="str">
        <f t="shared" si="0"/>
        <v/>
      </c>
      <c r="I14" s="93"/>
      <c r="J14" s="98">
        <v>3</v>
      </c>
      <c r="K14" s="98">
        <v>1</v>
      </c>
      <c r="L14" s="96" t="str">
        <f t="shared" si="1"/>
        <v/>
      </c>
      <c r="M14" s="96" t="str">
        <f t="shared" si="2"/>
        <v/>
      </c>
      <c r="N14" s="97" t="str">
        <f>'Technical - Context'!G14</f>
        <v>Risk, Integrity &amp; Resilience</v>
      </c>
    </row>
    <row r="15" spans="1:14" s="37" customFormat="1" ht="24">
      <c r="A15" s="94" t="str">
        <f>INDEX('Technical - Context'!$A$15:$A$84,INDEX('Technical - Context'!$N$5:$N$11,MATCH(HOME!$B$13,'Technical - Context'!$M$5:$M$11,0))+0)</f>
        <v>CLB-I01</v>
      </c>
      <c r="B15" s="95" t="str">
        <f>INDEX('Technical - Context'!$D$15:$D$84,INDEX('Technical - Context'!$N$5:$N$11,MATCH(HOME!$B$13,'Technical - Context'!$M$5:$M$11,0))+0)</f>
        <v>Internal</v>
      </c>
      <c r="C15" s="95" t="str">
        <f>INDEX('Technical - Context'!$B$15:$B$84,INDEX('Technical - Context'!$N$5:$N$11,MATCH(HOME!$B$13,'Technical - Context'!$M$5:$M$11,0))+0)</f>
        <v>Context</v>
      </c>
      <c r="D15" s="95" t="str">
        <f>INDEX('Technical - Context'!$E$15:$E$84,INDEX('Technical - Context'!$N$5:$N$11,MATCH(HOME!$B$13,'Technical - Context'!$M$5:$M$11,0))+0)</f>
        <v>Committee &amp; Governance</v>
      </c>
      <c r="E15" s="95" t="str">
        <f>INDEX('Technical - Context'!$F$15:$F$84,INDEX('Technical - Context'!$N$5:$N$11,MATCH(HOME!$B$13,'Technical - Context'!$M$5:$M$11,0))+0)</f>
        <v>What factor in committee leadership, governance or succession is a strength or weakness?</v>
      </c>
      <c r="F15" s="99"/>
      <c r="G15" s="99"/>
      <c r="H15" s="96" t="str">
        <f t="shared" si="0"/>
        <v/>
      </c>
      <c r="I15" s="93"/>
      <c r="J15" s="98">
        <v>3</v>
      </c>
      <c r="K15" s="98">
        <v>1</v>
      </c>
      <c r="L15" s="96" t="str">
        <f t="shared" si="1"/>
        <v/>
      </c>
      <c r="M15" s="96" t="str">
        <f t="shared" si="2"/>
        <v/>
      </c>
      <c r="N15" s="97" t="str">
        <f>INDEX('Technical - Context'!$G$15:$G$84,INDEX('Technical - Context'!$N$5:$N$11,MATCH(HOME!$B$13,'Technical - Context'!$M$5:$M$11,0))+0)</f>
        <v>Governance &amp; Leadership</v>
      </c>
    </row>
    <row r="16" spans="1:14" s="37" customFormat="1" ht="24">
      <c r="A16" s="94" t="str">
        <f>INDEX('Technical - Context'!$A$15:$A$84,INDEX('Technical - Context'!$N$5:$N$11,MATCH(HOME!$B$13,'Technical - Context'!$M$5:$M$11,0))+1)</f>
        <v>CLB-I02</v>
      </c>
      <c r="B16" s="95" t="str">
        <f>INDEX('Technical - Context'!$D$15:$D$84,INDEX('Technical - Context'!$N$5:$N$11,MATCH(HOME!$B$13,'Technical - Context'!$M$5:$M$11,0))+1)</f>
        <v>Internal</v>
      </c>
      <c r="C16" s="95" t="str">
        <f>INDEX('Technical - Context'!$B$15:$B$84,INDEX('Technical - Context'!$N$5:$N$11,MATCH(HOME!$B$13,'Technical - Context'!$M$5:$M$11,0))+1)</f>
        <v>Context</v>
      </c>
      <c r="D16" s="95" t="str">
        <f>INDEX('Technical - Context'!$E$15:$E$84,INDEX('Technical - Context'!$N$5:$N$11,MATCH(HOME!$B$13,'Technical - Context'!$M$5:$M$11,0))+1)</f>
        <v>Members &amp; Retention</v>
      </c>
      <c r="E16" s="95" t="str">
        <f>INDEX('Technical - Context'!$F$15:$F$84,INDEX('Technical - Context'!$N$5:$N$11,MATCH(HOME!$B$13,'Technical - Context'!$M$5:$M$11,0))+1)</f>
        <v>What factor in membership, attendance or retention is a strength or weakness?</v>
      </c>
      <c r="F16" s="99"/>
      <c r="G16" s="99"/>
      <c r="H16" s="96" t="str">
        <f t="shared" si="0"/>
        <v/>
      </c>
      <c r="I16" s="93"/>
      <c r="J16" s="98">
        <v>3</v>
      </c>
      <c r="K16" s="98">
        <v>1</v>
      </c>
      <c r="L16" s="96" t="str">
        <f t="shared" si="1"/>
        <v/>
      </c>
      <c r="M16" s="96" t="str">
        <f t="shared" si="2"/>
        <v/>
      </c>
      <c r="N16" s="97" t="str">
        <f>INDEX('Technical - Context'!$G$15:$G$84,INDEX('Technical - Context'!$N$5:$N$11,MATCH(HOME!$B$13,'Technical - Context'!$M$5:$M$11,0))+1)</f>
        <v>Membership &amp; Participation</v>
      </c>
    </row>
    <row r="17" spans="1:14" s="37" customFormat="1" ht="24">
      <c r="A17" s="94" t="str">
        <f>INDEX('Technical - Context'!$A$15:$A$84,INDEX('Technical - Context'!$N$5:$N$11,MATCH(HOME!$B$13,'Technical - Context'!$M$5:$M$11,0))+2)</f>
        <v>CLB-I03</v>
      </c>
      <c r="B17" s="95" t="str">
        <f>INDEX('Technical - Context'!$D$15:$D$84,INDEX('Technical - Context'!$N$5:$N$11,MATCH(HOME!$B$13,'Technical - Context'!$M$5:$M$11,0))+2)</f>
        <v>Internal</v>
      </c>
      <c r="C17" s="95" t="str">
        <f>INDEX('Technical - Context'!$B$15:$B$84,INDEX('Technical - Context'!$N$5:$N$11,MATCH(HOME!$B$13,'Technical - Context'!$M$5:$M$11,0))+2)</f>
        <v>Context</v>
      </c>
      <c r="D17" s="95" t="str">
        <f>INDEX('Technical - Context'!$E$15:$E$84,INDEX('Technical - Context'!$N$5:$N$11,MATCH(HOME!$B$13,'Technical - Context'!$M$5:$M$11,0))+2)</f>
        <v>Coaches &amp; Volunteers</v>
      </c>
      <c r="E17" s="95" t="str">
        <f>INDEX('Technical - Context'!$F$15:$F$84,INDEX('Technical - Context'!$N$5:$N$11,MATCH(HOME!$B$13,'Technical - Context'!$M$5:$M$11,0))+2)</f>
        <v>What factor in coaches, volunteers or helpers is a strength or weakness?</v>
      </c>
      <c r="F17" s="99"/>
      <c r="G17" s="99"/>
      <c r="H17" s="96" t="str">
        <f t="shared" si="0"/>
        <v/>
      </c>
      <c r="I17" s="93"/>
      <c r="J17" s="98">
        <v>3</v>
      </c>
      <c r="K17" s="98">
        <v>1</v>
      </c>
      <c r="L17" s="96" t="str">
        <f t="shared" si="1"/>
        <v/>
      </c>
      <c r="M17" s="96" t="str">
        <f t="shared" si="2"/>
        <v/>
      </c>
      <c r="N17" s="97" t="str">
        <f>INDEX('Technical - Context'!$G$15:$G$84,INDEX('Technical - Context'!$N$5:$N$11,MATCH(HOME!$B$13,'Technical - Context'!$M$5:$M$11,0))+2)</f>
        <v>People &amp; Capability</v>
      </c>
    </row>
    <row r="18" spans="1:14" s="37" customFormat="1" ht="24">
      <c r="A18" s="94" t="str">
        <f>INDEX('Technical - Context'!$A$15:$A$84,INDEX('Technical - Context'!$N$5:$N$11,MATCH(HOME!$B$13,'Technical - Context'!$M$5:$M$11,0))+3)</f>
        <v>CLB-I04</v>
      </c>
      <c r="B18" s="95" t="str">
        <f>INDEX('Technical - Context'!$D$15:$D$84,INDEX('Technical - Context'!$N$5:$N$11,MATCH(HOME!$B$13,'Technical - Context'!$M$5:$M$11,0))+3)</f>
        <v>Internal</v>
      </c>
      <c r="C18" s="95" t="str">
        <f>INDEX('Technical - Context'!$B$15:$B$84,INDEX('Technical - Context'!$N$5:$N$11,MATCH(HOME!$B$13,'Technical - Context'!$M$5:$M$11,0))+3)</f>
        <v>Context</v>
      </c>
      <c r="D18" s="95" t="str">
        <f>INDEX('Technical - Context'!$E$15:$E$84,INDEX('Technical - Context'!$N$5:$N$11,MATCH(HOME!$B$13,'Technical - Context'!$M$5:$M$11,0))+3)</f>
        <v>Facility &amp; Equipment</v>
      </c>
      <c r="E18" s="95" t="str">
        <f>INDEX('Technical - Context'!$F$15:$F$84,INDEX('Technical - Context'!$N$5:$N$11,MATCH(HOME!$B$13,'Technical - Context'!$M$5:$M$11,0))+3)</f>
        <v>What factor in venue access, equipment or programme resources is a strength or weakness?</v>
      </c>
      <c r="F18" s="99"/>
      <c r="G18" s="99"/>
      <c r="H18" s="96" t="str">
        <f t="shared" si="0"/>
        <v/>
      </c>
      <c r="I18" s="93"/>
      <c r="J18" s="98">
        <v>3</v>
      </c>
      <c r="K18" s="98">
        <v>1</v>
      </c>
      <c r="L18" s="96" t="str">
        <f t="shared" si="1"/>
        <v/>
      </c>
      <c r="M18" s="96" t="str">
        <f t="shared" si="2"/>
        <v/>
      </c>
      <c r="N18" s="97" t="str">
        <f>INDEX('Technical - Context'!$G$15:$G$84,INDEX('Technical - Context'!$N$5:$N$11,MATCH(HOME!$B$13,'Technical - Context'!$M$5:$M$11,0))+3)</f>
        <v>Facilities &amp; Assets</v>
      </c>
    </row>
    <row r="19" spans="1:14" s="37" customFormat="1" ht="24">
      <c r="A19" s="94" t="str">
        <f>INDEX('Technical - Context'!$A$15:$A$84,INDEX('Technical - Context'!$N$5:$N$11,MATCH(HOME!$B$13,'Technical - Context'!$M$5:$M$11,0))+4)</f>
        <v>CLB-I05</v>
      </c>
      <c r="B19" s="95" t="str">
        <f>INDEX('Technical - Context'!$D$15:$D$84,INDEX('Technical - Context'!$N$5:$N$11,MATCH(HOME!$B$13,'Technical - Context'!$M$5:$M$11,0))+4)</f>
        <v>Internal</v>
      </c>
      <c r="C19" s="95" t="str">
        <f>INDEX('Technical - Context'!$B$15:$B$84,INDEX('Technical - Context'!$N$5:$N$11,MATCH(HOME!$B$13,'Technical - Context'!$M$5:$M$11,0))+4)</f>
        <v>Context</v>
      </c>
      <c r="D19" s="95" t="str">
        <f>INDEX('Technical - Context'!$E$15:$E$84,INDEX('Technical - Context'!$N$5:$N$11,MATCH(HOME!$B$13,'Technical - Context'!$M$5:$M$11,0))+4)</f>
        <v>Programme &amp; Finances</v>
      </c>
      <c r="E19" s="95" t="str">
        <f>INDEX('Technical - Context'!$F$15:$F$84,INDEX('Technical - Context'!$N$5:$N$11,MATCH(HOME!$B$13,'Technical - Context'!$M$5:$M$11,0))+4)</f>
        <v>What factor in regular activities, fees, costs or club finances is a strength or weakness?</v>
      </c>
      <c r="F19" s="99"/>
      <c r="G19" s="99"/>
      <c r="H19" s="96" t="str">
        <f t="shared" si="0"/>
        <v/>
      </c>
      <c r="I19" s="93"/>
      <c r="J19" s="98">
        <v>3</v>
      </c>
      <c r="K19" s="98">
        <v>1</v>
      </c>
      <c r="L19" s="96" t="str">
        <f t="shared" si="1"/>
        <v/>
      </c>
      <c r="M19" s="96" t="str">
        <f t="shared" si="2"/>
        <v/>
      </c>
      <c r="N19" s="97" t="str">
        <f>INDEX('Technical - Context'!$G$15:$G$84,INDEX('Technical - Context'!$N$5:$N$11,MATCH(HOME!$B$13,'Technical - Context'!$M$5:$M$11,0))+4)</f>
        <v>Programmes &amp; Sustainability</v>
      </c>
    </row>
    <row r="20" spans="1:14" s="37" customFormat="1" ht="24">
      <c r="A20" s="94" t="str">
        <f>INDEX('Technical - Context'!$A$15:$A$84,INDEX('Technical - Context'!$N$5:$N$11,MATCH(HOME!$B$13,'Technical - Context'!$M$5:$M$11,0))+5)</f>
        <v>CLB-E01</v>
      </c>
      <c r="B20" s="95" t="str">
        <f>INDEX('Technical - Context'!$D$15:$D$84,INDEX('Technical - Context'!$N$5:$N$11,MATCH(HOME!$B$13,'Technical - Context'!$M$5:$M$11,0))+5)</f>
        <v>External</v>
      </c>
      <c r="C20" s="95" t="str">
        <f>INDEX('Technical - Context'!$B$15:$B$84,INDEX('Technical - Context'!$N$5:$N$11,MATCH(HOME!$B$13,'Technical - Context'!$M$5:$M$11,0))+5)</f>
        <v>Context</v>
      </c>
      <c r="D20" s="95" t="str">
        <f>INDEX('Technical - Context'!$E$15:$E$84,INDEX('Technical - Context'!$N$5:$N$11,MATCH(HOME!$B$13,'Technical - Context'!$M$5:$M$11,0))+5)</f>
        <v>Community Demand</v>
      </c>
      <c r="E20" s="95" t="str">
        <f>INDEX('Technical - Context'!$F$15:$F$84,INDEX('Technical - Context'!$N$5:$N$11,MATCH(HOME!$B$13,'Technical - Context'!$M$5:$M$11,0))+5)</f>
        <v>What local community, youth or demographic condition creates an opportunity or threat?</v>
      </c>
      <c r="F20" s="99"/>
      <c r="G20" s="99"/>
      <c r="H20" s="96" t="str">
        <f t="shared" si="0"/>
        <v/>
      </c>
      <c r="I20" s="93"/>
      <c r="J20" s="98">
        <v>3</v>
      </c>
      <c r="K20" s="98">
        <v>1</v>
      </c>
      <c r="L20" s="96" t="str">
        <f t="shared" si="1"/>
        <v/>
      </c>
      <c r="M20" s="96" t="str">
        <f t="shared" si="2"/>
        <v/>
      </c>
      <c r="N20" s="97" t="str">
        <f>INDEX('Technical - Context'!$G$15:$G$84,INDEX('Technical - Context'!$N$5:$N$11,MATCH(HOME!$B$13,'Technical - Context'!$M$5:$M$11,0))+5)</f>
        <v>Participation &amp; Community</v>
      </c>
    </row>
    <row r="21" spans="1:14" s="37" customFormat="1" ht="24">
      <c r="A21" s="94" t="str">
        <f>INDEX('Technical - Context'!$A$15:$A$84,INDEX('Technical - Context'!$N$5:$N$11,MATCH(HOME!$B$13,'Technical - Context'!$M$5:$M$11,0))+6)</f>
        <v>CLB-E02</v>
      </c>
      <c r="B21" s="95" t="str">
        <f>INDEX('Technical - Context'!$D$15:$D$84,INDEX('Technical - Context'!$N$5:$N$11,MATCH(HOME!$B$13,'Technical - Context'!$M$5:$M$11,0))+6)</f>
        <v>External</v>
      </c>
      <c r="C21" s="95" t="str">
        <f>INDEX('Technical - Context'!$B$15:$B$84,INDEX('Technical - Context'!$N$5:$N$11,MATCH(HOME!$B$13,'Technical - Context'!$M$5:$M$11,0))+6)</f>
        <v>Context</v>
      </c>
      <c r="D21" s="95" t="str">
        <f>INDEX('Technical - Context'!$E$15:$E$84,INDEX('Technical - Context'!$N$5:$N$11,MATCH(HOME!$B$13,'Technical - Context'!$M$5:$M$11,0))+6)</f>
        <v>Schools &amp; Local Partners</v>
      </c>
      <c r="E21" s="95" t="str">
        <f>INDEX('Technical - Context'!$F$15:$F$84,INDEX('Technical - Context'!$N$5:$N$11,MATCH(HOME!$B$13,'Technical - Context'!$M$5:$M$11,0))+6)</f>
        <v>What school, community organisation or local-leader condition creates an opportunity or threat?</v>
      </c>
      <c r="F21" s="99"/>
      <c r="G21" s="99"/>
      <c r="H21" s="96" t="str">
        <f t="shared" si="0"/>
        <v/>
      </c>
      <c r="I21" s="93"/>
      <c r="J21" s="98">
        <v>3</v>
      </c>
      <c r="K21" s="98">
        <v>1</v>
      </c>
      <c r="L21" s="96" t="str">
        <f t="shared" si="1"/>
        <v/>
      </c>
      <c r="M21" s="96" t="str">
        <f t="shared" si="2"/>
        <v/>
      </c>
      <c r="N21" s="97" t="str">
        <f>INDEX('Technical - Context'!$G$15:$G$84,INDEX('Technical - Context'!$N$5:$N$11,MATCH(HOME!$B$13,'Technical - Context'!$M$5:$M$11,0))+6)</f>
        <v>Partnerships &amp; Stakeholders</v>
      </c>
    </row>
    <row r="22" spans="1:14" s="37" customFormat="1" ht="24">
      <c r="A22" s="94" t="str">
        <f>INDEX('Technical - Context'!$A$15:$A$84,INDEX('Technical - Context'!$N$5:$N$11,MATCH(HOME!$B$13,'Technical - Context'!$M$5:$M$11,0))+7)</f>
        <v>CLB-E03</v>
      </c>
      <c r="B22" s="95" t="str">
        <f>INDEX('Technical - Context'!$D$15:$D$84,INDEX('Technical - Context'!$N$5:$N$11,MATCH(HOME!$B$13,'Technical - Context'!$M$5:$M$11,0))+7)</f>
        <v>External</v>
      </c>
      <c r="C22" s="95" t="str">
        <f>INDEX('Technical - Context'!$B$15:$B$84,INDEX('Technical - Context'!$N$5:$N$11,MATCH(HOME!$B$13,'Technical - Context'!$M$5:$M$11,0))+7)</f>
        <v>Context</v>
      </c>
      <c r="D22" s="95" t="str">
        <f>INDEX('Technical - Context'!$E$15:$E$84,INDEX('Technical - Context'!$N$5:$N$11,MATCH(HOME!$B$13,'Technical - Context'!$M$5:$M$11,0))+7)</f>
        <v>Facility Availability</v>
      </c>
      <c r="E22" s="95" t="str">
        <f>INDEX('Technical - Context'!$F$15:$F$84,INDEX('Technical - Context'!$N$5:$N$11,MATCH(HOME!$B$13,'Technical - Context'!$M$5:$M$11,0))+7)</f>
        <v>What external venue availability, cost or access condition creates an opportunity or threat?</v>
      </c>
      <c r="F22" s="99"/>
      <c r="G22" s="99"/>
      <c r="H22" s="96" t="str">
        <f t="shared" si="0"/>
        <v/>
      </c>
      <c r="I22" s="93"/>
      <c r="J22" s="98">
        <v>3</v>
      </c>
      <c r="K22" s="98">
        <v>1</v>
      </c>
      <c r="L22" s="96" t="str">
        <f t="shared" si="1"/>
        <v/>
      </c>
      <c r="M22" s="96" t="str">
        <f t="shared" si="2"/>
        <v/>
      </c>
      <c r="N22" s="97" t="str">
        <f>INDEX('Technical - Context'!$G$15:$G$84,INDEX('Technical - Context'!$N$5:$N$11,MATCH(HOME!$B$13,'Technical - Context'!$M$5:$M$11,0))+7)</f>
        <v>Facilities &amp; Access</v>
      </c>
    </row>
    <row r="23" spans="1:14" s="37" customFormat="1" ht="24">
      <c r="A23" s="94" t="str">
        <f>INDEX('Technical - Context'!$A$15:$A$84,INDEX('Technical - Context'!$N$5:$N$11,MATCH(HOME!$B$13,'Technical - Context'!$M$5:$M$11,0))+8)</f>
        <v>CLB-E04</v>
      </c>
      <c r="B23" s="95" t="str">
        <f>INDEX('Technical - Context'!$D$15:$D$84,INDEX('Technical - Context'!$N$5:$N$11,MATCH(HOME!$B$13,'Technical - Context'!$M$5:$M$11,0))+8)</f>
        <v>External</v>
      </c>
      <c r="C23" s="95" t="str">
        <f>INDEX('Technical - Context'!$B$15:$B$84,INDEX('Technical - Context'!$N$5:$N$11,MATCH(HOME!$B$13,'Technical - Context'!$M$5:$M$11,0))+8)</f>
        <v>Context</v>
      </c>
      <c r="D23" s="95" t="str">
        <f>INDEX('Technical - Context'!$E$15:$E$84,INDEX('Technical - Context'!$N$5:$N$11,MATCH(HOME!$B$13,'Technical - Context'!$M$5:$M$11,0))+8)</f>
        <v>Local Funding &amp; Sponsorship</v>
      </c>
      <c r="E23" s="95" t="str">
        <f>INDEX('Technical - Context'!$F$15:$F$84,INDEX('Technical - Context'!$N$5:$N$11,MATCH(HOME!$B$13,'Technical - Context'!$M$5:$M$11,0))+8)</f>
        <v>What grant, sponsor or local business condition creates an opportunity or threat?</v>
      </c>
      <c r="F23" s="99"/>
      <c r="G23" s="99"/>
      <c r="H23" s="96" t="str">
        <f t="shared" si="0"/>
        <v/>
      </c>
      <c r="I23" s="93"/>
      <c r="J23" s="98">
        <v>3</v>
      </c>
      <c r="K23" s="98">
        <v>1</v>
      </c>
      <c r="L23" s="96" t="str">
        <f t="shared" si="1"/>
        <v/>
      </c>
      <c r="M23" s="96" t="str">
        <f t="shared" si="2"/>
        <v/>
      </c>
      <c r="N23" s="97" t="str">
        <f>INDEX('Technical - Context'!$G$15:$G$84,INDEX('Technical - Context'!$N$5:$N$11,MATCH(HOME!$B$13,'Technical - Context'!$M$5:$M$11,0))+8)</f>
        <v>Finance &amp; Sustainability</v>
      </c>
    </row>
    <row r="24" spans="1:14" s="37" customFormat="1" ht="24">
      <c r="A24" s="94" t="str">
        <f>INDEX('Technical - Context'!$A$15:$A$84,INDEX('Technical - Context'!$N$5:$N$11,MATCH(HOME!$B$13,'Technical - Context'!$M$5:$M$11,0))+9)</f>
        <v>CLB-E05</v>
      </c>
      <c r="B24" s="95" t="str">
        <f>INDEX('Technical - Context'!$D$15:$D$84,INDEX('Technical - Context'!$N$5:$N$11,MATCH(HOME!$B$13,'Technical - Context'!$M$5:$M$11,0))+9)</f>
        <v>External</v>
      </c>
      <c r="C24" s="95" t="str">
        <f>INDEX('Technical - Context'!$B$15:$B$84,INDEX('Technical - Context'!$N$5:$N$11,MATCH(HOME!$B$13,'Technical - Context'!$M$5:$M$11,0))+9)</f>
        <v>Context</v>
      </c>
      <c r="D24" s="95" t="str">
        <f>INDEX('Technical - Context'!$E$15:$E$84,INDEX('Technical - Context'!$N$5:$N$11,MATCH(HOME!$B$13,'Technical - Context'!$M$5:$M$11,0))+9)</f>
        <v>Safety, Inclusion &amp; Regulation</v>
      </c>
      <c r="E24" s="95" t="str">
        <f>INDEX('Technical - Context'!$F$15:$F$84,INDEX('Technical - Context'!$N$5:$N$11,MATCH(HOME!$B$13,'Technical - Context'!$M$5:$M$11,0))+9)</f>
        <v>What safeguarding, inclusion, regulation or community-expectation condition creates an opportunity or threat?</v>
      </c>
      <c r="F24" s="99"/>
      <c r="G24" s="99"/>
      <c r="H24" s="96" t="str">
        <f t="shared" si="0"/>
        <v/>
      </c>
      <c r="I24" s="93"/>
      <c r="J24" s="98">
        <v>3</v>
      </c>
      <c r="K24" s="98">
        <v>1</v>
      </c>
      <c r="L24" s="96" t="str">
        <f t="shared" si="1"/>
        <v/>
      </c>
      <c r="M24" s="96" t="str">
        <f t="shared" si="2"/>
        <v/>
      </c>
      <c r="N24" s="97" t="str">
        <f>INDEX('Technical - Context'!$G$15:$G$84,INDEX('Technical - Context'!$N$5:$N$11,MATCH(HOME!$B$13,'Technical - Context'!$M$5:$M$11,0))+9)</f>
        <v>Safety, Inclusion &amp; Integrity</v>
      </c>
    </row>
    <row r="25" spans="1:14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1:14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1:14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</sheetData>
  <conditionalFormatting sqref="H5:H24">
    <cfRule type="expression" dxfId="10" priority="1">
      <formula>$H5="Strength"</formula>
    </cfRule>
    <cfRule type="expression" dxfId="9" priority="2">
      <formula>$H5="Opportunity"</formula>
    </cfRule>
    <cfRule type="expression" dxfId="8" priority="3">
      <formula>$H5="Weakness"</formula>
    </cfRule>
    <cfRule type="expression" dxfId="7" priority="4">
      <formula>$H5="Threat"</formula>
    </cfRule>
    <cfRule type="expression" dxfId="6" priority="5">
      <formula>$H5="Review"</formula>
    </cfRule>
  </conditionalFormatting>
  <dataValidations count="3">
    <dataValidation type="list" sqref="G5:G24" xr:uid="{00000000-0002-0000-0100-000000000000}">
      <formula1>"Positive,Negative,Mixed,Unknown"</formula1>
    </dataValidation>
    <dataValidation type="list" sqref="J5:J24" xr:uid="{00000000-0002-0000-0100-000001000000}">
      <formula1>"1,2,3,4,5"</formula1>
    </dataValidation>
    <dataValidation type="list" sqref="K5:K24" xr:uid="{00000000-0002-0000-0100-000002000000}">
      <formula1>"1,2,3"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5"/>
  <sheetViews>
    <sheetView workbookViewId="0">
      <selection activeCell="H6" sqref="H6"/>
    </sheetView>
  </sheetViews>
  <sheetFormatPr defaultRowHeight="14.25"/>
  <cols>
    <col min="1" max="1" width="12.875" customWidth="1"/>
    <col min="2" max="2" width="12" customWidth="1"/>
    <col min="3" max="3" width="44" customWidth="1"/>
    <col min="4" max="4" width="12" customWidth="1"/>
    <col min="5" max="5" width="26" customWidth="1"/>
    <col min="6" max="6" width="10" customWidth="1"/>
    <col min="7" max="7" width="12" customWidth="1"/>
    <col min="8" max="8" width="44" customWidth="1"/>
    <col min="9" max="9" width="12" customWidth="1"/>
    <col min="10" max="10" width="26" customWidth="1"/>
  </cols>
  <sheetData>
    <row r="1" spans="1:10" ht="20.25">
      <c r="A1" s="29" t="s">
        <v>88</v>
      </c>
      <c r="B1" s="18"/>
      <c r="C1" s="18"/>
      <c r="D1" s="18"/>
      <c r="E1" s="18"/>
      <c r="F1" s="18"/>
      <c r="G1" s="18"/>
      <c r="H1" s="18"/>
      <c r="I1" s="18"/>
      <c r="J1" s="18"/>
    </row>
    <row r="2" spans="1:10">
      <c r="A2" s="28" t="s">
        <v>89</v>
      </c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20" t="s">
        <v>44</v>
      </c>
      <c r="B4" s="3" t="s">
        <v>90</v>
      </c>
      <c r="C4" s="3"/>
      <c r="D4" s="20" t="s">
        <v>91</v>
      </c>
      <c r="E4" s="3" t="s">
        <v>90</v>
      </c>
      <c r="F4" s="3"/>
      <c r="G4" s="3"/>
      <c r="H4" s="3"/>
      <c r="I4" s="3"/>
      <c r="J4" s="3"/>
    </row>
    <row r="5" spans="1:10" ht="25.5">
      <c r="A5" s="20" t="s">
        <v>92</v>
      </c>
      <c r="B5" s="100">
        <f>COUNTIF('SWOT Assessment'!$F$5:$F$24,"&lt;&gt;")</f>
        <v>0</v>
      </c>
      <c r="C5" s="3"/>
      <c r="D5" s="20" t="s">
        <v>93</v>
      </c>
      <c r="E5" s="53">
        <f>COUNTIF('SWOT Assessment'!$H$5:$H$24,"Review")</f>
        <v>0</v>
      </c>
      <c r="F5" s="3"/>
      <c r="G5" s="3"/>
      <c r="H5" s="3"/>
      <c r="I5" s="3"/>
      <c r="J5" s="3"/>
    </row>
    <row r="6" spans="1:10" ht="38.25">
      <c r="A6" s="20" t="s">
        <v>5</v>
      </c>
      <c r="B6" s="100">
        <f>COUNTIF('SWOT Assessment'!$H$5:$H$24,"Strength")</f>
        <v>0</v>
      </c>
      <c r="C6" s="3"/>
      <c r="D6" s="20" t="s">
        <v>94</v>
      </c>
      <c r="E6" s="53">
        <f>COUNTIFS('SWOT Assessment'!$F$5:$F$24,"&lt;&gt;",'SWOT Assessment'!$K$5:$K$24,3)</f>
        <v>0</v>
      </c>
      <c r="F6" s="3"/>
      <c r="G6" s="3"/>
      <c r="H6" s="3"/>
      <c r="I6" s="3"/>
      <c r="J6" s="3"/>
    </row>
    <row r="7" spans="1:10" ht="25.5">
      <c r="A7" s="20" t="s">
        <v>7</v>
      </c>
      <c r="B7" s="100">
        <f>COUNTIF('SWOT Assessment'!$H$5:$H$24,"Weakness")</f>
        <v>0</v>
      </c>
      <c r="C7" s="3"/>
      <c r="D7" s="20" t="s">
        <v>95</v>
      </c>
      <c r="E7" s="53">
        <f>COUNTIFS('SWOT Assessment'!$F$5:$F$24,"&lt;&gt;",'SWOT Assessment'!$B$5:$B$24,"Internal")</f>
        <v>0</v>
      </c>
      <c r="F7" s="3"/>
      <c r="G7" s="3"/>
      <c r="H7" s="3"/>
      <c r="I7" s="3"/>
      <c r="J7" s="3"/>
    </row>
    <row r="8" spans="1:10" ht="25.5">
      <c r="A8" s="20" t="s">
        <v>9</v>
      </c>
      <c r="B8" s="100">
        <f>COUNTIF('SWOT Assessment'!$H$5:$H$24,"Opportunity")</f>
        <v>0</v>
      </c>
      <c r="C8" s="3"/>
      <c r="D8" s="20" t="s">
        <v>96</v>
      </c>
      <c r="E8" s="53">
        <f>COUNTIFS('SWOT Assessment'!$F$5:$F$24,"&lt;&gt;",'SWOT Assessment'!$B$5:$B$24,"External")</f>
        <v>0</v>
      </c>
      <c r="F8" s="3"/>
      <c r="G8" s="3"/>
      <c r="H8" s="3"/>
      <c r="I8" s="3"/>
      <c r="J8" s="3"/>
    </row>
    <row r="9" spans="1:10" ht="25.5">
      <c r="A9" s="20" t="s">
        <v>11</v>
      </c>
      <c r="B9" s="100">
        <f>COUNTIF('SWOT Assessment'!$H$5:$H$24,"Threat")</f>
        <v>0</v>
      </c>
      <c r="C9" s="3"/>
      <c r="D9" s="20" t="s">
        <v>97</v>
      </c>
      <c r="E9" s="21" t="str">
        <f>IF(MIN(B6:B9)&gt;=2,"Balanced enough for TOWS","Add or verify factors — aim for at least 2 in each SWOT category")</f>
        <v>Add or verify factors — aim for at least 2 in each SWOT category</v>
      </c>
      <c r="F9" s="3"/>
      <c r="G9" s="3"/>
      <c r="H9" s="3"/>
      <c r="I9" s="3"/>
      <c r="J9" s="3"/>
    </row>
    <row r="10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s="111" customFormat="1" ht="21.75" customHeight="1">
      <c r="A11" s="113" t="s">
        <v>98</v>
      </c>
      <c r="B11" s="114"/>
      <c r="C11" s="114"/>
      <c r="D11" s="114"/>
      <c r="E11" s="115"/>
      <c r="F11" s="124" t="s">
        <v>99</v>
      </c>
      <c r="G11" s="125"/>
      <c r="H11" s="125"/>
      <c r="I11" s="125"/>
      <c r="J11" s="126"/>
    </row>
    <row r="12" spans="1:10">
      <c r="A12" s="116" t="s">
        <v>100</v>
      </c>
      <c r="B12" s="23" t="s">
        <v>75</v>
      </c>
      <c r="C12" s="23" t="s">
        <v>101</v>
      </c>
      <c r="D12" s="23" t="s">
        <v>102</v>
      </c>
      <c r="E12" s="117" t="s">
        <v>103</v>
      </c>
      <c r="F12" s="116" t="s">
        <v>100</v>
      </c>
      <c r="G12" s="23" t="s">
        <v>75</v>
      </c>
      <c r="H12" s="23" t="s">
        <v>101</v>
      </c>
      <c r="I12" s="23" t="s">
        <v>102</v>
      </c>
      <c r="J12" s="117" t="s">
        <v>103</v>
      </c>
    </row>
    <row r="13" spans="1:10">
      <c r="A13" s="118">
        <v>1</v>
      </c>
      <c r="B13" s="4" t="str">
        <f>IFERROR(INDEX('Technical - Automation'!$A$5:$A$24,MATCH(A13,'Technical - Automation'!$L$5:$L$24,0)),"")</f>
        <v/>
      </c>
      <c r="C13" s="4" t="str">
        <f>IF(B13="","",INDEX('Technical - Automation'!$D$5:$D$24,MATCH(A13,'Technical - Automation'!$L$5:$L$24,0)))</f>
        <v/>
      </c>
      <c r="D13" s="4" t="str">
        <f>IF(B13="","",INDEX('Technical - Automation'!$I$5:$I$24,MATCH(A13,'Technical - Automation'!$L$5:$L$24,0)))</f>
        <v/>
      </c>
      <c r="E13" s="119" t="str">
        <f>IF(B13="","",INDEX('Technical - Automation'!$K$5:$K$24,MATCH(A13,'Technical - Automation'!$L$5:$L$24,0)))</f>
        <v/>
      </c>
      <c r="F13" s="118">
        <v>1</v>
      </c>
      <c r="G13" s="4" t="str">
        <f>IFERROR(INDEX('Technical - Automation'!$A$5:$A$24,MATCH(F13,'Technical - Automation'!$M$5:$M$24,0)),"")</f>
        <v/>
      </c>
      <c r="H13" s="4" t="str">
        <f>IF(G13="","",INDEX('Technical - Automation'!$D$5:$D$24,MATCH(F13,'Technical - Automation'!$M$5:$M$24,0)))</f>
        <v/>
      </c>
      <c r="I13" s="4" t="str">
        <f>IF(G13="","",INDEX('Technical - Automation'!$I$5:$I$24,MATCH(F13,'Technical - Automation'!$M$5:$M$24,0)))</f>
        <v/>
      </c>
      <c r="J13" s="119" t="str">
        <f>IF(G13="","",INDEX('Technical - Automation'!$K$5:$K$24,MATCH(F13,'Technical - Automation'!$M$5:$M$24,0)))</f>
        <v/>
      </c>
    </row>
    <row r="14" spans="1:10">
      <c r="A14" s="118">
        <v>2</v>
      </c>
      <c r="B14" s="4" t="str">
        <f>IFERROR(INDEX('Technical - Automation'!$A$5:$A$24,MATCH(A14,'Technical - Automation'!$L$5:$L$24,0)),"")</f>
        <v/>
      </c>
      <c r="C14" s="4" t="str">
        <f>IF(B14="","",INDEX('Technical - Automation'!$D$5:$D$24,MATCH(A14,'Technical - Automation'!$L$5:$L$24,0)))</f>
        <v/>
      </c>
      <c r="D14" s="4" t="str">
        <f>IF(B14="","",INDEX('Technical - Automation'!$I$5:$I$24,MATCH(A14,'Technical - Automation'!$L$5:$L$24,0)))</f>
        <v/>
      </c>
      <c r="E14" s="119" t="str">
        <f>IF(B14="","",INDEX('Technical - Automation'!$K$5:$K$24,MATCH(A14,'Technical - Automation'!$L$5:$L$24,0)))</f>
        <v/>
      </c>
      <c r="F14" s="118">
        <v>2</v>
      </c>
      <c r="G14" s="4" t="str">
        <f>IFERROR(INDEX('Technical - Automation'!$A$5:$A$24,MATCH(F14,'Technical - Automation'!$M$5:$M$24,0)),"")</f>
        <v/>
      </c>
      <c r="H14" s="4" t="str">
        <f>IF(G14="","",INDEX('Technical - Automation'!$D$5:$D$24,MATCH(F14,'Technical - Automation'!$M$5:$M$24,0)))</f>
        <v/>
      </c>
      <c r="I14" s="4" t="str">
        <f>IF(G14="","",INDEX('Technical - Automation'!$I$5:$I$24,MATCH(F14,'Technical - Automation'!$M$5:$M$24,0)))</f>
        <v/>
      </c>
      <c r="J14" s="119" t="str">
        <f>IF(G14="","",INDEX('Technical - Automation'!$K$5:$K$24,MATCH(F14,'Technical - Automation'!$M$5:$M$24,0)))</f>
        <v/>
      </c>
    </row>
    <row r="15" spans="1:10">
      <c r="A15" s="118">
        <v>3</v>
      </c>
      <c r="B15" s="4" t="str">
        <f>IFERROR(INDEX('Technical - Automation'!$A$5:$A$24,MATCH(A15,'Technical - Automation'!$L$5:$L$24,0)),"")</f>
        <v/>
      </c>
      <c r="C15" s="4" t="str">
        <f>IF(B15="","",INDEX('Technical - Automation'!$D$5:$D$24,MATCH(A15,'Technical - Automation'!$L$5:$L$24,0)))</f>
        <v/>
      </c>
      <c r="D15" s="4" t="str">
        <f>IF(B15="","",INDEX('Technical - Automation'!$I$5:$I$24,MATCH(A15,'Technical - Automation'!$L$5:$L$24,0)))</f>
        <v/>
      </c>
      <c r="E15" s="119" t="str">
        <f>IF(B15="","",INDEX('Technical - Automation'!$K$5:$K$24,MATCH(A15,'Technical - Automation'!$L$5:$L$24,0)))</f>
        <v/>
      </c>
      <c r="F15" s="118">
        <v>3</v>
      </c>
      <c r="G15" s="4" t="str">
        <f>IFERROR(INDEX('Technical - Automation'!$A$5:$A$24,MATCH(F15,'Technical - Automation'!$M$5:$M$24,0)),"")</f>
        <v/>
      </c>
      <c r="H15" s="4" t="str">
        <f>IF(G15="","",INDEX('Technical - Automation'!$D$5:$D$24,MATCH(F15,'Technical - Automation'!$M$5:$M$24,0)))</f>
        <v/>
      </c>
      <c r="I15" s="4" t="str">
        <f>IF(G15="","",INDEX('Technical - Automation'!$I$5:$I$24,MATCH(F15,'Technical - Automation'!$M$5:$M$24,0)))</f>
        <v/>
      </c>
      <c r="J15" s="119" t="str">
        <f>IF(G15="","",INDEX('Technical - Automation'!$K$5:$K$24,MATCH(F15,'Technical - Automation'!$M$5:$M$24,0)))</f>
        <v/>
      </c>
    </row>
    <row r="16" spans="1:10">
      <c r="A16" s="118">
        <v>4</v>
      </c>
      <c r="B16" s="4" t="str">
        <f>IFERROR(INDEX('Technical - Automation'!$A$5:$A$24,MATCH(A16,'Technical - Automation'!$L$5:$L$24,0)),"")</f>
        <v/>
      </c>
      <c r="C16" s="4" t="str">
        <f>IF(B16="","",INDEX('Technical - Automation'!$D$5:$D$24,MATCH(A16,'Technical - Automation'!$L$5:$L$24,0)))</f>
        <v/>
      </c>
      <c r="D16" s="4" t="str">
        <f>IF(B16="","",INDEX('Technical - Automation'!$I$5:$I$24,MATCH(A16,'Technical - Automation'!$L$5:$L$24,0)))</f>
        <v/>
      </c>
      <c r="E16" s="119" t="str">
        <f>IF(B16="","",INDEX('Technical - Automation'!$K$5:$K$24,MATCH(A16,'Technical - Automation'!$L$5:$L$24,0)))</f>
        <v/>
      </c>
      <c r="F16" s="118">
        <v>4</v>
      </c>
      <c r="G16" s="4" t="str">
        <f>IFERROR(INDEX('Technical - Automation'!$A$5:$A$24,MATCH(F16,'Technical - Automation'!$M$5:$M$24,0)),"")</f>
        <v/>
      </c>
      <c r="H16" s="4" t="str">
        <f>IF(G16="","",INDEX('Technical - Automation'!$D$5:$D$24,MATCH(F16,'Technical - Automation'!$M$5:$M$24,0)))</f>
        <v/>
      </c>
      <c r="I16" s="4" t="str">
        <f>IF(G16="","",INDEX('Technical - Automation'!$I$5:$I$24,MATCH(F16,'Technical - Automation'!$M$5:$M$24,0)))</f>
        <v/>
      </c>
      <c r="J16" s="119" t="str">
        <f>IF(G16="","",INDEX('Technical - Automation'!$K$5:$K$24,MATCH(F16,'Technical - Automation'!$M$5:$M$24,0)))</f>
        <v/>
      </c>
    </row>
    <row r="17" spans="1:10">
      <c r="A17" s="118">
        <v>5</v>
      </c>
      <c r="B17" s="4" t="str">
        <f>IFERROR(INDEX('Technical - Automation'!$A$5:$A$24,MATCH(A17,'Technical - Automation'!$L$5:$L$24,0)),"")</f>
        <v/>
      </c>
      <c r="C17" s="4" t="str">
        <f>IF(B17="","",INDEX('Technical - Automation'!$D$5:$D$24,MATCH(A17,'Technical - Automation'!$L$5:$L$24,0)))</f>
        <v/>
      </c>
      <c r="D17" s="4" t="str">
        <f>IF(B17="","",INDEX('Technical - Automation'!$I$5:$I$24,MATCH(A17,'Technical - Automation'!$L$5:$L$24,0)))</f>
        <v/>
      </c>
      <c r="E17" s="119" t="str">
        <f>IF(B17="","",INDEX('Technical - Automation'!$K$5:$K$24,MATCH(A17,'Technical - Automation'!$L$5:$L$24,0)))</f>
        <v/>
      </c>
      <c r="F17" s="118">
        <v>5</v>
      </c>
      <c r="G17" s="4" t="str">
        <f>IFERROR(INDEX('Technical - Automation'!$A$5:$A$24,MATCH(F17,'Technical - Automation'!$M$5:$M$24,0)),"")</f>
        <v/>
      </c>
      <c r="H17" s="4" t="str">
        <f>IF(G17="","",INDEX('Technical - Automation'!$D$5:$D$24,MATCH(F17,'Technical - Automation'!$M$5:$M$24,0)))</f>
        <v/>
      </c>
      <c r="I17" s="4" t="str">
        <f>IF(G17="","",INDEX('Technical - Automation'!$I$5:$I$24,MATCH(F17,'Technical - Automation'!$M$5:$M$24,0)))</f>
        <v/>
      </c>
      <c r="J17" s="119" t="str">
        <f>IF(G17="","",INDEX('Technical - Automation'!$K$5:$K$24,MATCH(F17,'Technical - Automation'!$M$5:$M$24,0)))</f>
        <v/>
      </c>
    </row>
    <row r="18" spans="1:10">
      <c r="A18" s="118"/>
      <c r="B18" s="4"/>
      <c r="C18" s="4"/>
      <c r="D18" s="4"/>
      <c r="E18" s="119"/>
      <c r="F18" s="127"/>
      <c r="G18" s="4"/>
      <c r="H18" s="4"/>
      <c r="I18" s="4"/>
      <c r="J18" s="119"/>
    </row>
    <row r="19" spans="1:10">
      <c r="A19" s="120"/>
      <c r="B19" s="4"/>
      <c r="C19" s="4"/>
      <c r="D19" s="4"/>
      <c r="E19" s="119"/>
      <c r="F19" s="127"/>
      <c r="G19" s="4"/>
      <c r="H19" s="4"/>
      <c r="I19" s="4"/>
      <c r="J19" s="119"/>
    </row>
    <row r="20" spans="1:10" s="112" customFormat="1" ht="21" customHeight="1">
      <c r="A20" s="128" t="s">
        <v>104</v>
      </c>
      <c r="B20" s="129"/>
      <c r="C20" s="129"/>
      <c r="D20" s="129"/>
      <c r="E20" s="130"/>
      <c r="F20" s="124" t="s">
        <v>105</v>
      </c>
      <c r="G20" s="131"/>
      <c r="H20" s="131"/>
      <c r="I20" s="131"/>
      <c r="J20" s="132"/>
    </row>
    <row r="21" spans="1:10">
      <c r="A21" s="116" t="s">
        <v>100</v>
      </c>
      <c r="B21" s="23" t="s">
        <v>75</v>
      </c>
      <c r="C21" s="23" t="s">
        <v>101</v>
      </c>
      <c r="D21" s="23" t="s">
        <v>102</v>
      </c>
      <c r="E21" s="117" t="s">
        <v>103</v>
      </c>
      <c r="F21" s="116" t="s">
        <v>100</v>
      </c>
      <c r="G21" s="23" t="s">
        <v>75</v>
      </c>
      <c r="H21" s="23" t="s">
        <v>101</v>
      </c>
      <c r="I21" s="23" t="s">
        <v>102</v>
      </c>
      <c r="J21" s="117" t="s">
        <v>103</v>
      </c>
    </row>
    <row r="22" spans="1:10">
      <c r="A22" s="118">
        <v>1</v>
      </c>
      <c r="B22" s="4" t="str">
        <f>IFERROR(INDEX('Technical - Automation'!$A$5:$A$24,MATCH(A22,'Technical - Automation'!$N$5:$N$24,0)),"")</f>
        <v/>
      </c>
      <c r="C22" s="4" t="str">
        <f>IF(B22="","",INDEX('Technical - Automation'!$D$5:$D$24,MATCH(A22,'Technical - Automation'!$N$5:$N$24,0)))</f>
        <v/>
      </c>
      <c r="D22" s="4" t="str">
        <f>IF(B22="","",INDEX('Technical - Automation'!$I$5:$I$24,MATCH(A22,'Technical - Automation'!$N$5:$N$24,0)))</f>
        <v/>
      </c>
      <c r="E22" s="119" t="str">
        <f>IF(B22="","",INDEX('Technical - Automation'!$K$5:$K$24,MATCH(A22,'Technical - Automation'!$N$5:$N$24,0)))</f>
        <v/>
      </c>
      <c r="F22" s="118">
        <v>1</v>
      </c>
      <c r="G22" s="4" t="str">
        <f>IFERROR(INDEX('Technical - Automation'!$A$5:$A$24,MATCH(F22,'Technical - Automation'!$O$5:$O$24,0)),"")</f>
        <v/>
      </c>
      <c r="H22" s="4" t="str">
        <f>IF(G22="","",INDEX('Technical - Automation'!$D$5:$D$24,MATCH(F22,'Technical - Automation'!$O$5:$O$24,0)))</f>
        <v/>
      </c>
      <c r="I22" s="4" t="str">
        <f>IF(G22="","",INDEX('Technical - Automation'!$I$5:$I$24,MATCH(F22,'Technical - Automation'!$O$5:$O$24,0)))</f>
        <v/>
      </c>
      <c r="J22" s="119" t="str">
        <f>IF(G22="","",INDEX('Technical - Automation'!$K$5:$K$24,MATCH(F22,'Technical - Automation'!$O$5:$O$24,0)))</f>
        <v/>
      </c>
    </row>
    <row r="23" spans="1:10">
      <c r="A23" s="118">
        <v>2</v>
      </c>
      <c r="B23" s="4" t="str">
        <f>IFERROR(INDEX('Technical - Automation'!$A$5:$A$24,MATCH(A23,'Technical - Automation'!$N$5:$N$24,0)),"")</f>
        <v/>
      </c>
      <c r="C23" s="4" t="str">
        <f>IF(B23="","",INDEX('Technical - Automation'!$D$5:$D$24,MATCH(A23,'Technical - Automation'!$N$5:$N$24,0)))</f>
        <v/>
      </c>
      <c r="D23" s="4" t="str">
        <f>IF(B23="","",INDEX('Technical - Automation'!$I$5:$I$24,MATCH(A23,'Technical - Automation'!$N$5:$N$24,0)))</f>
        <v/>
      </c>
      <c r="E23" s="119" t="str">
        <f>IF(B23="","",INDEX('Technical - Automation'!$K$5:$K$24,MATCH(A23,'Technical - Automation'!$N$5:$N$24,0)))</f>
        <v/>
      </c>
      <c r="F23" s="118">
        <v>2</v>
      </c>
      <c r="G23" s="4" t="str">
        <f>IFERROR(INDEX('Technical - Automation'!$A$5:$A$24,MATCH(F23,'Technical - Automation'!$O$5:$O$24,0)),"")</f>
        <v/>
      </c>
      <c r="H23" s="4" t="str">
        <f>IF(G23="","",INDEX('Technical - Automation'!$D$5:$D$24,MATCH(F23,'Technical - Automation'!$O$5:$O$24,0)))</f>
        <v/>
      </c>
      <c r="I23" s="4" t="str">
        <f>IF(G23="","",INDEX('Technical - Automation'!$I$5:$I$24,MATCH(F23,'Technical - Automation'!$O$5:$O$24,0)))</f>
        <v/>
      </c>
      <c r="J23" s="119" t="str">
        <f>IF(G23="","",INDEX('Technical - Automation'!$K$5:$K$24,MATCH(F23,'Technical - Automation'!$O$5:$O$24,0)))</f>
        <v/>
      </c>
    </row>
    <row r="24" spans="1:10">
      <c r="A24" s="118">
        <v>3</v>
      </c>
      <c r="B24" s="4" t="str">
        <f>IFERROR(INDEX('Technical - Automation'!$A$5:$A$24,MATCH(A24,'Technical - Automation'!$N$5:$N$24,0)),"")</f>
        <v/>
      </c>
      <c r="C24" s="4" t="str">
        <f>IF(B24="","",INDEX('Technical - Automation'!$D$5:$D$24,MATCH(A24,'Technical - Automation'!$N$5:$N$24,0)))</f>
        <v/>
      </c>
      <c r="D24" s="4" t="str">
        <f>IF(B24="","",INDEX('Technical - Automation'!$I$5:$I$24,MATCH(A24,'Technical - Automation'!$N$5:$N$24,0)))</f>
        <v/>
      </c>
      <c r="E24" s="119" t="str">
        <f>IF(B24="","",INDEX('Technical - Automation'!$K$5:$K$24,MATCH(A24,'Technical - Automation'!$N$5:$N$24,0)))</f>
        <v/>
      </c>
      <c r="F24" s="118">
        <v>3</v>
      </c>
      <c r="G24" s="4" t="str">
        <f>IFERROR(INDEX('Technical - Automation'!$A$5:$A$24,MATCH(F24,'Technical - Automation'!$O$5:$O$24,0)),"")</f>
        <v/>
      </c>
      <c r="H24" s="4" t="str">
        <f>IF(G24="","",INDEX('Technical - Automation'!$D$5:$D$24,MATCH(F24,'Technical - Automation'!$O$5:$O$24,0)))</f>
        <v/>
      </c>
      <c r="I24" s="4" t="str">
        <f>IF(G24="","",INDEX('Technical - Automation'!$I$5:$I$24,MATCH(F24,'Technical - Automation'!$O$5:$O$24,0)))</f>
        <v/>
      </c>
      <c r="J24" s="119" t="str">
        <f>IF(G24="","",INDEX('Technical - Automation'!$K$5:$K$24,MATCH(F24,'Technical - Automation'!$O$5:$O$24,0)))</f>
        <v/>
      </c>
    </row>
    <row r="25" spans="1:10">
      <c r="A25" s="118">
        <v>4</v>
      </c>
      <c r="B25" s="4" t="str">
        <f>IFERROR(INDEX('Technical - Automation'!$A$5:$A$24,MATCH(A25,'Technical - Automation'!$N$5:$N$24,0)),"")</f>
        <v/>
      </c>
      <c r="C25" s="4" t="str">
        <f>IF(B25="","",INDEX('Technical - Automation'!$D$5:$D$24,MATCH(A25,'Technical - Automation'!$N$5:$N$24,0)))</f>
        <v/>
      </c>
      <c r="D25" s="4" t="str">
        <f>IF(B25="","",INDEX('Technical - Automation'!$I$5:$I$24,MATCH(A25,'Technical - Automation'!$N$5:$N$24,0)))</f>
        <v/>
      </c>
      <c r="E25" s="119" t="str">
        <f>IF(B25="","",INDEX('Technical - Automation'!$K$5:$K$24,MATCH(A25,'Technical - Automation'!$N$5:$N$24,0)))</f>
        <v/>
      </c>
      <c r="F25" s="118">
        <v>4</v>
      </c>
      <c r="G25" s="4" t="str">
        <f>IFERROR(INDEX('Technical - Automation'!$A$5:$A$24,MATCH(F25,'Technical - Automation'!$O$5:$O$24,0)),"")</f>
        <v/>
      </c>
      <c r="H25" s="4" t="str">
        <f>IF(G25="","",INDEX('Technical - Automation'!$D$5:$D$24,MATCH(F25,'Technical - Automation'!$O$5:$O$24,0)))</f>
        <v/>
      </c>
      <c r="I25" s="4" t="str">
        <f>IF(G25="","",INDEX('Technical - Automation'!$I$5:$I$24,MATCH(F25,'Technical - Automation'!$O$5:$O$24,0)))</f>
        <v/>
      </c>
      <c r="J25" s="119" t="str">
        <f>IF(G25="","",INDEX('Technical - Automation'!$K$5:$K$24,MATCH(F25,'Technical - Automation'!$O$5:$O$24,0)))</f>
        <v/>
      </c>
    </row>
    <row r="26" spans="1:10">
      <c r="A26" s="118">
        <v>5</v>
      </c>
      <c r="B26" s="4" t="str">
        <f>IFERROR(INDEX('Technical - Automation'!$A$5:$A$24,MATCH(A26,'Technical - Automation'!$N$5:$N$24,0)),"")</f>
        <v/>
      </c>
      <c r="C26" s="4" t="str">
        <f>IF(B26="","",INDEX('Technical - Automation'!$D$5:$D$24,MATCH(A26,'Technical - Automation'!$N$5:$N$24,0)))</f>
        <v/>
      </c>
      <c r="D26" s="4" t="str">
        <f>IF(B26="","",INDEX('Technical - Automation'!$I$5:$I$24,MATCH(A26,'Technical - Automation'!$N$5:$N$24,0)))</f>
        <v/>
      </c>
      <c r="E26" s="119" t="str">
        <f>IF(B26="","",INDEX('Technical - Automation'!$K$5:$K$24,MATCH(A26,'Technical - Automation'!$N$5:$N$24,0)))</f>
        <v/>
      </c>
      <c r="F26" s="118">
        <v>5</v>
      </c>
      <c r="G26" s="4" t="str">
        <f>IFERROR(INDEX('Technical - Automation'!$A$5:$A$24,MATCH(F26,'Technical - Automation'!$O$5:$O$24,0)),"")</f>
        <v/>
      </c>
      <c r="H26" s="4" t="str">
        <f>IF(G26="","",INDEX('Technical - Automation'!$D$5:$D$24,MATCH(F26,'Technical - Automation'!$O$5:$O$24,0)))</f>
        <v/>
      </c>
      <c r="I26" s="4" t="str">
        <f>IF(G26="","",INDEX('Technical - Automation'!$I$5:$I$24,MATCH(F26,'Technical - Automation'!$O$5:$O$24,0)))</f>
        <v/>
      </c>
      <c r="J26" s="119" t="str">
        <f>IF(G26="","",INDEX('Technical - Automation'!$K$5:$K$24,MATCH(F26,'Technical - Automation'!$O$5:$O$24,0)))</f>
        <v/>
      </c>
    </row>
    <row r="27" spans="1:10">
      <c r="A27" s="121"/>
      <c r="B27" s="122"/>
      <c r="C27" s="122"/>
      <c r="D27" s="122"/>
      <c r="E27" s="123"/>
      <c r="F27" s="121"/>
      <c r="G27" s="122"/>
      <c r="H27" s="122"/>
      <c r="I27" s="122"/>
      <c r="J27" s="123"/>
    </row>
    <row r="28" spans="1:10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>
      <c r="A29" s="101" t="s">
        <v>106</v>
      </c>
      <c r="B29" s="21"/>
      <c r="C29" s="21"/>
      <c r="D29" s="21"/>
      <c r="E29" s="21"/>
      <c r="F29" s="21"/>
      <c r="G29" s="21"/>
      <c r="H29" s="21"/>
      <c r="I29" s="21"/>
      <c r="J29" s="21"/>
    </row>
    <row r="30" spans="1:10" ht="76.5">
      <c r="A30" s="59" t="s">
        <v>107</v>
      </c>
      <c r="B30" s="3" t="s">
        <v>108</v>
      </c>
      <c r="C30" s="3"/>
      <c r="D30" s="3"/>
      <c r="E30" s="3"/>
      <c r="F30" s="83" t="s">
        <v>109</v>
      </c>
      <c r="G30" s="3" t="s">
        <v>110</v>
      </c>
      <c r="H30" s="3"/>
      <c r="I30" s="3"/>
      <c r="J30" s="3"/>
    </row>
    <row r="31" spans="1:10" ht="76.5">
      <c r="A31" s="59" t="s">
        <v>111</v>
      </c>
      <c r="B31" s="3" t="s">
        <v>112</v>
      </c>
      <c r="C31" s="3"/>
      <c r="D31" s="3"/>
      <c r="E31" s="3"/>
      <c r="F31" s="83" t="s">
        <v>113</v>
      </c>
      <c r="G31" s="3" t="s">
        <v>114</v>
      </c>
      <c r="H31" s="3"/>
      <c r="I31" s="3"/>
      <c r="J31" s="3"/>
    </row>
    <row r="32" spans="1:10" ht="89.25">
      <c r="A32" s="59" t="s">
        <v>115</v>
      </c>
      <c r="B32" s="3" t="s">
        <v>116</v>
      </c>
      <c r="C32" s="3"/>
      <c r="D32" s="3"/>
      <c r="E32" s="3"/>
      <c r="F32" s="83" t="s">
        <v>117</v>
      </c>
      <c r="G32" s="3" t="s">
        <v>118</v>
      </c>
      <c r="H32" s="3"/>
      <c r="I32" s="3"/>
      <c r="J32" s="3"/>
    </row>
    <row r="33" spans="1:10" ht="89.25">
      <c r="A33" s="59" t="s">
        <v>119</v>
      </c>
      <c r="B33" s="3" t="s">
        <v>120</v>
      </c>
      <c r="C33" s="3"/>
      <c r="D33" s="3"/>
      <c r="E33" s="3"/>
      <c r="F33" s="83" t="s">
        <v>121</v>
      </c>
      <c r="G33" s="3" t="s">
        <v>122</v>
      </c>
      <c r="H33" s="3"/>
      <c r="I33" s="3"/>
      <c r="J33" s="3"/>
    </row>
    <row r="34" spans="1:10">
      <c r="A34" s="3"/>
      <c r="B34" s="3"/>
      <c r="C34" s="3"/>
      <c r="D34" s="3"/>
      <c r="E34" s="3"/>
      <c r="F34" s="83"/>
      <c r="G34" s="3"/>
      <c r="H34" s="3"/>
      <c r="I34" s="3"/>
      <c r="J34" s="3"/>
    </row>
    <row r="35" spans="1:10">
      <c r="A35" s="3"/>
      <c r="B35" s="3"/>
      <c r="C35" s="3"/>
      <c r="D35" s="3"/>
      <c r="E35" s="3"/>
      <c r="F35" s="3"/>
      <c r="G35" s="3"/>
      <c r="H35" s="3"/>
      <c r="I35" s="3"/>
      <c r="J35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7"/>
  <sheetViews>
    <sheetView workbookViewId="0">
      <selection activeCell="G5" sqref="G5"/>
    </sheetView>
  </sheetViews>
  <sheetFormatPr defaultRowHeight="14.25"/>
  <cols>
    <col min="1" max="1" width="12" customWidth="1"/>
    <col min="2" max="2" width="10" customWidth="1"/>
    <col min="3" max="5" width="48" customWidth="1"/>
    <col min="6" max="6" width="22" customWidth="1"/>
    <col min="7" max="8" width="12" customWidth="1"/>
    <col min="9" max="9" width="11" customWidth="1"/>
    <col min="10" max="11" width="14" customWidth="1"/>
    <col min="12" max="12" width="28" customWidth="1"/>
    <col min="13" max="14" width="24" customWidth="1"/>
    <col min="15" max="15" width="16" customWidth="1"/>
    <col min="16" max="16" width="32" customWidth="1"/>
    <col min="17" max="19" width="12" customWidth="1"/>
  </cols>
  <sheetData>
    <row r="1" spans="1:19" ht="20.25">
      <c r="A1" s="29" t="s">
        <v>123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1" customHeight="1">
      <c r="A2" s="30" t="s">
        <v>124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s="46" customFormat="1" ht="33.75" customHeight="1">
      <c r="A4" s="103" t="s">
        <v>125</v>
      </c>
      <c r="B4" s="103" t="s">
        <v>126</v>
      </c>
      <c r="C4" s="103" t="s">
        <v>127</v>
      </c>
      <c r="D4" s="103" t="s">
        <v>128</v>
      </c>
      <c r="E4" s="103" t="s">
        <v>129</v>
      </c>
      <c r="F4" s="103" t="s">
        <v>130</v>
      </c>
      <c r="G4" s="103" t="s">
        <v>131</v>
      </c>
      <c r="H4" s="103" t="s">
        <v>132</v>
      </c>
      <c r="I4" s="103" t="s">
        <v>133</v>
      </c>
      <c r="J4" s="103" t="s">
        <v>134</v>
      </c>
      <c r="K4" s="103" t="s">
        <v>135</v>
      </c>
      <c r="L4" s="103" t="s">
        <v>87</v>
      </c>
      <c r="M4" s="103" t="s">
        <v>136</v>
      </c>
      <c r="N4" s="103" t="s">
        <v>137</v>
      </c>
      <c r="O4" s="103" t="s">
        <v>138</v>
      </c>
      <c r="P4" s="103" t="s">
        <v>139</v>
      </c>
      <c r="Q4" s="103" t="s">
        <v>140</v>
      </c>
      <c r="R4" s="103" t="s">
        <v>141</v>
      </c>
      <c r="S4" s="103" t="s">
        <v>142</v>
      </c>
    </row>
    <row r="5" spans="1:19" ht="27.75" customHeight="1">
      <c r="A5" s="2" t="s">
        <v>143</v>
      </c>
      <c r="B5" s="2" t="s">
        <v>107</v>
      </c>
      <c r="C5" s="17" t="str">
        <f>IF(OR('SWOT Matrix'!C13="",'SWOT Matrix'!C22=""),"","Leverage strength — "&amp;'SWOT Matrix'!C13&amp;" — to capture opportunity — "&amp;'SWOT Matrix'!C22)</f>
        <v/>
      </c>
      <c r="D5" s="102"/>
      <c r="E5" s="17" t="str">
        <f t="shared" ref="E5:E12" si="0">IF(D5&lt;&gt;"",D5,C5)</f>
        <v/>
      </c>
      <c r="F5" s="17" t="str">
        <f t="shared" ref="F5:F12" si="1">IF(OR(Q5="",R5=""),"",Q5&amp;"; "&amp;R5)</f>
        <v/>
      </c>
      <c r="G5" s="104">
        <v>3</v>
      </c>
      <c r="H5" s="104">
        <v>3</v>
      </c>
      <c r="I5" s="104">
        <v>3</v>
      </c>
      <c r="J5" s="17" t="str">
        <f t="shared" ref="J5:J12" si="2">IF(E5="","",G5+H5+I5)</f>
        <v/>
      </c>
      <c r="K5" s="17" t="str">
        <f t="shared" ref="K5:K12" si="3">IF(J5="","",IF(J5&gt;=12,"High",IF(J5&gt;=8,"Medium","Low")))</f>
        <v/>
      </c>
      <c r="L5" s="17" t="str">
        <f>IF(E5="","",'SWOT Matrix'!E13)</f>
        <v/>
      </c>
      <c r="M5" s="102"/>
      <c r="N5" s="102"/>
      <c r="O5" s="102" t="s">
        <v>144</v>
      </c>
      <c r="P5" s="102"/>
      <c r="Q5" s="17" t="str">
        <f>'SWOT Matrix'!B13</f>
        <v/>
      </c>
      <c r="R5" s="17" t="str">
        <f>'SWOT Matrix'!B22</f>
        <v/>
      </c>
      <c r="S5" s="17" t="str">
        <f>IF(J5="","",COUNTIF($J$5:$J$12,"&gt;"&amp;J5)+COUNTIFS($J$5:J5,J5))</f>
        <v/>
      </c>
    </row>
    <row r="6" spans="1:19" ht="27.75" customHeight="1">
      <c r="A6" s="2" t="s">
        <v>145</v>
      </c>
      <c r="B6" s="2" t="s">
        <v>107</v>
      </c>
      <c r="C6" s="17" t="str">
        <f>IF(OR('SWOT Matrix'!C14="",'SWOT Matrix'!C23=""),"","Leverage strength — "&amp;'SWOT Matrix'!C14&amp;" — to capture opportunity — "&amp;'SWOT Matrix'!C23)</f>
        <v/>
      </c>
      <c r="D6" s="102"/>
      <c r="E6" s="17" t="str">
        <f t="shared" si="0"/>
        <v/>
      </c>
      <c r="F6" s="17" t="str">
        <f t="shared" si="1"/>
        <v/>
      </c>
      <c r="G6" s="104">
        <v>3</v>
      </c>
      <c r="H6" s="104">
        <v>3</v>
      </c>
      <c r="I6" s="104">
        <v>3</v>
      </c>
      <c r="J6" s="17" t="str">
        <f t="shared" si="2"/>
        <v/>
      </c>
      <c r="K6" s="17" t="str">
        <f t="shared" si="3"/>
        <v/>
      </c>
      <c r="L6" s="17" t="str">
        <f>IF(E6="","",'SWOT Matrix'!E14)</f>
        <v/>
      </c>
      <c r="M6" s="102"/>
      <c r="N6" s="102"/>
      <c r="O6" s="102" t="s">
        <v>144</v>
      </c>
      <c r="P6" s="102"/>
      <c r="Q6" s="17" t="str">
        <f>'SWOT Matrix'!B14</f>
        <v/>
      </c>
      <c r="R6" s="17" t="str">
        <f>'SWOT Matrix'!B23</f>
        <v/>
      </c>
      <c r="S6" s="17" t="str">
        <f>IF(J6="","",COUNTIF($J$5:$J$12,"&gt;"&amp;J6)+COUNTIFS($J$5:J6,J6))</f>
        <v/>
      </c>
    </row>
    <row r="7" spans="1:19" ht="27.75" customHeight="1">
      <c r="A7" s="2" t="s">
        <v>146</v>
      </c>
      <c r="B7" s="2" t="s">
        <v>109</v>
      </c>
      <c r="C7" s="17" t="str">
        <f>IF(OR('SWOT Matrix'!H13="",'SWOT Matrix'!C22=""),"","Use opportunity — "&amp;'SWOT Matrix'!C22&amp;" — to address weakness — "&amp;'SWOT Matrix'!H13)</f>
        <v/>
      </c>
      <c r="D7" s="102"/>
      <c r="E7" s="17" t="str">
        <f t="shared" si="0"/>
        <v/>
      </c>
      <c r="F7" s="17" t="str">
        <f t="shared" si="1"/>
        <v/>
      </c>
      <c r="G7" s="104">
        <v>3</v>
      </c>
      <c r="H7" s="104">
        <v>3</v>
      </c>
      <c r="I7" s="104">
        <v>3</v>
      </c>
      <c r="J7" s="17" t="str">
        <f t="shared" si="2"/>
        <v/>
      </c>
      <c r="K7" s="17" t="str">
        <f t="shared" si="3"/>
        <v/>
      </c>
      <c r="L7" s="17" t="str">
        <f>IF(E7="","",'SWOT Matrix'!J13)</f>
        <v/>
      </c>
      <c r="M7" s="102"/>
      <c r="N7" s="102"/>
      <c r="O7" s="102" t="s">
        <v>144</v>
      </c>
      <c r="P7" s="102"/>
      <c r="Q7" s="17" t="str">
        <f>'SWOT Matrix'!G13</f>
        <v/>
      </c>
      <c r="R7" s="17" t="str">
        <f>'SWOT Matrix'!B22</f>
        <v/>
      </c>
      <c r="S7" s="17" t="str">
        <f>IF(J7="","",COUNTIF($J$5:$J$12,"&gt;"&amp;J7)+COUNTIFS($J$5:J7,J7))</f>
        <v/>
      </c>
    </row>
    <row r="8" spans="1:19" ht="27.75" customHeight="1">
      <c r="A8" s="2" t="s">
        <v>147</v>
      </c>
      <c r="B8" s="2" t="s">
        <v>109</v>
      </c>
      <c r="C8" s="17" t="str">
        <f>IF(OR('SWOT Matrix'!H14="",'SWOT Matrix'!C23=""),"","Use opportunity — "&amp;'SWOT Matrix'!C23&amp;" — to address weakness — "&amp;'SWOT Matrix'!H14)</f>
        <v/>
      </c>
      <c r="D8" s="102"/>
      <c r="E8" s="17" t="str">
        <f t="shared" si="0"/>
        <v/>
      </c>
      <c r="F8" s="17" t="str">
        <f t="shared" si="1"/>
        <v/>
      </c>
      <c r="G8" s="104">
        <v>3</v>
      </c>
      <c r="H8" s="104">
        <v>3</v>
      </c>
      <c r="I8" s="104">
        <v>3</v>
      </c>
      <c r="J8" s="17" t="str">
        <f t="shared" si="2"/>
        <v/>
      </c>
      <c r="K8" s="17" t="str">
        <f t="shared" si="3"/>
        <v/>
      </c>
      <c r="L8" s="17" t="str">
        <f>IF(E8="","",'SWOT Matrix'!J14)</f>
        <v/>
      </c>
      <c r="M8" s="102"/>
      <c r="N8" s="102"/>
      <c r="O8" s="102" t="s">
        <v>144</v>
      </c>
      <c r="P8" s="102"/>
      <c r="Q8" s="17" t="str">
        <f>'SWOT Matrix'!G14</f>
        <v/>
      </c>
      <c r="R8" s="17" t="str">
        <f>'SWOT Matrix'!B23</f>
        <v/>
      </c>
      <c r="S8" s="17" t="str">
        <f>IF(J8="","",COUNTIF($J$5:$J$12,"&gt;"&amp;J8)+COUNTIFS($J$5:J8,J8))</f>
        <v/>
      </c>
    </row>
    <row r="9" spans="1:19" ht="27.75" customHeight="1">
      <c r="A9" s="2" t="s">
        <v>148</v>
      </c>
      <c r="B9" s="2" t="s">
        <v>111</v>
      </c>
      <c r="C9" s="17" t="str">
        <f>IF(OR('SWOT Matrix'!C13="",'SWOT Matrix'!H22=""),"","Use strength — "&amp;'SWOT Matrix'!C13&amp;" — to reduce exposure to threat — "&amp;'SWOT Matrix'!H22)</f>
        <v/>
      </c>
      <c r="D9" s="102"/>
      <c r="E9" s="17" t="str">
        <f t="shared" si="0"/>
        <v/>
      </c>
      <c r="F9" s="17" t="str">
        <f t="shared" si="1"/>
        <v/>
      </c>
      <c r="G9" s="104">
        <v>3</v>
      </c>
      <c r="H9" s="104">
        <v>3</v>
      </c>
      <c r="I9" s="104">
        <v>3</v>
      </c>
      <c r="J9" s="17" t="str">
        <f t="shared" si="2"/>
        <v/>
      </c>
      <c r="K9" s="17" t="str">
        <f t="shared" si="3"/>
        <v/>
      </c>
      <c r="L9" s="17" t="str">
        <f>IF(E9="","",'SWOT Matrix'!E13)</f>
        <v/>
      </c>
      <c r="M9" s="102"/>
      <c r="N9" s="102"/>
      <c r="O9" s="102" t="s">
        <v>144</v>
      </c>
      <c r="P9" s="102"/>
      <c r="Q9" s="17" t="str">
        <f>'SWOT Matrix'!B13</f>
        <v/>
      </c>
      <c r="R9" s="17" t="str">
        <f>'SWOT Matrix'!G22</f>
        <v/>
      </c>
      <c r="S9" s="17" t="str">
        <f>IF(J9="","",COUNTIF($J$5:$J$12,"&gt;"&amp;J9)+COUNTIFS($J$5:J9,J9))</f>
        <v/>
      </c>
    </row>
    <row r="10" spans="1:19" ht="27.75" customHeight="1">
      <c r="A10" s="2" t="s">
        <v>149</v>
      </c>
      <c r="B10" s="2" t="s">
        <v>111</v>
      </c>
      <c r="C10" s="17" t="str">
        <f>IF(OR('SWOT Matrix'!C14="",'SWOT Matrix'!H23=""),"","Use strength — "&amp;'SWOT Matrix'!C14&amp;" — to reduce exposure to threat — "&amp;'SWOT Matrix'!H23)</f>
        <v/>
      </c>
      <c r="D10" s="102"/>
      <c r="E10" s="17" t="str">
        <f t="shared" si="0"/>
        <v/>
      </c>
      <c r="F10" s="17" t="str">
        <f t="shared" si="1"/>
        <v/>
      </c>
      <c r="G10" s="104">
        <v>3</v>
      </c>
      <c r="H10" s="104">
        <v>3</v>
      </c>
      <c r="I10" s="104">
        <v>3</v>
      </c>
      <c r="J10" s="17" t="str">
        <f t="shared" si="2"/>
        <v/>
      </c>
      <c r="K10" s="17" t="str">
        <f t="shared" si="3"/>
        <v/>
      </c>
      <c r="L10" s="17" t="str">
        <f>IF(E10="","",'SWOT Matrix'!E14)</f>
        <v/>
      </c>
      <c r="M10" s="102"/>
      <c r="N10" s="102"/>
      <c r="O10" s="102" t="s">
        <v>144</v>
      </c>
      <c r="P10" s="102"/>
      <c r="Q10" s="17" t="str">
        <f>'SWOT Matrix'!B14</f>
        <v/>
      </c>
      <c r="R10" s="17" t="str">
        <f>'SWOT Matrix'!G23</f>
        <v/>
      </c>
      <c r="S10" s="17" t="str">
        <f>IF(J10="","",COUNTIF($J$5:$J$12,"&gt;"&amp;J10)+COUNTIFS($J$5:J10,J10))</f>
        <v/>
      </c>
    </row>
    <row r="11" spans="1:19" ht="27.75" customHeight="1">
      <c r="A11" s="2" t="s">
        <v>150</v>
      </c>
      <c r="B11" s="2" t="s">
        <v>113</v>
      </c>
      <c r="C11" s="17" t="str">
        <f>IF(OR('SWOT Matrix'!H13="",'SWOT Matrix'!H22=""),"","Address weakness — "&amp;'SWOT Matrix'!H13&amp;" — to reduce vulnerability to threat — "&amp;'SWOT Matrix'!H22)</f>
        <v/>
      </c>
      <c r="D11" s="102"/>
      <c r="E11" s="17" t="str">
        <f t="shared" si="0"/>
        <v/>
      </c>
      <c r="F11" s="17" t="str">
        <f t="shared" si="1"/>
        <v/>
      </c>
      <c r="G11" s="104">
        <v>3</v>
      </c>
      <c r="H11" s="104">
        <v>3</v>
      </c>
      <c r="I11" s="104">
        <v>3</v>
      </c>
      <c r="J11" s="17" t="str">
        <f t="shared" si="2"/>
        <v/>
      </c>
      <c r="K11" s="17" t="str">
        <f t="shared" si="3"/>
        <v/>
      </c>
      <c r="L11" s="17" t="str">
        <f>IF(E11="","",'SWOT Matrix'!J13)</f>
        <v/>
      </c>
      <c r="M11" s="102"/>
      <c r="N11" s="102"/>
      <c r="O11" s="102" t="s">
        <v>144</v>
      </c>
      <c r="P11" s="102"/>
      <c r="Q11" s="17" t="str">
        <f>'SWOT Matrix'!G13</f>
        <v/>
      </c>
      <c r="R11" s="17" t="str">
        <f>'SWOT Matrix'!G22</f>
        <v/>
      </c>
      <c r="S11" s="17" t="str">
        <f>IF(J11="","",COUNTIF($J$5:$J$12,"&gt;"&amp;J11)+COUNTIFS($J$5:J11,J11))</f>
        <v/>
      </c>
    </row>
    <row r="12" spans="1:19" ht="27.75" customHeight="1">
      <c r="A12" s="2" t="s">
        <v>151</v>
      </c>
      <c r="B12" s="2" t="s">
        <v>113</v>
      </c>
      <c r="C12" s="17" t="str">
        <f>IF(OR('SWOT Matrix'!H14="",'SWOT Matrix'!H23=""),"","Address weakness — "&amp;'SWOT Matrix'!H14&amp;" — to reduce vulnerability to threat — "&amp;'SWOT Matrix'!H23)</f>
        <v/>
      </c>
      <c r="D12" s="102"/>
      <c r="E12" s="17" t="str">
        <f t="shared" si="0"/>
        <v/>
      </c>
      <c r="F12" s="17" t="str">
        <f t="shared" si="1"/>
        <v/>
      </c>
      <c r="G12" s="104">
        <v>3</v>
      </c>
      <c r="H12" s="104">
        <v>3</v>
      </c>
      <c r="I12" s="104">
        <v>3</v>
      </c>
      <c r="J12" s="17" t="str">
        <f t="shared" si="2"/>
        <v/>
      </c>
      <c r="K12" s="17" t="str">
        <f t="shared" si="3"/>
        <v/>
      </c>
      <c r="L12" s="17" t="str">
        <f>IF(E12="","",'SWOT Matrix'!J14)</f>
        <v/>
      </c>
      <c r="M12" s="102"/>
      <c r="N12" s="102"/>
      <c r="O12" s="102" t="s">
        <v>144</v>
      </c>
      <c r="P12" s="102"/>
      <c r="Q12" s="17" t="str">
        <f>'SWOT Matrix'!G14</f>
        <v/>
      </c>
      <c r="R12" s="17" t="str">
        <f>'SWOT Matrix'!G23</f>
        <v/>
      </c>
      <c r="S12" s="17" t="str">
        <f>IF(J12="","",COUNTIF($J$5:$J$12,"&gt;"&amp;J12)+COUNTIFS($J$5:J12,J12))</f>
        <v/>
      </c>
    </row>
    <row r="13" spans="1:1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s="37" customFormat="1" ht="21.75" customHeight="1">
      <c r="A14" s="105" t="s">
        <v>152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</row>
    <row r="15" spans="1:1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23.25" customHeight="1">
      <c r="A16" s="30" t="s">
        <v>153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19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</sheetData>
  <conditionalFormatting sqref="K5:K12">
    <cfRule type="expression" dxfId="5" priority="1">
      <formula>$K5="High"</formula>
    </cfRule>
    <cfRule type="expression" dxfId="4" priority="2">
      <formula>$K5="Medium"</formula>
    </cfRule>
    <cfRule type="expression" dxfId="3" priority="3">
      <formula>$K5="Low"</formula>
    </cfRule>
  </conditionalFormatting>
  <dataValidations count="3">
    <dataValidation type="list" sqref="G5:I12" xr:uid="{00000000-0002-0000-0300-000000000000}">
      <formula1>"1,2,3,4,5"</formula1>
    </dataValidation>
    <dataValidation type="list" sqref="N5:N12" xr:uid="{00000000-0002-0000-0300-000001000000}">
      <formula1>"Immediate (0–3 months),Short Term (3–12 months),Medium Term (1–3 years),Long Term (3+ years),Ongoing"</formula1>
    </dataValidation>
    <dataValidation type="list" sqref="O5:O12" xr:uid="{00000000-0002-0000-0300-000002000000}">
      <formula1>"Review,Adopt,Develop Further,Hold,Reject"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5"/>
  <sheetViews>
    <sheetView workbookViewId="0">
      <selection activeCell="A6" sqref="A6"/>
    </sheetView>
  </sheetViews>
  <sheetFormatPr defaultRowHeight="14.25"/>
  <cols>
    <col min="1" max="1" width="12" customWidth="1"/>
    <col min="2" max="2" width="52" customWidth="1"/>
    <col min="3" max="3" width="20" customWidth="1"/>
    <col min="4" max="5" width="18" customWidth="1"/>
    <col min="6" max="6" width="24" customWidth="1"/>
    <col min="7" max="7" width="14" customWidth="1"/>
    <col min="8" max="9" width="18" customWidth="1"/>
    <col min="10" max="10" width="16" customWidth="1"/>
  </cols>
  <sheetData>
    <row r="1" spans="1:10" ht="20.25">
      <c r="A1" s="29" t="s">
        <v>154</v>
      </c>
      <c r="B1" s="18"/>
      <c r="C1" s="18"/>
      <c r="D1" s="18"/>
      <c r="E1" s="18"/>
      <c r="F1" s="18"/>
      <c r="G1" s="18"/>
      <c r="H1" s="18"/>
      <c r="I1" s="18"/>
      <c r="J1" s="18"/>
    </row>
    <row r="2" spans="1:10">
      <c r="A2" s="28" t="s">
        <v>155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s="45" customFormat="1" ht="31.5">
      <c r="A4" s="107" t="s">
        <v>125</v>
      </c>
      <c r="B4" s="107" t="s">
        <v>156</v>
      </c>
      <c r="C4" s="107" t="s">
        <v>157</v>
      </c>
      <c r="D4" s="107" t="s">
        <v>158</v>
      </c>
      <c r="E4" s="107" t="s">
        <v>159</v>
      </c>
      <c r="F4" s="107" t="s">
        <v>160</v>
      </c>
      <c r="G4" s="107" t="s">
        <v>161</v>
      </c>
      <c r="H4" s="107" t="s">
        <v>162</v>
      </c>
      <c r="I4" s="107" t="s">
        <v>163</v>
      </c>
      <c r="J4" s="107" t="s">
        <v>138</v>
      </c>
    </row>
    <row r="5" spans="1:10" ht="17.25" customHeight="1">
      <c r="A5" s="108" t="str">
        <f>IF('Strategic Preparation'!E5="","",'Strategic Preparation'!A5)</f>
        <v/>
      </c>
      <c r="B5" s="108" t="str">
        <f>IF('Strategic Preparation'!E5="","",'Strategic Preparation'!E5)</f>
        <v/>
      </c>
      <c r="C5" s="109" t="str">
        <f>IF(B5="","",IF(AND(IFERROR(INDEX('SWOT Assessment'!$K$5:$K$24,MATCH('Strategic Preparation'!Q5,'SWOT Assessment'!$A$5:$A$24,0)),0)&gt;=2,IFERROR(INDEX('SWOT Assessment'!$K$5:$K$24,MATCH('Strategic Preparation'!R5,'SWOT Assessment'!$A$5:$A$24,0)),0)&gt;=2),"Yes","Partly"))</f>
        <v/>
      </c>
      <c r="D5" s="110"/>
      <c r="E5" s="110"/>
      <c r="F5" s="110"/>
      <c r="G5" s="110"/>
      <c r="H5" s="110"/>
      <c r="I5" s="109" t="str">
        <f t="shared" ref="I5:I12" si="0">IF(B5="","",IF(COUNTIF(C5:H5,"No")&gt;0,"Hold / Resolve",IF(COUNTBLANK(D5:H5)&gt;0,"Not Ready",IF(COUNTIF(C5:H5,"Partly")&gt;0,"Develop","Ready"))))</f>
        <v/>
      </c>
      <c r="J5" s="109" t="str">
        <f>IF(B5="","",'Strategic Preparation'!O5)</f>
        <v/>
      </c>
    </row>
    <row r="6" spans="1:10" ht="17.25" customHeight="1">
      <c r="A6" s="108" t="str">
        <f>IF('Strategic Preparation'!E6="","",'Strategic Preparation'!A6)</f>
        <v/>
      </c>
      <c r="B6" s="108" t="str">
        <f>IF('Strategic Preparation'!E6="","",'Strategic Preparation'!E6)</f>
        <v/>
      </c>
      <c r="C6" s="109" t="str">
        <f>IF(B6="","",IF(AND(IFERROR(INDEX('SWOT Assessment'!$K$5:$K$24,MATCH('Strategic Preparation'!Q6,'SWOT Assessment'!$A$5:$A$24,0)),0)&gt;=2,IFERROR(INDEX('SWOT Assessment'!$K$5:$K$24,MATCH('Strategic Preparation'!R6,'SWOT Assessment'!$A$5:$A$24,0)),0)&gt;=2),"Yes","Partly"))</f>
        <v/>
      </c>
      <c r="D6" s="110"/>
      <c r="E6" s="110"/>
      <c r="F6" s="110"/>
      <c r="G6" s="110"/>
      <c r="H6" s="110"/>
      <c r="I6" s="109" t="str">
        <f t="shared" si="0"/>
        <v/>
      </c>
      <c r="J6" s="109" t="str">
        <f>IF(B6="","",'Strategic Preparation'!O6)</f>
        <v/>
      </c>
    </row>
    <row r="7" spans="1:10" ht="17.25" customHeight="1">
      <c r="A7" s="108" t="str">
        <f>IF('Strategic Preparation'!E7="","",'Strategic Preparation'!A7)</f>
        <v/>
      </c>
      <c r="B7" s="108" t="str">
        <f>IF('Strategic Preparation'!E7="","",'Strategic Preparation'!E7)</f>
        <v/>
      </c>
      <c r="C7" s="109" t="str">
        <f>IF(B7="","",IF(AND(IFERROR(INDEX('SWOT Assessment'!$K$5:$K$24,MATCH('Strategic Preparation'!Q7,'SWOT Assessment'!$A$5:$A$24,0)),0)&gt;=2,IFERROR(INDEX('SWOT Assessment'!$K$5:$K$24,MATCH('Strategic Preparation'!R7,'SWOT Assessment'!$A$5:$A$24,0)),0)&gt;=2),"Yes","Partly"))</f>
        <v/>
      </c>
      <c r="D7" s="110"/>
      <c r="E7" s="110"/>
      <c r="F7" s="110"/>
      <c r="G7" s="110"/>
      <c r="H7" s="110"/>
      <c r="I7" s="109" t="str">
        <f t="shared" si="0"/>
        <v/>
      </c>
      <c r="J7" s="109" t="str">
        <f>IF(B7="","",'Strategic Preparation'!O7)</f>
        <v/>
      </c>
    </row>
    <row r="8" spans="1:10" ht="17.25" customHeight="1">
      <c r="A8" s="108" t="str">
        <f>IF('Strategic Preparation'!E8="","",'Strategic Preparation'!A8)</f>
        <v/>
      </c>
      <c r="B8" s="108" t="str">
        <f>IF('Strategic Preparation'!E8="","",'Strategic Preparation'!E8)</f>
        <v/>
      </c>
      <c r="C8" s="109" t="str">
        <f>IF(B8="","",IF(AND(IFERROR(INDEX('SWOT Assessment'!$K$5:$K$24,MATCH('Strategic Preparation'!Q8,'SWOT Assessment'!$A$5:$A$24,0)),0)&gt;=2,IFERROR(INDEX('SWOT Assessment'!$K$5:$K$24,MATCH('Strategic Preparation'!R8,'SWOT Assessment'!$A$5:$A$24,0)),0)&gt;=2),"Yes","Partly"))</f>
        <v/>
      </c>
      <c r="D8" s="110"/>
      <c r="E8" s="110"/>
      <c r="F8" s="110"/>
      <c r="G8" s="110"/>
      <c r="H8" s="110"/>
      <c r="I8" s="109" t="str">
        <f t="shared" si="0"/>
        <v/>
      </c>
      <c r="J8" s="109" t="str">
        <f>IF(B8="","",'Strategic Preparation'!O8)</f>
        <v/>
      </c>
    </row>
    <row r="9" spans="1:10" ht="17.25" customHeight="1">
      <c r="A9" s="108" t="str">
        <f>IF('Strategic Preparation'!E9="","",'Strategic Preparation'!A9)</f>
        <v/>
      </c>
      <c r="B9" s="108" t="str">
        <f>IF('Strategic Preparation'!E9="","",'Strategic Preparation'!E9)</f>
        <v/>
      </c>
      <c r="C9" s="109" t="str">
        <f>IF(B9="","",IF(AND(IFERROR(INDEX('SWOT Assessment'!$K$5:$K$24,MATCH('Strategic Preparation'!Q9,'SWOT Assessment'!$A$5:$A$24,0)),0)&gt;=2,IFERROR(INDEX('SWOT Assessment'!$K$5:$K$24,MATCH('Strategic Preparation'!R9,'SWOT Assessment'!$A$5:$A$24,0)),0)&gt;=2),"Yes","Partly"))</f>
        <v/>
      </c>
      <c r="D9" s="110"/>
      <c r="E9" s="110"/>
      <c r="F9" s="110"/>
      <c r="G9" s="110"/>
      <c r="H9" s="110"/>
      <c r="I9" s="109" t="str">
        <f t="shared" si="0"/>
        <v/>
      </c>
      <c r="J9" s="109" t="str">
        <f>IF(B9="","",'Strategic Preparation'!O9)</f>
        <v/>
      </c>
    </row>
    <row r="10" spans="1:10" ht="17.25" customHeight="1">
      <c r="A10" s="108" t="str">
        <f>IF('Strategic Preparation'!E10="","",'Strategic Preparation'!A10)</f>
        <v/>
      </c>
      <c r="B10" s="108" t="str">
        <f>IF('Strategic Preparation'!E10="","",'Strategic Preparation'!E10)</f>
        <v/>
      </c>
      <c r="C10" s="109" t="str">
        <f>IF(B10="","",IF(AND(IFERROR(INDEX('SWOT Assessment'!$K$5:$K$24,MATCH('Strategic Preparation'!Q10,'SWOT Assessment'!$A$5:$A$24,0)),0)&gt;=2,IFERROR(INDEX('SWOT Assessment'!$K$5:$K$24,MATCH('Strategic Preparation'!R10,'SWOT Assessment'!$A$5:$A$24,0)),0)&gt;=2),"Yes","Partly"))</f>
        <v/>
      </c>
      <c r="D10" s="110"/>
      <c r="E10" s="110"/>
      <c r="F10" s="110"/>
      <c r="G10" s="110"/>
      <c r="H10" s="110"/>
      <c r="I10" s="109" t="str">
        <f t="shared" si="0"/>
        <v/>
      </c>
      <c r="J10" s="109" t="str">
        <f>IF(B10="","",'Strategic Preparation'!O10)</f>
        <v/>
      </c>
    </row>
    <row r="11" spans="1:10" ht="17.25" customHeight="1">
      <c r="A11" s="108" t="str">
        <f>IF('Strategic Preparation'!E11="","",'Strategic Preparation'!A11)</f>
        <v/>
      </c>
      <c r="B11" s="108" t="str">
        <f>IF('Strategic Preparation'!E11="","",'Strategic Preparation'!E11)</f>
        <v/>
      </c>
      <c r="C11" s="109" t="str">
        <f>IF(B11="","",IF(AND(IFERROR(INDEX('SWOT Assessment'!$K$5:$K$24,MATCH('Strategic Preparation'!Q11,'SWOT Assessment'!$A$5:$A$24,0)),0)&gt;=2,IFERROR(INDEX('SWOT Assessment'!$K$5:$K$24,MATCH('Strategic Preparation'!R11,'SWOT Assessment'!$A$5:$A$24,0)),0)&gt;=2),"Yes","Partly"))</f>
        <v/>
      </c>
      <c r="D11" s="110"/>
      <c r="E11" s="110"/>
      <c r="F11" s="110"/>
      <c r="G11" s="110"/>
      <c r="H11" s="110"/>
      <c r="I11" s="109" t="str">
        <f t="shared" si="0"/>
        <v/>
      </c>
      <c r="J11" s="109" t="str">
        <f>IF(B11="","",'Strategic Preparation'!O11)</f>
        <v/>
      </c>
    </row>
    <row r="12" spans="1:10" ht="17.25" customHeight="1">
      <c r="A12" s="108" t="str">
        <f>IF('Strategic Preparation'!E12="","",'Strategic Preparation'!A12)</f>
        <v/>
      </c>
      <c r="B12" s="108" t="str">
        <f>IF('Strategic Preparation'!E12="","",'Strategic Preparation'!E12)</f>
        <v/>
      </c>
      <c r="C12" s="109" t="str">
        <f>IF(B12="","",IF(AND(IFERROR(INDEX('SWOT Assessment'!$K$5:$K$24,MATCH('Strategic Preparation'!Q12,'SWOT Assessment'!$A$5:$A$24,0)),0)&gt;=2,IFERROR(INDEX('SWOT Assessment'!$K$5:$K$24,MATCH('Strategic Preparation'!R12,'SWOT Assessment'!$A$5:$A$24,0)),0)&gt;=2),"Yes","Partly"))</f>
        <v/>
      </c>
      <c r="D12" s="110"/>
      <c r="E12" s="110"/>
      <c r="F12" s="110"/>
      <c r="G12" s="110"/>
      <c r="H12" s="110"/>
      <c r="I12" s="109" t="str">
        <f t="shared" si="0"/>
        <v/>
      </c>
      <c r="J12" s="109" t="str">
        <f>IF(B12="","",'Strategic Preparation'!O12)</f>
        <v/>
      </c>
    </row>
    <row r="13" spans="1:10" ht="17.25" customHeight="1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>
      <c r="A14" s="31" t="s">
        <v>164</v>
      </c>
      <c r="B14" s="26"/>
      <c r="C14" s="26"/>
      <c r="D14" s="26"/>
      <c r="E14" s="26"/>
      <c r="F14" s="26"/>
      <c r="G14" s="26"/>
      <c r="H14" s="26"/>
      <c r="I14" s="26"/>
      <c r="J14" s="26"/>
    </row>
    <row r="15" spans="1:10">
      <c r="A15" s="26"/>
      <c r="B15" s="26"/>
      <c r="C15" s="26"/>
      <c r="D15" s="26"/>
      <c r="E15" s="26"/>
      <c r="F15" s="26"/>
      <c r="G15" s="26"/>
      <c r="H15" s="26"/>
      <c r="I15" s="26"/>
      <c r="J15" s="26"/>
    </row>
  </sheetData>
  <conditionalFormatting sqref="I5:I12">
    <cfRule type="expression" dxfId="2" priority="1">
      <formula>$I5="Ready"</formula>
    </cfRule>
    <cfRule type="expression" dxfId="1" priority="2">
      <formula>$I5="Develop"</formula>
    </cfRule>
    <cfRule type="expression" dxfId="0" priority="3">
      <formula>OR($I5="Not Ready",$I5="Hold / Resolve")</formula>
    </cfRule>
  </conditionalFormatting>
  <dataValidations count="1">
    <dataValidation type="list" sqref="D5:H12" xr:uid="{00000000-0002-0000-0400-000000000000}">
      <formula1>"Yes,Partly,No,Not applicable"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3"/>
  <sheetViews>
    <sheetView workbookViewId="0">
      <selection activeCell="C56" sqref="C56"/>
    </sheetView>
  </sheetViews>
  <sheetFormatPr defaultRowHeight="14.25"/>
  <cols>
    <col min="1" max="1" width="15.875" customWidth="1"/>
    <col min="2" max="2" width="14" customWidth="1"/>
    <col min="3" max="3" width="18" customWidth="1"/>
    <col min="4" max="4" width="44" customWidth="1"/>
    <col min="5" max="5" width="26" customWidth="1"/>
    <col min="6" max="7" width="14" customWidth="1"/>
    <col min="8" max="9" width="24" customWidth="1"/>
    <col min="10" max="10" width="20" customWidth="1"/>
  </cols>
  <sheetData>
    <row r="1" spans="1:10" ht="21.75">
      <c r="A1" s="32" t="s">
        <v>165</v>
      </c>
      <c r="B1" s="18"/>
      <c r="C1" s="18"/>
      <c r="D1" s="18"/>
      <c r="E1" s="18"/>
      <c r="F1" s="18"/>
      <c r="G1" s="18"/>
      <c r="H1" s="18"/>
      <c r="I1" s="18"/>
      <c r="J1" s="18"/>
    </row>
    <row r="2" spans="1:10">
      <c r="A2" s="28" t="s">
        <v>166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s="37" customFormat="1" ht="27" customHeight="1">
      <c r="A4" s="54" t="s">
        <v>0</v>
      </c>
      <c r="B4" s="55" t="str">
        <f>IF(HOME!B5="","",HOME!B5)</f>
        <v/>
      </c>
      <c r="C4" s="5"/>
      <c r="D4" s="54" t="s">
        <v>5</v>
      </c>
      <c r="E4" s="57">
        <f>COUNTIF('SWOT Assessment'!$H$5:$H$24,"Strength")</f>
        <v>0</v>
      </c>
      <c r="F4" s="5"/>
      <c r="G4" s="5"/>
      <c r="H4" s="5"/>
      <c r="I4" s="5"/>
      <c r="J4" s="5"/>
    </row>
    <row r="5" spans="1:10" s="37" customFormat="1" ht="27" customHeight="1">
      <c r="A5" s="54" t="s">
        <v>13</v>
      </c>
      <c r="B5" s="55" t="str">
        <f>IF(HOME!B13="","",HOME!B13)</f>
        <v>Community Sport Club</v>
      </c>
      <c r="C5" s="5"/>
      <c r="D5" s="54" t="s">
        <v>7</v>
      </c>
      <c r="E5" s="57">
        <f>COUNTIF('SWOT Assessment'!$H$5:$H$24,"Weakness")</f>
        <v>0</v>
      </c>
      <c r="F5" s="5"/>
      <c r="G5" s="5"/>
      <c r="H5" s="5"/>
      <c r="I5" s="5"/>
      <c r="J5" s="5"/>
    </row>
    <row r="6" spans="1:10" s="37" customFormat="1" ht="27" customHeight="1">
      <c r="A6" s="54" t="s">
        <v>16</v>
      </c>
      <c r="B6" s="55" t="str">
        <f>IF(HOME!B14="","",HOME!B14)</f>
        <v>Reactivation / Recovery</v>
      </c>
      <c r="C6" s="5"/>
      <c r="D6" s="54" t="s">
        <v>9</v>
      </c>
      <c r="E6" s="57">
        <f>COUNTIF('SWOT Assessment'!$H$5:$H$24,"Opportunity")</f>
        <v>0</v>
      </c>
      <c r="F6" s="5"/>
      <c r="G6" s="5"/>
      <c r="H6" s="5"/>
      <c r="I6" s="5"/>
      <c r="J6" s="5"/>
    </row>
    <row r="7" spans="1:10" s="37" customFormat="1" ht="27" customHeight="1">
      <c r="A7" s="54" t="s">
        <v>20</v>
      </c>
      <c r="B7" s="55" t="str">
        <f>IF(HOME!B15="","",HOME!B15)</f>
        <v>Strategic Preparation</v>
      </c>
      <c r="C7" s="5"/>
      <c r="D7" s="54" t="s">
        <v>11</v>
      </c>
      <c r="E7" s="57">
        <f>COUNTIF('SWOT Assessment'!$H$5:$H$24,"Threat")</f>
        <v>0</v>
      </c>
      <c r="F7" s="5"/>
      <c r="G7" s="5"/>
      <c r="H7" s="5"/>
      <c r="I7" s="5"/>
      <c r="J7" s="5"/>
    </row>
    <row r="8" spans="1:10" s="37" customFormat="1" ht="27" customHeight="1">
      <c r="A8" s="54" t="s">
        <v>1</v>
      </c>
      <c r="B8" s="56">
        <f>COUNTIF('SWOT Assessment'!$F$5:$F$24,"&lt;&gt;")</f>
        <v>0</v>
      </c>
      <c r="C8" s="5"/>
      <c r="D8" s="54" t="s">
        <v>167</v>
      </c>
      <c r="E8" s="57">
        <f>COUNTIF('Strategic Preparation'!$E$5:$E$12,"?*")</f>
        <v>0</v>
      </c>
      <c r="F8" s="5"/>
      <c r="G8" s="5"/>
      <c r="H8" s="5"/>
      <c r="I8" s="5"/>
      <c r="J8" s="5"/>
    </row>
    <row r="9" spans="1:10" s="37" customFormat="1" ht="27" customHeight="1">
      <c r="A9" s="54" t="s">
        <v>3</v>
      </c>
      <c r="B9" s="56">
        <f>COUNTIF('SWOT Assessment'!$H$5:$H$24,"Strength")+COUNTIF('SWOT Assessment'!$H$5:$H$24,"Weakness")+COUNTIF('SWOT Assessment'!$H$5:$H$24,"Opportunity")+COUNTIF('SWOT Assessment'!$H$5:$H$24,"Threat")</f>
        <v>0</v>
      </c>
      <c r="C9" s="5"/>
      <c r="D9" s="54" t="s">
        <v>168</v>
      </c>
      <c r="E9" s="57">
        <f>COUNTIF('Gate Review'!$I$5:$I$12,"Ready")</f>
        <v>0</v>
      </c>
      <c r="F9" s="5"/>
      <c r="G9" s="5"/>
      <c r="H9" s="5"/>
      <c r="I9" s="5"/>
      <c r="J9" s="5"/>
    </row>
    <row r="10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19.5" customHeight="1">
      <c r="A11" s="52" t="s">
        <v>169</v>
      </c>
      <c r="B11" s="22"/>
      <c r="C11" s="22"/>
      <c r="D11" s="22"/>
      <c r="E11" s="22"/>
      <c r="F11" s="22"/>
      <c r="G11" s="22"/>
      <c r="H11" s="22"/>
      <c r="I11" s="22"/>
      <c r="J11" s="22"/>
    </row>
    <row r="12" spans="1:10" ht="18" customHeight="1">
      <c r="A12" s="58" t="str">
        <f>IF(SUM(E4:E7)=0,"Enter and classify SWOT factors to generate the strategic situation.","The current SWOT contains "&amp;E4&amp;" strength(s), "&amp;E5&amp;" weakness(es), "&amp;E6&amp;" opportunity/ies and "&amp;E7&amp;" threat(s). "&amp;IF('SWOT Matrix'!H13&lt;&gt;"","The leading weakness is: "&amp;'SWOT Matrix'!H13&amp;". ","")&amp;IF('SWOT Matrix'!H22&lt;&gt;"","The leading threat is: "&amp;'SWOT Matrix'!H22&amp;". ","")&amp;IF('SWOT Matrix'!C13&lt;&gt;"","The strongest internal leverage point is: "&amp;'SWOT Matrix'!C13&amp;". ","")&amp;IF('SWOT Matrix'!C22&lt;&gt;"","The leading external opportunity is: "&amp;'SWOT Matrix'!C22&amp;".",""))</f>
        <v>Enter and classify SWOT factors to generate the strategic situation.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>
      <c r="A13" s="21"/>
      <c r="B13" s="21"/>
      <c r="C13" s="21"/>
      <c r="D13" s="21"/>
      <c r="E13" s="21"/>
      <c r="F13" s="21"/>
      <c r="G13" s="21"/>
      <c r="H13" s="21"/>
      <c r="I13" s="21"/>
      <c r="J13" s="21"/>
    </row>
    <row r="14" spans="1:10">
      <c r="A14" s="21"/>
      <c r="B14" s="21"/>
      <c r="C14" s="21"/>
      <c r="D14" s="21"/>
      <c r="E14" s="21"/>
      <c r="F14" s="21"/>
      <c r="G14" s="21"/>
      <c r="H14" s="21"/>
      <c r="I14" s="21"/>
      <c r="J14" s="21"/>
    </row>
    <row r="15" spans="1:10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s="46" customFormat="1" ht="24.75" customHeight="1">
      <c r="A16" s="74" t="s">
        <v>170</v>
      </c>
      <c r="B16" s="75"/>
      <c r="C16" s="75"/>
      <c r="D16" s="75"/>
      <c r="E16" s="75"/>
      <c r="F16" s="75"/>
      <c r="G16" s="75"/>
      <c r="H16" s="75"/>
      <c r="I16" s="75"/>
      <c r="J16" s="76"/>
    </row>
    <row r="17" spans="1:10" ht="18.75" customHeight="1">
      <c r="A17" s="60" t="s">
        <v>5</v>
      </c>
      <c r="B17" s="61" t="s">
        <v>75</v>
      </c>
      <c r="C17" s="61" t="s">
        <v>171</v>
      </c>
      <c r="D17" s="61" t="s">
        <v>101</v>
      </c>
      <c r="E17" s="61" t="s">
        <v>103</v>
      </c>
      <c r="F17" s="61" t="s">
        <v>7</v>
      </c>
      <c r="G17" s="61" t="s">
        <v>75</v>
      </c>
      <c r="H17" s="61" t="s">
        <v>171</v>
      </c>
      <c r="I17" s="61" t="s">
        <v>101</v>
      </c>
      <c r="J17" s="62" t="s">
        <v>103</v>
      </c>
    </row>
    <row r="18" spans="1:10" ht="18.75" customHeight="1">
      <c r="A18" s="63" t="s">
        <v>172</v>
      </c>
      <c r="B18" s="64" t="str">
        <f>IF('SWOT Matrix'!B13="","",'SWOT Matrix'!B13)</f>
        <v/>
      </c>
      <c r="C18" s="64" t="str">
        <f>IF(B18="","",'SWOT Matrix'!D13)</f>
        <v/>
      </c>
      <c r="D18" s="64" t="str">
        <f>'SWOT Matrix'!C13</f>
        <v/>
      </c>
      <c r="E18" s="64" t="str">
        <f>IF(B18="","",'SWOT Matrix'!E13)</f>
        <v/>
      </c>
      <c r="F18" s="65" t="s">
        <v>172</v>
      </c>
      <c r="G18" s="64" t="str">
        <f>IF('SWOT Matrix'!G13="","",'SWOT Matrix'!G13)</f>
        <v/>
      </c>
      <c r="H18" s="64" t="str">
        <f>IF(G18="","",'SWOT Matrix'!I13)</f>
        <v/>
      </c>
      <c r="I18" s="64" t="str">
        <f>'SWOT Matrix'!H13</f>
        <v/>
      </c>
      <c r="J18" s="66" t="str">
        <f>IF(G18="","",'SWOT Matrix'!J13)</f>
        <v/>
      </c>
    </row>
    <row r="19" spans="1:10" ht="18.75" customHeight="1">
      <c r="A19" s="63" t="s">
        <v>173</v>
      </c>
      <c r="B19" s="64" t="str">
        <f>IF('SWOT Matrix'!B14="","",'SWOT Matrix'!B14)</f>
        <v/>
      </c>
      <c r="C19" s="64" t="str">
        <f>IF(B19="","",'SWOT Matrix'!D14)</f>
        <v/>
      </c>
      <c r="D19" s="64" t="str">
        <f>'SWOT Matrix'!C14</f>
        <v/>
      </c>
      <c r="E19" s="64" t="str">
        <f>IF(B19="","",'SWOT Matrix'!E14)</f>
        <v/>
      </c>
      <c r="F19" s="65" t="s">
        <v>173</v>
      </c>
      <c r="G19" s="64" t="str">
        <f>IF('SWOT Matrix'!G14="","",'SWOT Matrix'!G14)</f>
        <v/>
      </c>
      <c r="H19" s="64" t="str">
        <f>IF(G19="","",'SWOT Matrix'!I14)</f>
        <v/>
      </c>
      <c r="I19" s="64" t="str">
        <f>'SWOT Matrix'!H14</f>
        <v/>
      </c>
      <c r="J19" s="66" t="str">
        <f>IF(G19="","",'SWOT Matrix'!J14)</f>
        <v/>
      </c>
    </row>
    <row r="20" spans="1:10" ht="18.75" customHeight="1">
      <c r="A20" s="63" t="s">
        <v>174</v>
      </c>
      <c r="B20" s="64" t="str">
        <f>IF('SWOT Matrix'!B15="","",'SWOT Matrix'!B15)</f>
        <v/>
      </c>
      <c r="C20" s="64" t="str">
        <f>IF(B20="","",'SWOT Matrix'!D15)</f>
        <v/>
      </c>
      <c r="D20" s="64" t="str">
        <f>'SWOT Matrix'!C15</f>
        <v/>
      </c>
      <c r="E20" s="64" t="str">
        <f>IF(B20="","",'SWOT Matrix'!E15)</f>
        <v/>
      </c>
      <c r="F20" s="65" t="s">
        <v>174</v>
      </c>
      <c r="G20" s="64" t="str">
        <f>IF('SWOT Matrix'!G15="","",'SWOT Matrix'!G15)</f>
        <v/>
      </c>
      <c r="H20" s="64" t="str">
        <f>IF(G20="","",'SWOT Matrix'!I15)</f>
        <v/>
      </c>
      <c r="I20" s="64" t="str">
        <f>'SWOT Matrix'!H15</f>
        <v/>
      </c>
      <c r="J20" s="66" t="str">
        <f>IF(G20="","",'SWOT Matrix'!J15)</f>
        <v/>
      </c>
    </row>
    <row r="21" spans="1:10" ht="18.75" customHeight="1">
      <c r="A21" s="67"/>
      <c r="B21" s="64"/>
      <c r="C21" s="64"/>
      <c r="D21" s="64"/>
      <c r="E21" s="64"/>
      <c r="F21" s="64"/>
      <c r="G21" s="64"/>
      <c r="H21" s="64"/>
      <c r="I21" s="64"/>
      <c r="J21" s="66"/>
    </row>
    <row r="22" spans="1:10" ht="18.75" customHeight="1">
      <c r="A22" s="67"/>
      <c r="B22" s="64"/>
      <c r="C22" s="64"/>
      <c r="D22" s="64"/>
      <c r="E22" s="64"/>
      <c r="F22" s="64"/>
      <c r="G22" s="64"/>
      <c r="H22" s="64"/>
      <c r="I22" s="64"/>
      <c r="J22" s="66"/>
    </row>
    <row r="23" spans="1:10" ht="18.75" customHeight="1">
      <c r="A23" s="60" t="s">
        <v>9</v>
      </c>
      <c r="B23" s="61" t="s">
        <v>75</v>
      </c>
      <c r="C23" s="61" t="s">
        <v>171</v>
      </c>
      <c r="D23" s="61" t="s">
        <v>101</v>
      </c>
      <c r="E23" s="61" t="s">
        <v>103</v>
      </c>
      <c r="F23" s="61" t="s">
        <v>11</v>
      </c>
      <c r="G23" s="61" t="s">
        <v>75</v>
      </c>
      <c r="H23" s="61" t="s">
        <v>171</v>
      </c>
      <c r="I23" s="61" t="s">
        <v>101</v>
      </c>
      <c r="J23" s="62" t="s">
        <v>103</v>
      </c>
    </row>
    <row r="24" spans="1:10" ht="18.75" customHeight="1">
      <c r="A24" s="63" t="s">
        <v>172</v>
      </c>
      <c r="B24" s="64" t="str">
        <f>IF('SWOT Matrix'!B22="","",'SWOT Matrix'!B22)</f>
        <v/>
      </c>
      <c r="C24" s="64" t="str">
        <f>IF(B24="","",'SWOT Matrix'!D22)</f>
        <v/>
      </c>
      <c r="D24" s="64" t="str">
        <f>'SWOT Matrix'!C22</f>
        <v/>
      </c>
      <c r="E24" s="64" t="str">
        <f>IF(B24="","",'SWOT Matrix'!E22)</f>
        <v/>
      </c>
      <c r="F24" s="65" t="s">
        <v>172</v>
      </c>
      <c r="G24" s="64" t="str">
        <f>IF('SWOT Matrix'!G22="","",'SWOT Matrix'!G22)</f>
        <v/>
      </c>
      <c r="H24" s="64" t="str">
        <f>IF(G24="","",'SWOT Matrix'!I22)</f>
        <v/>
      </c>
      <c r="I24" s="64" t="str">
        <f>'SWOT Matrix'!H22</f>
        <v/>
      </c>
      <c r="J24" s="66" t="str">
        <f>IF(G24="","",'SWOT Matrix'!J22)</f>
        <v/>
      </c>
    </row>
    <row r="25" spans="1:10" ht="18.75" customHeight="1">
      <c r="A25" s="63" t="s">
        <v>173</v>
      </c>
      <c r="B25" s="64" t="str">
        <f>IF('SWOT Matrix'!B23="","",'SWOT Matrix'!B23)</f>
        <v/>
      </c>
      <c r="C25" s="64" t="str">
        <f>IF(B25="","",'SWOT Matrix'!D23)</f>
        <v/>
      </c>
      <c r="D25" s="64" t="str">
        <f>'SWOT Matrix'!C23</f>
        <v/>
      </c>
      <c r="E25" s="64" t="str">
        <f>IF(B25="","",'SWOT Matrix'!E23)</f>
        <v/>
      </c>
      <c r="F25" s="65" t="s">
        <v>173</v>
      </c>
      <c r="G25" s="64" t="str">
        <f>IF('SWOT Matrix'!G23="","",'SWOT Matrix'!G23)</f>
        <v/>
      </c>
      <c r="H25" s="64" t="str">
        <f>IF(G25="","",'SWOT Matrix'!I23)</f>
        <v/>
      </c>
      <c r="I25" s="64" t="str">
        <f>'SWOT Matrix'!H23</f>
        <v/>
      </c>
      <c r="J25" s="66" t="str">
        <f>IF(G25="","",'SWOT Matrix'!J23)</f>
        <v/>
      </c>
    </row>
    <row r="26" spans="1:10" ht="18.75" customHeight="1">
      <c r="A26" s="63" t="s">
        <v>174</v>
      </c>
      <c r="B26" s="64" t="str">
        <f>IF('SWOT Matrix'!B24="","",'SWOT Matrix'!B24)</f>
        <v/>
      </c>
      <c r="C26" s="64" t="str">
        <f>IF(B26="","",'SWOT Matrix'!D24)</f>
        <v/>
      </c>
      <c r="D26" s="64" t="str">
        <f>'SWOT Matrix'!C24</f>
        <v/>
      </c>
      <c r="E26" s="64" t="str">
        <f>IF(B26="","",'SWOT Matrix'!E24)</f>
        <v/>
      </c>
      <c r="F26" s="65" t="s">
        <v>174</v>
      </c>
      <c r="G26" s="64" t="str">
        <f>IF('SWOT Matrix'!G24="","",'SWOT Matrix'!G24)</f>
        <v/>
      </c>
      <c r="H26" s="64" t="str">
        <f>IF(G26="","",'SWOT Matrix'!I24)</f>
        <v/>
      </c>
      <c r="I26" s="64" t="str">
        <f>'SWOT Matrix'!H24</f>
        <v/>
      </c>
      <c r="J26" s="66" t="str">
        <f>IF(G26="","",'SWOT Matrix'!J24)</f>
        <v/>
      </c>
    </row>
    <row r="27" spans="1:10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24" customHeight="1">
      <c r="A29" s="52" t="s">
        <v>175</v>
      </c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25.5">
      <c r="A30" s="77" t="s">
        <v>100</v>
      </c>
      <c r="B30" s="69" t="s">
        <v>125</v>
      </c>
      <c r="C30" s="69" t="s">
        <v>156</v>
      </c>
      <c r="D30" s="69" t="s">
        <v>126</v>
      </c>
      <c r="E30" s="69" t="s">
        <v>130</v>
      </c>
      <c r="F30" s="69" t="s">
        <v>103</v>
      </c>
      <c r="G30" s="69" t="s">
        <v>176</v>
      </c>
      <c r="H30" s="69" t="s">
        <v>177</v>
      </c>
      <c r="I30" s="69" t="s">
        <v>178</v>
      </c>
      <c r="J30" s="70" t="s">
        <v>138</v>
      </c>
    </row>
    <row r="31" spans="1:10">
      <c r="A31" s="63">
        <v>1</v>
      </c>
      <c r="B31" s="72" t="str">
        <f>IFERROR(INDEX('Strategic Preparation'!$A$5:$A$12,MATCH(A31,'Strategic Preparation'!$S$5:$S$12,0)),"")</f>
        <v/>
      </c>
      <c r="C31" s="72" t="str">
        <f>IF(B31="","",INDEX('Strategic Preparation'!$E$5:$E$12,MATCH(A31,'Strategic Preparation'!$S$5:$S$12,0)))</f>
        <v/>
      </c>
      <c r="D31" s="72" t="str">
        <f>IF(B31="","",INDEX('Strategic Preparation'!$B$5:$B$12,MATCH(A31,'Strategic Preparation'!$S$5:$S$12,0)))</f>
        <v/>
      </c>
      <c r="E31" s="72" t="str">
        <f>IF(B31="","",INDEX('Strategic Preparation'!$F$5:$F$12,MATCH(A31,'Strategic Preparation'!$S$5:$S$12,0)))</f>
        <v/>
      </c>
      <c r="F31" s="72" t="str">
        <f>IF(B31="","",INDEX('Strategic Preparation'!$L$5:$L$12,MATCH(A31,'Strategic Preparation'!$S$5:$S$12,0)))</f>
        <v/>
      </c>
      <c r="G31" s="72" t="str">
        <f>IF(B31="","",INDEX('Strategic Preparation'!$J$5:$J$12,MATCH(A31,'Strategic Preparation'!$S$5:$S$12,0)))</f>
        <v/>
      </c>
      <c r="H31" s="72" t="str">
        <f>IF(B31="","",INDEX('Strategic Preparation'!$M$5:$M$12,MATCH(A31,'Strategic Preparation'!$S$5:$S$12,0)))</f>
        <v/>
      </c>
      <c r="I31" s="72" t="str">
        <f>IF(B31="","",INDEX('Strategic Preparation'!$N$5:$N$12,MATCH(A31,'Strategic Preparation'!$S$5:$S$12,0)))</f>
        <v/>
      </c>
      <c r="J31" s="73" t="str">
        <f>IF(B31="","",INDEX('Strategic Preparation'!$O$5:$O$12,MATCH(A31,'Strategic Preparation'!$S$5:$S$12,0)))</f>
        <v/>
      </c>
    </row>
    <row r="32" spans="1:10">
      <c r="A32" s="63">
        <v>2</v>
      </c>
      <c r="B32" s="72" t="str">
        <f>IFERROR(INDEX('Strategic Preparation'!$A$5:$A$12,MATCH(A32,'Strategic Preparation'!$S$5:$S$12,0)),"")</f>
        <v/>
      </c>
      <c r="C32" s="72" t="str">
        <f>IF(B32="","",INDEX('Strategic Preparation'!$E$5:$E$12,MATCH(A32,'Strategic Preparation'!$S$5:$S$12,0)))</f>
        <v/>
      </c>
      <c r="D32" s="72" t="str">
        <f>IF(B32="","",INDEX('Strategic Preparation'!$B$5:$B$12,MATCH(A32,'Strategic Preparation'!$S$5:$S$12,0)))</f>
        <v/>
      </c>
      <c r="E32" s="72" t="str">
        <f>IF(B32="","",INDEX('Strategic Preparation'!$F$5:$F$12,MATCH(A32,'Strategic Preparation'!$S$5:$S$12,0)))</f>
        <v/>
      </c>
      <c r="F32" s="72" t="str">
        <f>IF(B32="","",INDEX('Strategic Preparation'!$L$5:$L$12,MATCH(A32,'Strategic Preparation'!$S$5:$S$12,0)))</f>
        <v/>
      </c>
      <c r="G32" s="72" t="str">
        <f>IF(B32="","",INDEX('Strategic Preparation'!$J$5:$J$12,MATCH(A32,'Strategic Preparation'!$S$5:$S$12,0)))</f>
        <v/>
      </c>
      <c r="H32" s="72" t="str">
        <f>IF(B32="","",INDEX('Strategic Preparation'!$M$5:$M$12,MATCH(A32,'Strategic Preparation'!$S$5:$S$12,0)))</f>
        <v/>
      </c>
      <c r="I32" s="72" t="str">
        <f>IF(B32="","",INDEX('Strategic Preparation'!$N$5:$N$12,MATCH(A32,'Strategic Preparation'!$S$5:$S$12,0)))</f>
        <v/>
      </c>
      <c r="J32" s="73" t="str">
        <f>IF(B32="","",INDEX('Strategic Preparation'!$O$5:$O$12,MATCH(A32,'Strategic Preparation'!$S$5:$S$12,0)))</f>
        <v/>
      </c>
    </row>
    <row r="33" spans="1:10">
      <c r="A33" s="63">
        <v>3</v>
      </c>
      <c r="B33" s="72" t="str">
        <f>IFERROR(INDEX('Strategic Preparation'!$A$5:$A$12,MATCH(A33,'Strategic Preparation'!$S$5:$S$12,0)),"")</f>
        <v/>
      </c>
      <c r="C33" s="72" t="str">
        <f>IF(B33="","",INDEX('Strategic Preparation'!$E$5:$E$12,MATCH(A33,'Strategic Preparation'!$S$5:$S$12,0)))</f>
        <v/>
      </c>
      <c r="D33" s="72" t="str">
        <f>IF(B33="","",INDEX('Strategic Preparation'!$B$5:$B$12,MATCH(A33,'Strategic Preparation'!$S$5:$S$12,0)))</f>
        <v/>
      </c>
      <c r="E33" s="72" t="str">
        <f>IF(B33="","",INDEX('Strategic Preparation'!$F$5:$F$12,MATCH(A33,'Strategic Preparation'!$S$5:$S$12,0)))</f>
        <v/>
      </c>
      <c r="F33" s="72" t="str">
        <f>IF(B33="","",INDEX('Strategic Preparation'!$L$5:$L$12,MATCH(A33,'Strategic Preparation'!$S$5:$S$12,0)))</f>
        <v/>
      </c>
      <c r="G33" s="72" t="str">
        <f>IF(B33="","",INDEX('Strategic Preparation'!$J$5:$J$12,MATCH(A33,'Strategic Preparation'!$S$5:$S$12,0)))</f>
        <v/>
      </c>
      <c r="H33" s="72" t="str">
        <f>IF(B33="","",INDEX('Strategic Preparation'!$M$5:$M$12,MATCH(A33,'Strategic Preparation'!$S$5:$S$12,0)))</f>
        <v/>
      </c>
      <c r="I33" s="72" t="str">
        <f>IF(B33="","",INDEX('Strategic Preparation'!$N$5:$N$12,MATCH(A33,'Strategic Preparation'!$S$5:$S$12,0)))</f>
        <v/>
      </c>
      <c r="J33" s="73" t="str">
        <f>IF(B33="","",INDEX('Strategic Preparation'!$O$5:$O$12,MATCH(A33,'Strategic Preparation'!$S$5:$S$12,0)))</f>
        <v/>
      </c>
    </row>
    <row r="34" spans="1:10">
      <c r="A34" s="63">
        <v>4</v>
      </c>
      <c r="B34" s="72" t="str">
        <f>IFERROR(INDEX('Strategic Preparation'!$A$5:$A$12,MATCH(A34,'Strategic Preparation'!$S$5:$S$12,0)),"")</f>
        <v/>
      </c>
      <c r="C34" s="72" t="str">
        <f>IF(B34="","",INDEX('Strategic Preparation'!$E$5:$E$12,MATCH(A34,'Strategic Preparation'!$S$5:$S$12,0)))</f>
        <v/>
      </c>
      <c r="D34" s="72" t="str">
        <f>IF(B34="","",INDEX('Strategic Preparation'!$B$5:$B$12,MATCH(A34,'Strategic Preparation'!$S$5:$S$12,0)))</f>
        <v/>
      </c>
      <c r="E34" s="72" t="str">
        <f>IF(B34="","",INDEX('Strategic Preparation'!$F$5:$F$12,MATCH(A34,'Strategic Preparation'!$S$5:$S$12,0)))</f>
        <v/>
      </c>
      <c r="F34" s="72" t="str">
        <f>IF(B34="","",INDEX('Strategic Preparation'!$L$5:$L$12,MATCH(A34,'Strategic Preparation'!$S$5:$S$12,0)))</f>
        <v/>
      </c>
      <c r="G34" s="72" t="str">
        <f>IF(B34="","",INDEX('Strategic Preparation'!$J$5:$J$12,MATCH(A34,'Strategic Preparation'!$S$5:$S$12,0)))</f>
        <v/>
      </c>
      <c r="H34" s="72" t="str">
        <f>IF(B34="","",INDEX('Strategic Preparation'!$M$5:$M$12,MATCH(A34,'Strategic Preparation'!$S$5:$S$12,0)))</f>
        <v/>
      </c>
      <c r="I34" s="72" t="str">
        <f>IF(B34="","",INDEX('Strategic Preparation'!$N$5:$N$12,MATCH(A34,'Strategic Preparation'!$S$5:$S$12,0)))</f>
        <v/>
      </c>
      <c r="J34" s="73" t="str">
        <f>IF(B34="","",INDEX('Strategic Preparation'!$O$5:$O$12,MATCH(A34,'Strategic Preparation'!$S$5:$S$12,0)))</f>
        <v/>
      </c>
    </row>
    <row r="35" spans="1:10">
      <c r="A35" s="63">
        <v>5</v>
      </c>
      <c r="B35" s="72" t="str">
        <f>IFERROR(INDEX('Strategic Preparation'!$A$5:$A$12,MATCH(A35,'Strategic Preparation'!$S$5:$S$12,0)),"")</f>
        <v/>
      </c>
      <c r="C35" s="72" t="str">
        <f>IF(B35="","",INDEX('Strategic Preparation'!$E$5:$E$12,MATCH(A35,'Strategic Preparation'!$S$5:$S$12,0)))</f>
        <v/>
      </c>
      <c r="D35" s="72" t="str">
        <f>IF(B35="","",INDEX('Strategic Preparation'!$B$5:$B$12,MATCH(A35,'Strategic Preparation'!$S$5:$S$12,0)))</f>
        <v/>
      </c>
      <c r="E35" s="72" t="str">
        <f>IF(B35="","",INDEX('Strategic Preparation'!$F$5:$F$12,MATCH(A35,'Strategic Preparation'!$S$5:$S$12,0)))</f>
        <v/>
      </c>
      <c r="F35" s="72" t="str">
        <f>IF(B35="","",INDEX('Strategic Preparation'!$L$5:$L$12,MATCH(A35,'Strategic Preparation'!$S$5:$S$12,0)))</f>
        <v/>
      </c>
      <c r="G35" s="72" t="str">
        <f>IF(B35="","",INDEX('Strategic Preparation'!$J$5:$J$12,MATCH(A35,'Strategic Preparation'!$S$5:$S$12,0)))</f>
        <v/>
      </c>
      <c r="H35" s="72" t="str">
        <f>IF(B35="","",INDEX('Strategic Preparation'!$M$5:$M$12,MATCH(A35,'Strategic Preparation'!$S$5:$S$12,0)))</f>
        <v/>
      </c>
      <c r="I35" s="72" t="str">
        <f>IF(B35="","",INDEX('Strategic Preparation'!$N$5:$N$12,MATCH(A35,'Strategic Preparation'!$S$5:$S$12,0)))</f>
        <v/>
      </c>
      <c r="J35" s="73" t="str">
        <f>IF(B35="","",INDEX('Strategic Preparation'!$O$5:$O$12,MATCH(A35,'Strategic Preparation'!$S$5:$S$12,0)))</f>
        <v/>
      </c>
    </row>
    <row r="36" spans="1:10">
      <c r="A36" s="63">
        <v>6</v>
      </c>
      <c r="B36" s="72" t="str">
        <f>IFERROR(INDEX('Strategic Preparation'!$A$5:$A$12,MATCH(A36,'Strategic Preparation'!$S$5:$S$12,0)),"")</f>
        <v/>
      </c>
      <c r="C36" s="72" t="str">
        <f>IF(B36="","",INDEX('Strategic Preparation'!$E$5:$E$12,MATCH(A36,'Strategic Preparation'!$S$5:$S$12,0)))</f>
        <v/>
      </c>
      <c r="D36" s="72" t="str">
        <f>IF(B36="","",INDEX('Strategic Preparation'!$B$5:$B$12,MATCH(A36,'Strategic Preparation'!$S$5:$S$12,0)))</f>
        <v/>
      </c>
      <c r="E36" s="72" t="str">
        <f>IF(B36="","",INDEX('Strategic Preparation'!$F$5:$F$12,MATCH(A36,'Strategic Preparation'!$S$5:$S$12,0)))</f>
        <v/>
      </c>
      <c r="F36" s="72" t="str">
        <f>IF(B36="","",INDEX('Strategic Preparation'!$L$5:$L$12,MATCH(A36,'Strategic Preparation'!$S$5:$S$12,0)))</f>
        <v/>
      </c>
      <c r="G36" s="72" t="str">
        <f>IF(B36="","",INDEX('Strategic Preparation'!$J$5:$J$12,MATCH(A36,'Strategic Preparation'!$S$5:$S$12,0)))</f>
        <v/>
      </c>
      <c r="H36" s="72" t="str">
        <f>IF(B36="","",INDEX('Strategic Preparation'!$M$5:$M$12,MATCH(A36,'Strategic Preparation'!$S$5:$S$12,0)))</f>
        <v/>
      </c>
      <c r="I36" s="72" t="str">
        <f>IF(B36="","",INDEX('Strategic Preparation'!$N$5:$N$12,MATCH(A36,'Strategic Preparation'!$S$5:$S$12,0)))</f>
        <v/>
      </c>
      <c r="J36" s="73" t="str">
        <f>IF(B36="","",INDEX('Strategic Preparation'!$O$5:$O$12,MATCH(A36,'Strategic Preparation'!$S$5:$S$12,0)))</f>
        <v/>
      </c>
    </row>
    <row r="37" spans="1:10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23.25" customHeight="1">
      <c r="A39" s="52" t="s">
        <v>179</v>
      </c>
      <c r="B39" s="22"/>
      <c r="C39" s="22"/>
      <c r="D39" s="22"/>
      <c r="E39" s="22"/>
      <c r="F39" s="22"/>
      <c r="G39" s="22"/>
      <c r="H39" s="22"/>
      <c r="I39" s="22"/>
      <c r="J39" s="22"/>
    </row>
    <row r="40" spans="1:10" ht="25.5">
      <c r="A40" s="68" t="s">
        <v>125</v>
      </c>
      <c r="B40" s="69" t="s">
        <v>180</v>
      </c>
      <c r="C40" s="69" t="s">
        <v>181</v>
      </c>
      <c r="D40" s="69" t="s">
        <v>182</v>
      </c>
      <c r="E40" s="69" t="s">
        <v>183</v>
      </c>
      <c r="F40" s="69" t="s">
        <v>184</v>
      </c>
      <c r="G40" s="69" t="s">
        <v>185</v>
      </c>
      <c r="H40" s="69" t="s">
        <v>186</v>
      </c>
      <c r="I40" s="69" t="s">
        <v>187</v>
      </c>
      <c r="J40" s="70" t="s">
        <v>138</v>
      </c>
    </row>
    <row r="41" spans="1:10">
      <c r="A41" s="71" t="str">
        <f>'Gate Review'!A5</f>
        <v/>
      </c>
      <c r="B41" s="72" t="str">
        <f>IF(A41="","",'Gate Review'!B5)</f>
        <v/>
      </c>
      <c r="C41" s="72" t="str">
        <f>IF(A41="","",'Gate Review'!C5)</f>
        <v/>
      </c>
      <c r="D41" s="72" t="str">
        <f>IF(A41="","",'Gate Review'!D5)</f>
        <v/>
      </c>
      <c r="E41" s="72" t="str">
        <f>IF(A41="","",'Gate Review'!E5)</f>
        <v/>
      </c>
      <c r="F41" s="72" t="str">
        <f>IF(A41="","",'Gate Review'!F5)</f>
        <v/>
      </c>
      <c r="G41" s="72" t="str">
        <f>IF(A41="","",'Gate Review'!G5)</f>
        <v/>
      </c>
      <c r="H41" s="72" t="str">
        <f>IF(A41="","",'Gate Review'!H5)</f>
        <v/>
      </c>
      <c r="I41" s="72" t="str">
        <f>IF(A41="","",'Gate Review'!I5)</f>
        <v/>
      </c>
      <c r="J41" s="73" t="str">
        <f>IF(A41="","",'Gate Review'!J5)</f>
        <v/>
      </c>
    </row>
    <row r="42" spans="1:10">
      <c r="A42" s="71" t="str">
        <f>'Gate Review'!A6</f>
        <v/>
      </c>
      <c r="B42" s="72" t="str">
        <f>IF(A42="","",'Gate Review'!B6)</f>
        <v/>
      </c>
      <c r="C42" s="72" t="str">
        <f>IF(A42="","",'Gate Review'!C6)</f>
        <v/>
      </c>
      <c r="D42" s="72" t="str">
        <f>IF(A42="","",'Gate Review'!D6)</f>
        <v/>
      </c>
      <c r="E42" s="72" t="str">
        <f>IF(A42="","",'Gate Review'!E6)</f>
        <v/>
      </c>
      <c r="F42" s="72" t="str">
        <f>IF(A42="","",'Gate Review'!F6)</f>
        <v/>
      </c>
      <c r="G42" s="72" t="str">
        <f>IF(A42="","",'Gate Review'!G6)</f>
        <v/>
      </c>
      <c r="H42" s="72" t="str">
        <f>IF(A42="","",'Gate Review'!H6)</f>
        <v/>
      </c>
      <c r="I42" s="72" t="str">
        <f>IF(A42="","",'Gate Review'!I6)</f>
        <v/>
      </c>
      <c r="J42" s="73" t="str">
        <f>IF(A42="","",'Gate Review'!J6)</f>
        <v/>
      </c>
    </row>
    <row r="43" spans="1:10">
      <c r="A43" s="71" t="str">
        <f>'Gate Review'!A7</f>
        <v/>
      </c>
      <c r="B43" s="72" t="str">
        <f>IF(A43="","",'Gate Review'!B7)</f>
        <v/>
      </c>
      <c r="C43" s="72" t="str">
        <f>IF(A43="","",'Gate Review'!C7)</f>
        <v/>
      </c>
      <c r="D43" s="72" t="str">
        <f>IF(A43="","",'Gate Review'!D7)</f>
        <v/>
      </c>
      <c r="E43" s="72" t="str">
        <f>IF(A43="","",'Gate Review'!E7)</f>
        <v/>
      </c>
      <c r="F43" s="72" t="str">
        <f>IF(A43="","",'Gate Review'!F7)</f>
        <v/>
      </c>
      <c r="G43" s="72" t="str">
        <f>IF(A43="","",'Gate Review'!G7)</f>
        <v/>
      </c>
      <c r="H43" s="72" t="str">
        <f>IF(A43="","",'Gate Review'!H7)</f>
        <v/>
      </c>
      <c r="I43" s="72" t="str">
        <f>IF(A43="","",'Gate Review'!I7)</f>
        <v/>
      </c>
      <c r="J43" s="73" t="str">
        <f>IF(A43="","",'Gate Review'!J7)</f>
        <v/>
      </c>
    </row>
    <row r="44" spans="1:10">
      <c r="A44" s="71" t="str">
        <f>'Gate Review'!A8</f>
        <v/>
      </c>
      <c r="B44" s="72" t="str">
        <f>IF(A44="","",'Gate Review'!B8)</f>
        <v/>
      </c>
      <c r="C44" s="72" t="str">
        <f>IF(A44="","",'Gate Review'!C8)</f>
        <v/>
      </c>
      <c r="D44" s="72" t="str">
        <f>IF(A44="","",'Gate Review'!D8)</f>
        <v/>
      </c>
      <c r="E44" s="72" t="str">
        <f>IF(A44="","",'Gate Review'!E8)</f>
        <v/>
      </c>
      <c r="F44" s="72" t="str">
        <f>IF(A44="","",'Gate Review'!F8)</f>
        <v/>
      </c>
      <c r="G44" s="72" t="str">
        <f>IF(A44="","",'Gate Review'!G8)</f>
        <v/>
      </c>
      <c r="H44" s="72" t="str">
        <f>IF(A44="","",'Gate Review'!H8)</f>
        <v/>
      </c>
      <c r="I44" s="72" t="str">
        <f>IF(A44="","",'Gate Review'!I8)</f>
        <v/>
      </c>
      <c r="J44" s="73" t="str">
        <f>IF(A44="","",'Gate Review'!J8)</f>
        <v/>
      </c>
    </row>
    <row r="45" spans="1:10">
      <c r="A45" s="71" t="str">
        <f>'Gate Review'!A9</f>
        <v/>
      </c>
      <c r="B45" s="72" t="str">
        <f>IF(A45="","",'Gate Review'!B9)</f>
        <v/>
      </c>
      <c r="C45" s="72" t="str">
        <f>IF(A45="","",'Gate Review'!C9)</f>
        <v/>
      </c>
      <c r="D45" s="72" t="str">
        <f>IF(A45="","",'Gate Review'!D9)</f>
        <v/>
      </c>
      <c r="E45" s="72" t="str">
        <f>IF(A45="","",'Gate Review'!E9)</f>
        <v/>
      </c>
      <c r="F45" s="72" t="str">
        <f>IF(A45="","",'Gate Review'!F9)</f>
        <v/>
      </c>
      <c r="G45" s="72" t="str">
        <f>IF(A45="","",'Gate Review'!G9)</f>
        <v/>
      </c>
      <c r="H45" s="72" t="str">
        <f>IF(A45="","",'Gate Review'!H9)</f>
        <v/>
      </c>
      <c r="I45" s="72" t="str">
        <f>IF(A45="","",'Gate Review'!I9)</f>
        <v/>
      </c>
      <c r="J45" s="73" t="str">
        <f>IF(A45="","",'Gate Review'!J9)</f>
        <v/>
      </c>
    </row>
    <row r="46" spans="1:10">
      <c r="A46" s="71" t="str">
        <f>'Gate Review'!A10</f>
        <v/>
      </c>
      <c r="B46" s="72" t="str">
        <f>IF(A46="","",'Gate Review'!B10)</f>
        <v/>
      </c>
      <c r="C46" s="72" t="str">
        <f>IF(A46="","",'Gate Review'!C10)</f>
        <v/>
      </c>
      <c r="D46" s="72" t="str">
        <f>IF(A46="","",'Gate Review'!D10)</f>
        <v/>
      </c>
      <c r="E46" s="72" t="str">
        <f>IF(A46="","",'Gate Review'!E10)</f>
        <v/>
      </c>
      <c r="F46" s="72" t="str">
        <f>IF(A46="","",'Gate Review'!F10)</f>
        <v/>
      </c>
      <c r="G46" s="72" t="str">
        <f>IF(A46="","",'Gate Review'!G10)</f>
        <v/>
      </c>
      <c r="H46" s="72" t="str">
        <f>IF(A46="","",'Gate Review'!H10)</f>
        <v/>
      </c>
      <c r="I46" s="72" t="str">
        <f>IF(A46="","",'Gate Review'!I10)</f>
        <v/>
      </c>
      <c r="J46" s="73" t="str">
        <f>IF(A46="","",'Gate Review'!J10)</f>
        <v/>
      </c>
    </row>
    <row r="47" spans="1:10">
      <c r="A47" s="71"/>
      <c r="B47" s="72"/>
      <c r="C47" s="72"/>
      <c r="D47" s="72"/>
      <c r="E47" s="72"/>
      <c r="F47" s="72"/>
      <c r="G47" s="72"/>
      <c r="H47" s="72"/>
      <c r="I47" s="72"/>
      <c r="J47" s="73"/>
    </row>
    <row r="48" spans="1:10">
      <c r="A48" s="78"/>
      <c r="B48" s="72"/>
      <c r="C48" s="72"/>
      <c r="D48" s="72"/>
      <c r="E48" s="72"/>
      <c r="F48" s="72"/>
      <c r="G48" s="72"/>
      <c r="H48" s="72"/>
      <c r="I48" s="72"/>
      <c r="J48" s="73"/>
    </row>
    <row r="49" spans="1:10" ht="24" customHeight="1">
      <c r="A49" s="79" t="s">
        <v>188</v>
      </c>
      <c r="B49" s="22"/>
      <c r="C49" s="22"/>
      <c r="D49" s="22"/>
      <c r="E49" s="22"/>
      <c r="F49" s="22"/>
      <c r="G49" s="22"/>
      <c r="H49" s="22"/>
      <c r="I49" s="22"/>
      <c r="J49" s="22"/>
    </row>
    <row r="50" spans="1:10" ht="28.5" customHeight="1">
      <c r="A50" s="80" t="s">
        <v>25</v>
      </c>
      <c r="B50" s="81" t="s">
        <v>189</v>
      </c>
      <c r="C50" s="3"/>
      <c r="D50" s="3"/>
      <c r="E50" s="3"/>
      <c r="F50" s="3"/>
      <c r="G50" s="3"/>
      <c r="H50" s="3"/>
      <c r="I50" s="3"/>
      <c r="J50" s="3"/>
    </row>
    <row r="51" spans="1:10" ht="28.5" customHeight="1">
      <c r="A51" s="80" t="s">
        <v>28</v>
      </c>
      <c r="B51" s="81" t="s">
        <v>190</v>
      </c>
      <c r="C51" s="3"/>
      <c r="D51" s="3"/>
      <c r="E51" s="3"/>
      <c r="F51" s="3"/>
      <c r="G51" s="3"/>
      <c r="H51" s="3"/>
      <c r="I51" s="3"/>
      <c r="J51" s="3"/>
    </row>
    <row r="52" spans="1:10" ht="28.5" customHeight="1">
      <c r="A52" s="80" t="s">
        <v>31</v>
      </c>
      <c r="B52" s="81" t="s">
        <v>191</v>
      </c>
      <c r="C52" s="3"/>
      <c r="D52" s="3"/>
      <c r="E52" s="3"/>
      <c r="F52" s="3"/>
      <c r="G52" s="3"/>
      <c r="H52" s="3"/>
      <c r="I52" s="3"/>
      <c r="J52" s="3"/>
    </row>
    <row r="53" spans="1:10" ht="28.5" customHeight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90"/>
  <sheetViews>
    <sheetView topLeftCell="F21" workbookViewId="0">
      <selection activeCell="H91" sqref="H91"/>
    </sheetView>
  </sheetViews>
  <sheetFormatPr defaultRowHeight="14.25"/>
  <cols>
    <col min="1" max="1" width="11" customWidth="1"/>
    <col min="2" max="2" width="10" customWidth="1"/>
    <col min="3" max="3" width="18.125" customWidth="1"/>
    <col min="4" max="4" width="14.25" customWidth="1"/>
    <col min="5" max="5" width="28" customWidth="1"/>
    <col min="6" max="6" width="48" customWidth="1"/>
    <col min="7" max="7" width="32" customWidth="1"/>
    <col min="8" max="8" width="38" customWidth="1"/>
    <col min="10" max="10" width="20" customWidth="1"/>
    <col min="11" max="11" width="28" customWidth="1"/>
    <col min="12" max="12" width="22" customWidth="1"/>
    <col min="13" max="13" width="36" customWidth="1"/>
    <col min="14" max="14" width="12" customWidth="1"/>
  </cols>
  <sheetData>
    <row r="1" spans="1:14" ht="18">
      <c r="A1" s="33" t="s">
        <v>192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</row>
    <row r="2" spans="1:14">
      <c r="A2" s="34" t="s">
        <v>193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45" customFormat="1" ht="31.5">
      <c r="A4" s="42" t="s">
        <v>75</v>
      </c>
      <c r="B4" s="43" t="s">
        <v>77</v>
      </c>
      <c r="C4" s="43" t="s">
        <v>194</v>
      </c>
      <c r="D4" s="43" t="s">
        <v>76</v>
      </c>
      <c r="E4" s="43" t="s">
        <v>78</v>
      </c>
      <c r="F4" s="43" t="s">
        <v>195</v>
      </c>
      <c r="G4" s="43" t="s">
        <v>196</v>
      </c>
      <c r="H4" s="44" t="s">
        <v>197</v>
      </c>
      <c r="I4" s="48"/>
      <c r="J4" s="48" t="s">
        <v>41</v>
      </c>
      <c r="K4" s="48" t="s">
        <v>178</v>
      </c>
      <c r="L4" s="48" t="s">
        <v>138</v>
      </c>
      <c r="M4" s="47" t="s">
        <v>194</v>
      </c>
      <c r="N4" s="47" t="s">
        <v>198</v>
      </c>
    </row>
    <row r="5" spans="1:14" ht="24">
      <c r="A5" s="49" t="s">
        <v>199</v>
      </c>
      <c r="B5" s="50" t="s">
        <v>200</v>
      </c>
      <c r="C5" s="50" t="s">
        <v>201</v>
      </c>
      <c r="D5" s="50" t="s">
        <v>202</v>
      </c>
      <c r="E5" s="50" t="s">
        <v>203</v>
      </c>
      <c r="F5" s="50" t="s">
        <v>204</v>
      </c>
      <c r="G5" s="50" t="s">
        <v>205</v>
      </c>
      <c r="H5" s="51" t="s">
        <v>206</v>
      </c>
      <c r="I5" s="2"/>
      <c r="J5" s="2" t="s">
        <v>47</v>
      </c>
      <c r="K5" s="2" t="s">
        <v>207</v>
      </c>
      <c r="L5" s="2" t="s">
        <v>144</v>
      </c>
      <c r="M5" s="2" t="s">
        <v>14</v>
      </c>
      <c r="N5" s="2">
        <v>1</v>
      </c>
    </row>
    <row r="6" spans="1:14" ht="24">
      <c r="A6" s="49" t="s">
        <v>208</v>
      </c>
      <c r="B6" s="50" t="s">
        <v>200</v>
      </c>
      <c r="C6" s="50" t="s">
        <v>201</v>
      </c>
      <c r="D6" s="50" t="s">
        <v>202</v>
      </c>
      <c r="E6" s="50" t="s">
        <v>209</v>
      </c>
      <c r="F6" s="50" t="s">
        <v>210</v>
      </c>
      <c r="G6" s="50" t="s">
        <v>211</v>
      </c>
      <c r="H6" s="51" t="s">
        <v>212</v>
      </c>
      <c r="I6" s="2"/>
      <c r="J6" s="2" t="s">
        <v>53</v>
      </c>
      <c r="K6" s="2" t="s">
        <v>213</v>
      </c>
      <c r="L6" s="2" t="s">
        <v>214</v>
      </c>
      <c r="M6" s="2" t="s">
        <v>215</v>
      </c>
      <c r="N6" s="2">
        <v>11</v>
      </c>
    </row>
    <row r="7" spans="1:14" ht="24">
      <c r="A7" s="49" t="s">
        <v>216</v>
      </c>
      <c r="B7" s="50" t="s">
        <v>200</v>
      </c>
      <c r="C7" s="50" t="s">
        <v>201</v>
      </c>
      <c r="D7" s="50" t="s">
        <v>202</v>
      </c>
      <c r="E7" s="50" t="s">
        <v>217</v>
      </c>
      <c r="F7" s="50" t="s">
        <v>218</v>
      </c>
      <c r="G7" s="50" t="s">
        <v>219</v>
      </c>
      <c r="H7" s="51" t="s">
        <v>220</v>
      </c>
      <c r="I7" s="2"/>
      <c r="J7" s="2" t="s">
        <v>59</v>
      </c>
      <c r="K7" s="2" t="s">
        <v>221</v>
      </c>
      <c r="L7" s="2" t="s">
        <v>222</v>
      </c>
      <c r="M7" s="2" t="s">
        <v>223</v>
      </c>
      <c r="N7" s="2">
        <v>21</v>
      </c>
    </row>
    <row r="8" spans="1:14" ht="24">
      <c r="A8" s="49" t="s">
        <v>224</v>
      </c>
      <c r="B8" s="50" t="s">
        <v>200</v>
      </c>
      <c r="C8" s="50" t="s">
        <v>201</v>
      </c>
      <c r="D8" s="50" t="s">
        <v>202</v>
      </c>
      <c r="E8" s="50" t="s">
        <v>225</v>
      </c>
      <c r="F8" s="50" t="s">
        <v>226</v>
      </c>
      <c r="G8" s="50" t="s">
        <v>225</v>
      </c>
      <c r="H8" s="51" t="s">
        <v>227</v>
      </c>
      <c r="I8" s="2"/>
      <c r="J8" s="2" t="s">
        <v>64</v>
      </c>
      <c r="K8" s="2" t="s">
        <v>228</v>
      </c>
      <c r="L8" s="2" t="s">
        <v>229</v>
      </c>
      <c r="M8" s="2" t="s">
        <v>230</v>
      </c>
      <c r="N8" s="2">
        <v>31</v>
      </c>
    </row>
    <row r="9" spans="1:14" ht="24">
      <c r="A9" s="49" t="s">
        <v>231</v>
      </c>
      <c r="B9" s="50" t="s">
        <v>200</v>
      </c>
      <c r="C9" s="50" t="s">
        <v>201</v>
      </c>
      <c r="D9" s="50" t="s">
        <v>202</v>
      </c>
      <c r="E9" s="50" t="s">
        <v>232</v>
      </c>
      <c r="F9" s="50" t="s">
        <v>233</v>
      </c>
      <c r="G9" s="50" t="s">
        <v>234</v>
      </c>
      <c r="H9" s="51" t="s">
        <v>235</v>
      </c>
      <c r="I9" s="2"/>
      <c r="J9" s="2"/>
      <c r="K9" s="2" t="s">
        <v>236</v>
      </c>
      <c r="L9" s="2" t="s">
        <v>237</v>
      </c>
      <c r="M9" s="2" t="s">
        <v>238</v>
      </c>
      <c r="N9" s="2">
        <v>41</v>
      </c>
    </row>
    <row r="10" spans="1:14" ht="24">
      <c r="A10" s="49" t="s">
        <v>239</v>
      </c>
      <c r="B10" s="50" t="s">
        <v>200</v>
      </c>
      <c r="C10" s="50" t="s">
        <v>201</v>
      </c>
      <c r="D10" s="50" t="s">
        <v>240</v>
      </c>
      <c r="E10" s="50" t="s">
        <v>241</v>
      </c>
      <c r="F10" s="50" t="s">
        <v>242</v>
      </c>
      <c r="G10" s="50" t="s">
        <v>243</v>
      </c>
      <c r="H10" s="51" t="s">
        <v>244</v>
      </c>
      <c r="I10" s="2"/>
      <c r="J10" s="2"/>
      <c r="K10" s="2"/>
      <c r="L10" s="2"/>
      <c r="M10" s="2" t="s">
        <v>245</v>
      </c>
      <c r="N10" s="2">
        <v>51</v>
      </c>
    </row>
    <row r="11" spans="1:14" ht="24">
      <c r="A11" s="49" t="s">
        <v>246</v>
      </c>
      <c r="B11" s="50" t="s">
        <v>200</v>
      </c>
      <c r="C11" s="50" t="s">
        <v>201</v>
      </c>
      <c r="D11" s="50" t="s">
        <v>240</v>
      </c>
      <c r="E11" s="50" t="s">
        <v>247</v>
      </c>
      <c r="F11" s="50" t="s">
        <v>248</v>
      </c>
      <c r="G11" s="50" t="s">
        <v>249</v>
      </c>
      <c r="H11" s="51" t="s">
        <v>250</v>
      </c>
      <c r="I11" s="2"/>
      <c r="J11" s="2"/>
      <c r="K11" s="2"/>
      <c r="L11" s="2"/>
      <c r="M11" s="2" t="s">
        <v>251</v>
      </c>
      <c r="N11" s="2">
        <v>61</v>
      </c>
    </row>
    <row r="12" spans="1:14" ht="24">
      <c r="A12" s="49" t="s">
        <v>252</v>
      </c>
      <c r="B12" s="50" t="s">
        <v>200</v>
      </c>
      <c r="C12" s="50" t="s">
        <v>201</v>
      </c>
      <c r="D12" s="50" t="s">
        <v>240</v>
      </c>
      <c r="E12" s="50" t="s">
        <v>253</v>
      </c>
      <c r="F12" s="50" t="s">
        <v>254</v>
      </c>
      <c r="G12" s="50" t="s">
        <v>219</v>
      </c>
      <c r="H12" s="51" t="s">
        <v>255</v>
      </c>
      <c r="I12" s="2"/>
      <c r="J12" s="2"/>
      <c r="K12" s="2"/>
      <c r="L12" s="2"/>
      <c r="M12" s="2"/>
      <c r="N12" s="2"/>
    </row>
    <row r="13" spans="1:14" ht="24">
      <c r="A13" s="49" t="s">
        <v>256</v>
      </c>
      <c r="B13" s="50" t="s">
        <v>200</v>
      </c>
      <c r="C13" s="50" t="s">
        <v>201</v>
      </c>
      <c r="D13" s="50" t="s">
        <v>240</v>
      </c>
      <c r="E13" s="50" t="s">
        <v>257</v>
      </c>
      <c r="F13" s="50" t="s">
        <v>258</v>
      </c>
      <c r="G13" s="50" t="s">
        <v>259</v>
      </c>
      <c r="H13" s="51" t="s">
        <v>260</v>
      </c>
      <c r="I13" s="2"/>
      <c r="J13" s="2" t="s">
        <v>261</v>
      </c>
      <c r="K13" s="2"/>
      <c r="L13" s="2"/>
      <c r="M13" s="2"/>
      <c r="N13" s="2"/>
    </row>
    <row r="14" spans="1:14" ht="24">
      <c r="A14" s="49" t="s">
        <v>262</v>
      </c>
      <c r="B14" s="50" t="s">
        <v>200</v>
      </c>
      <c r="C14" s="50" t="s">
        <v>201</v>
      </c>
      <c r="D14" s="50" t="s">
        <v>240</v>
      </c>
      <c r="E14" s="50" t="s">
        <v>263</v>
      </c>
      <c r="F14" s="50" t="s">
        <v>264</v>
      </c>
      <c r="G14" s="50" t="s">
        <v>265</v>
      </c>
      <c r="H14" s="51" t="s">
        <v>266</v>
      </c>
      <c r="I14" s="2"/>
      <c r="J14" s="2" t="s">
        <v>267</v>
      </c>
      <c r="K14" s="2"/>
      <c r="L14" s="2"/>
      <c r="M14" s="2"/>
      <c r="N14" s="2"/>
    </row>
    <row r="15" spans="1:14" ht="24">
      <c r="A15" s="49" t="s">
        <v>268</v>
      </c>
      <c r="B15" s="50" t="s">
        <v>194</v>
      </c>
      <c r="C15" s="50" t="s">
        <v>14</v>
      </c>
      <c r="D15" s="50" t="s">
        <v>202</v>
      </c>
      <c r="E15" s="50" t="s">
        <v>269</v>
      </c>
      <c r="F15" s="50" t="s">
        <v>270</v>
      </c>
      <c r="G15" s="50" t="s">
        <v>271</v>
      </c>
      <c r="H15" s="51" t="s">
        <v>272</v>
      </c>
      <c r="I15" s="2"/>
      <c r="J15" s="2" t="s">
        <v>273</v>
      </c>
      <c r="K15" s="2"/>
      <c r="L15" s="2"/>
      <c r="M15" s="2"/>
      <c r="N15" s="2"/>
    </row>
    <row r="16" spans="1:14" ht="24">
      <c r="A16" s="49" t="s">
        <v>274</v>
      </c>
      <c r="B16" s="50" t="s">
        <v>194</v>
      </c>
      <c r="C16" s="50" t="s">
        <v>14</v>
      </c>
      <c r="D16" s="50" t="s">
        <v>202</v>
      </c>
      <c r="E16" s="50" t="s">
        <v>275</v>
      </c>
      <c r="F16" s="50" t="s">
        <v>276</v>
      </c>
      <c r="G16" s="50" t="s">
        <v>277</v>
      </c>
      <c r="H16" s="51" t="s">
        <v>278</v>
      </c>
      <c r="I16" s="2"/>
      <c r="J16" s="2" t="s">
        <v>279</v>
      </c>
      <c r="K16" s="2"/>
      <c r="L16" s="2"/>
      <c r="M16" s="2"/>
      <c r="N16" s="2"/>
    </row>
    <row r="17" spans="1:14" ht="24">
      <c r="A17" s="49" t="s">
        <v>280</v>
      </c>
      <c r="B17" s="50" t="s">
        <v>194</v>
      </c>
      <c r="C17" s="50" t="s">
        <v>14</v>
      </c>
      <c r="D17" s="50" t="s">
        <v>202</v>
      </c>
      <c r="E17" s="50" t="s">
        <v>281</v>
      </c>
      <c r="F17" s="50" t="s">
        <v>282</v>
      </c>
      <c r="G17" s="50" t="s">
        <v>271</v>
      </c>
      <c r="H17" s="51" t="s">
        <v>283</v>
      </c>
      <c r="I17" s="2"/>
      <c r="J17" s="2" t="s">
        <v>284</v>
      </c>
      <c r="K17" s="2"/>
      <c r="L17" s="2"/>
      <c r="M17" s="2"/>
      <c r="N17" s="2"/>
    </row>
    <row r="18" spans="1:14" ht="24">
      <c r="A18" s="49" t="s">
        <v>285</v>
      </c>
      <c r="B18" s="50" t="s">
        <v>194</v>
      </c>
      <c r="C18" s="50" t="s">
        <v>14</v>
      </c>
      <c r="D18" s="50" t="s">
        <v>202</v>
      </c>
      <c r="E18" s="50" t="s">
        <v>286</v>
      </c>
      <c r="F18" s="50" t="s">
        <v>287</v>
      </c>
      <c r="G18" s="50" t="s">
        <v>288</v>
      </c>
      <c r="H18" s="51" t="s">
        <v>289</v>
      </c>
      <c r="I18" s="2"/>
      <c r="J18" s="2" t="s">
        <v>290</v>
      </c>
      <c r="K18" s="2"/>
      <c r="L18" s="2"/>
      <c r="M18" s="2"/>
      <c r="N18" s="2"/>
    </row>
    <row r="19" spans="1:14" ht="24">
      <c r="A19" s="49" t="s">
        <v>291</v>
      </c>
      <c r="B19" s="50" t="s">
        <v>194</v>
      </c>
      <c r="C19" s="50" t="s">
        <v>14</v>
      </c>
      <c r="D19" s="50" t="s">
        <v>202</v>
      </c>
      <c r="E19" s="50" t="s">
        <v>292</v>
      </c>
      <c r="F19" s="50" t="s">
        <v>293</v>
      </c>
      <c r="G19" s="50" t="s">
        <v>294</v>
      </c>
      <c r="H19" s="51" t="s">
        <v>295</v>
      </c>
      <c r="I19" s="2"/>
      <c r="J19" s="2"/>
      <c r="K19" s="2"/>
      <c r="L19" s="2"/>
      <c r="M19" s="2"/>
      <c r="N19" s="2"/>
    </row>
    <row r="20" spans="1:14" ht="24">
      <c r="A20" s="49" t="s">
        <v>296</v>
      </c>
      <c r="B20" s="50" t="s">
        <v>194</v>
      </c>
      <c r="C20" s="50" t="s">
        <v>14</v>
      </c>
      <c r="D20" s="50" t="s">
        <v>240</v>
      </c>
      <c r="E20" s="50" t="s">
        <v>297</v>
      </c>
      <c r="F20" s="50" t="s">
        <v>298</v>
      </c>
      <c r="G20" s="50" t="s">
        <v>299</v>
      </c>
      <c r="H20" s="51" t="s">
        <v>300</v>
      </c>
      <c r="I20" s="2"/>
      <c r="J20" s="2"/>
      <c r="K20" s="2"/>
      <c r="L20" s="2"/>
      <c r="M20" s="2"/>
      <c r="N20" s="2"/>
    </row>
    <row r="21" spans="1:14" ht="24">
      <c r="A21" s="49" t="s">
        <v>301</v>
      </c>
      <c r="B21" s="50" t="s">
        <v>194</v>
      </c>
      <c r="C21" s="50" t="s">
        <v>14</v>
      </c>
      <c r="D21" s="50" t="s">
        <v>240</v>
      </c>
      <c r="E21" s="50" t="s">
        <v>302</v>
      </c>
      <c r="F21" s="50" t="s">
        <v>303</v>
      </c>
      <c r="G21" s="50" t="s">
        <v>304</v>
      </c>
      <c r="H21" s="51" t="s">
        <v>305</v>
      </c>
      <c r="I21" s="2"/>
      <c r="J21" s="2"/>
      <c r="K21" s="2"/>
      <c r="L21" s="2"/>
      <c r="M21" s="2"/>
      <c r="N21" s="2"/>
    </row>
    <row r="22" spans="1:14" ht="24">
      <c r="A22" s="49" t="s">
        <v>306</v>
      </c>
      <c r="B22" s="50" t="s">
        <v>194</v>
      </c>
      <c r="C22" s="50" t="s">
        <v>14</v>
      </c>
      <c r="D22" s="50" t="s">
        <v>240</v>
      </c>
      <c r="E22" s="50" t="s">
        <v>307</v>
      </c>
      <c r="F22" s="50" t="s">
        <v>308</v>
      </c>
      <c r="G22" s="50" t="s">
        <v>309</v>
      </c>
      <c r="H22" s="51" t="s">
        <v>310</v>
      </c>
      <c r="I22" s="2"/>
      <c r="J22" s="2"/>
      <c r="K22" s="2"/>
      <c r="L22" s="2"/>
      <c r="M22" s="2"/>
      <c r="N22" s="2"/>
    </row>
    <row r="23" spans="1:14" ht="24">
      <c r="A23" s="49" t="s">
        <v>311</v>
      </c>
      <c r="B23" s="50" t="s">
        <v>194</v>
      </c>
      <c r="C23" s="50" t="s">
        <v>14</v>
      </c>
      <c r="D23" s="50" t="s">
        <v>240</v>
      </c>
      <c r="E23" s="50" t="s">
        <v>312</v>
      </c>
      <c r="F23" s="50" t="s">
        <v>313</v>
      </c>
      <c r="G23" s="50" t="s">
        <v>249</v>
      </c>
      <c r="H23" s="51" t="s">
        <v>314</v>
      </c>
      <c r="I23" s="2"/>
      <c r="J23" s="2"/>
      <c r="K23" s="2"/>
      <c r="L23" s="2"/>
      <c r="M23" s="2"/>
      <c r="N23" s="2"/>
    </row>
    <row r="24" spans="1:14" ht="24">
      <c r="A24" s="49" t="s">
        <v>315</v>
      </c>
      <c r="B24" s="50" t="s">
        <v>194</v>
      </c>
      <c r="C24" s="50" t="s">
        <v>14</v>
      </c>
      <c r="D24" s="50" t="s">
        <v>240</v>
      </c>
      <c r="E24" s="50" t="s">
        <v>316</v>
      </c>
      <c r="F24" s="50" t="s">
        <v>317</v>
      </c>
      <c r="G24" s="50" t="s">
        <v>265</v>
      </c>
      <c r="H24" s="51" t="s">
        <v>318</v>
      </c>
      <c r="I24" s="2"/>
      <c r="J24" s="2"/>
      <c r="K24" s="2"/>
      <c r="L24" s="2"/>
      <c r="M24" s="2"/>
      <c r="N24" s="2"/>
    </row>
    <row r="25" spans="1:14" ht="24">
      <c r="A25" s="49" t="s">
        <v>319</v>
      </c>
      <c r="B25" s="50" t="s">
        <v>194</v>
      </c>
      <c r="C25" s="50" t="s">
        <v>215</v>
      </c>
      <c r="D25" s="50" t="s">
        <v>202</v>
      </c>
      <c r="E25" s="50" t="s">
        <v>320</v>
      </c>
      <c r="F25" s="50" t="s">
        <v>321</v>
      </c>
      <c r="G25" s="50" t="s">
        <v>205</v>
      </c>
      <c r="H25" s="51" t="s">
        <v>322</v>
      </c>
      <c r="I25" s="2"/>
      <c r="J25" s="2"/>
      <c r="K25" s="2"/>
      <c r="L25" s="2"/>
      <c r="M25" s="2"/>
      <c r="N25" s="2"/>
    </row>
    <row r="26" spans="1:14" ht="24">
      <c r="A26" s="49" t="s">
        <v>323</v>
      </c>
      <c r="B26" s="50" t="s">
        <v>194</v>
      </c>
      <c r="C26" s="50" t="s">
        <v>215</v>
      </c>
      <c r="D26" s="50" t="s">
        <v>202</v>
      </c>
      <c r="E26" s="50" t="s">
        <v>324</v>
      </c>
      <c r="F26" s="50" t="s">
        <v>325</v>
      </c>
      <c r="G26" s="50" t="s">
        <v>326</v>
      </c>
      <c r="H26" s="51" t="s">
        <v>327</v>
      </c>
      <c r="I26" s="2"/>
      <c r="J26" s="2"/>
      <c r="K26" s="2"/>
      <c r="L26" s="2"/>
      <c r="M26" s="2"/>
      <c r="N26" s="2"/>
    </row>
    <row r="27" spans="1:14" ht="24">
      <c r="A27" s="49" t="s">
        <v>328</v>
      </c>
      <c r="B27" s="50" t="s">
        <v>194</v>
      </c>
      <c r="C27" s="50" t="s">
        <v>215</v>
      </c>
      <c r="D27" s="50" t="s">
        <v>202</v>
      </c>
      <c r="E27" s="50" t="s">
        <v>329</v>
      </c>
      <c r="F27" s="50" t="s">
        <v>330</v>
      </c>
      <c r="G27" s="50" t="s">
        <v>288</v>
      </c>
      <c r="H27" s="51" t="s">
        <v>331</v>
      </c>
      <c r="I27" s="2"/>
      <c r="J27" s="2"/>
      <c r="K27" s="2"/>
      <c r="L27" s="2"/>
      <c r="M27" s="2"/>
      <c r="N27" s="2"/>
    </row>
    <row r="28" spans="1:14" ht="24">
      <c r="A28" s="49" t="s">
        <v>332</v>
      </c>
      <c r="B28" s="50" t="s">
        <v>194</v>
      </c>
      <c r="C28" s="50" t="s">
        <v>215</v>
      </c>
      <c r="D28" s="50" t="s">
        <v>202</v>
      </c>
      <c r="E28" s="50" t="s">
        <v>333</v>
      </c>
      <c r="F28" s="50" t="s">
        <v>334</v>
      </c>
      <c r="G28" s="50" t="s">
        <v>335</v>
      </c>
      <c r="H28" s="51" t="s">
        <v>336</v>
      </c>
      <c r="I28" s="2"/>
      <c r="J28" s="2"/>
      <c r="K28" s="2"/>
      <c r="L28" s="2"/>
      <c r="M28" s="2"/>
      <c r="N28" s="2"/>
    </row>
    <row r="29" spans="1:14" ht="24">
      <c r="A29" s="49" t="s">
        <v>337</v>
      </c>
      <c r="B29" s="50" t="s">
        <v>194</v>
      </c>
      <c r="C29" s="50" t="s">
        <v>215</v>
      </c>
      <c r="D29" s="50" t="s">
        <v>202</v>
      </c>
      <c r="E29" s="50" t="s">
        <v>338</v>
      </c>
      <c r="F29" s="50" t="s">
        <v>339</v>
      </c>
      <c r="G29" s="50" t="s">
        <v>340</v>
      </c>
      <c r="H29" s="51" t="s">
        <v>341</v>
      </c>
      <c r="I29" s="2"/>
      <c r="J29" s="2"/>
      <c r="K29" s="2"/>
      <c r="L29" s="2"/>
      <c r="M29" s="2"/>
      <c r="N29" s="2"/>
    </row>
    <row r="30" spans="1:14" ht="24">
      <c r="A30" s="49" t="s">
        <v>342</v>
      </c>
      <c r="B30" s="50" t="s">
        <v>194</v>
      </c>
      <c r="C30" s="50" t="s">
        <v>215</v>
      </c>
      <c r="D30" s="50" t="s">
        <v>240</v>
      </c>
      <c r="E30" s="50" t="s">
        <v>343</v>
      </c>
      <c r="F30" s="50" t="s">
        <v>344</v>
      </c>
      <c r="G30" s="50" t="s">
        <v>249</v>
      </c>
      <c r="H30" s="51" t="s">
        <v>345</v>
      </c>
      <c r="I30" s="2"/>
      <c r="J30" s="2"/>
      <c r="K30" s="2"/>
      <c r="L30" s="2"/>
      <c r="M30" s="2"/>
      <c r="N30" s="2"/>
    </row>
    <row r="31" spans="1:14" ht="24">
      <c r="A31" s="49" t="s">
        <v>346</v>
      </c>
      <c r="B31" s="50" t="s">
        <v>194</v>
      </c>
      <c r="C31" s="50" t="s">
        <v>215</v>
      </c>
      <c r="D31" s="50" t="s">
        <v>240</v>
      </c>
      <c r="E31" s="50" t="s">
        <v>347</v>
      </c>
      <c r="F31" s="50" t="s">
        <v>348</v>
      </c>
      <c r="G31" s="50" t="s">
        <v>219</v>
      </c>
      <c r="H31" s="51" t="s">
        <v>349</v>
      </c>
      <c r="I31" s="2"/>
      <c r="J31" s="2"/>
      <c r="K31" s="2"/>
      <c r="L31" s="2"/>
      <c r="M31" s="2"/>
      <c r="N31" s="2"/>
    </row>
    <row r="32" spans="1:14" ht="24">
      <c r="A32" s="49" t="s">
        <v>350</v>
      </c>
      <c r="B32" s="50" t="s">
        <v>194</v>
      </c>
      <c r="C32" s="50" t="s">
        <v>215</v>
      </c>
      <c r="D32" s="50" t="s">
        <v>240</v>
      </c>
      <c r="E32" s="50" t="s">
        <v>351</v>
      </c>
      <c r="F32" s="50" t="s">
        <v>352</v>
      </c>
      <c r="G32" s="50" t="s">
        <v>326</v>
      </c>
      <c r="H32" s="51" t="s">
        <v>353</v>
      </c>
      <c r="I32" s="2"/>
      <c r="J32" s="2"/>
      <c r="K32" s="2"/>
      <c r="L32" s="2"/>
      <c r="M32" s="2"/>
      <c r="N32" s="2"/>
    </row>
    <row r="33" spans="1:14" ht="24">
      <c r="A33" s="49" t="s">
        <v>354</v>
      </c>
      <c r="B33" s="50" t="s">
        <v>194</v>
      </c>
      <c r="C33" s="50" t="s">
        <v>215</v>
      </c>
      <c r="D33" s="50" t="s">
        <v>240</v>
      </c>
      <c r="E33" s="50" t="s">
        <v>355</v>
      </c>
      <c r="F33" s="50" t="s">
        <v>356</v>
      </c>
      <c r="G33" s="50" t="s">
        <v>259</v>
      </c>
      <c r="H33" s="51" t="s">
        <v>357</v>
      </c>
      <c r="I33" s="2"/>
      <c r="J33" s="2"/>
      <c r="K33" s="2"/>
      <c r="L33" s="2"/>
      <c r="M33" s="2"/>
      <c r="N33" s="2"/>
    </row>
    <row r="34" spans="1:14" ht="24">
      <c r="A34" s="49" t="s">
        <v>358</v>
      </c>
      <c r="B34" s="50" t="s">
        <v>194</v>
      </c>
      <c r="C34" s="50" t="s">
        <v>215</v>
      </c>
      <c r="D34" s="50" t="s">
        <v>240</v>
      </c>
      <c r="E34" s="50" t="s">
        <v>359</v>
      </c>
      <c r="F34" s="50" t="s">
        <v>360</v>
      </c>
      <c r="G34" s="50" t="s">
        <v>361</v>
      </c>
      <c r="H34" s="51" t="s">
        <v>362</v>
      </c>
      <c r="I34" s="2"/>
      <c r="J34" s="2"/>
      <c r="K34" s="2"/>
      <c r="L34" s="2"/>
      <c r="M34" s="2"/>
      <c r="N34" s="2"/>
    </row>
    <row r="35" spans="1:14" ht="24">
      <c r="A35" s="49" t="s">
        <v>363</v>
      </c>
      <c r="B35" s="50" t="s">
        <v>194</v>
      </c>
      <c r="C35" s="50" t="s">
        <v>223</v>
      </c>
      <c r="D35" s="50" t="s">
        <v>202</v>
      </c>
      <c r="E35" s="50" t="s">
        <v>364</v>
      </c>
      <c r="F35" s="50" t="s">
        <v>365</v>
      </c>
      <c r="G35" s="50" t="s">
        <v>205</v>
      </c>
      <c r="H35" s="51" t="s">
        <v>366</v>
      </c>
      <c r="I35" s="2"/>
      <c r="J35" s="2"/>
      <c r="K35" s="2"/>
      <c r="L35" s="2"/>
      <c r="M35" s="2"/>
      <c r="N35" s="2"/>
    </row>
    <row r="36" spans="1:14" ht="24">
      <c r="A36" s="49" t="s">
        <v>367</v>
      </c>
      <c r="B36" s="50" t="s">
        <v>194</v>
      </c>
      <c r="C36" s="50" t="s">
        <v>223</v>
      </c>
      <c r="D36" s="50" t="s">
        <v>202</v>
      </c>
      <c r="E36" s="50" t="s">
        <v>368</v>
      </c>
      <c r="F36" s="50" t="s">
        <v>369</v>
      </c>
      <c r="G36" s="50" t="s">
        <v>326</v>
      </c>
      <c r="H36" s="51" t="s">
        <v>370</v>
      </c>
      <c r="I36" s="2"/>
      <c r="J36" s="2"/>
      <c r="K36" s="2"/>
      <c r="L36" s="2"/>
      <c r="M36" s="2"/>
      <c r="N36" s="2"/>
    </row>
    <row r="37" spans="1:14" ht="24">
      <c r="A37" s="49" t="s">
        <v>371</v>
      </c>
      <c r="B37" s="50" t="s">
        <v>194</v>
      </c>
      <c r="C37" s="50" t="s">
        <v>223</v>
      </c>
      <c r="D37" s="50" t="s">
        <v>202</v>
      </c>
      <c r="E37" s="50" t="s">
        <v>372</v>
      </c>
      <c r="F37" s="50" t="s">
        <v>373</v>
      </c>
      <c r="G37" s="50" t="s">
        <v>211</v>
      </c>
      <c r="H37" s="51" t="s">
        <v>374</v>
      </c>
      <c r="I37" s="2"/>
      <c r="J37" s="2"/>
      <c r="K37" s="2"/>
      <c r="L37" s="2"/>
      <c r="M37" s="2"/>
      <c r="N37" s="2"/>
    </row>
    <row r="38" spans="1:14" ht="24">
      <c r="A38" s="49" t="s">
        <v>375</v>
      </c>
      <c r="B38" s="50" t="s">
        <v>194</v>
      </c>
      <c r="C38" s="50" t="s">
        <v>223</v>
      </c>
      <c r="D38" s="50" t="s">
        <v>202</v>
      </c>
      <c r="E38" s="50" t="s">
        <v>376</v>
      </c>
      <c r="F38" s="50" t="s">
        <v>377</v>
      </c>
      <c r="G38" s="50" t="s">
        <v>271</v>
      </c>
      <c r="H38" s="51" t="s">
        <v>378</v>
      </c>
      <c r="I38" s="2"/>
      <c r="J38" s="2"/>
      <c r="K38" s="2"/>
      <c r="L38" s="2"/>
      <c r="M38" s="2"/>
      <c r="N38" s="2"/>
    </row>
    <row r="39" spans="1:14" ht="24">
      <c r="A39" s="49" t="s">
        <v>379</v>
      </c>
      <c r="B39" s="50" t="s">
        <v>194</v>
      </c>
      <c r="C39" s="50" t="s">
        <v>223</v>
      </c>
      <c r="D39" s="50" t="s">
        <v>202</v>
      </c>
      <c r="E39" s="50" t="s">
        <v>380</v>
      </c>
      <c r="F39" s="50" t="s">
        <v>381</v>
      </c>
      <c r="G39" s="50" t="s">
        <v>382</v>
      </c>
      <c r="H39" s="51" t="s">
        <v>383</v>
      </c>
      <c r="I39" s="2"/>
      <c r="J39" s="2"/>
      <c r="K39" s="2"/>
      <c r="L39" s="2"/>
      <c r="M39" s="2"/>
      <c r="N39" s="2"/>
    </row>
    <row r="40" spans="1:14" ht="24">
      <c r="A40" s="49" t="s">
        <v>384</v>
      </c>
      <c r="B40" s="50" t="s">
        <v>194</v>
      </c>
      <c r="C40" s="50" t="s">
        <v>223</v>
      </c>
      <c r="D40" s="50" t="s">
        <v>240</v>
      </c>
      <c r="E40" s="50" t="s">
        <v>385</v>
      </c>
      <c r="F40" s="50" t="s">
        <v>386</v>
      </c>
      <c r="G40" s="50" t="s">
        <v>243</v>
      </c>
      <c r="H40" s="51" t="s">
        <v>387</v>
      </c>
      <c r="I40" s="2"/>
      <c r="J40" s="2"/>
      <c r="K40" s="2"/>
      <c r="L40" s="2"/>
      <c r="M40" s="2"/>
      <c r="N40" s="2"/>
    </row>
    <row r="41" spans="1:14" ht="24">
      <c r="A41" s="49" t="s">
        <v>388</v>
      </c>
      <c r="B41" s="50" t="s">
        <v>194</v>
      </c>
      <c r="C41" s="50" t="s">
        <v>223</v>
      </c>
      <c r="D41" s="50" t="s">
        <v>240</v>
      </c>
      <c r="E41" s="50" t="s">
        <v>389</v>
      </c>
      <c r="F41" s="50" t="s">
        <v>390</v>
      </c>
      <c r="G41" s="50" t="s">
        <v>259</v>
      </c>
      <c r="H41" s="51" t="s">
        <v>391</v>
      </c>
      <c r="I41" s="2"/>
      <c r="J41" s="2"/>
      <c r="K41" s="2"/>
      <c r="L41" s="2"/>
      <c r="M41" s="2"/>
      <c r="N41" s="2"/>
    </row>
    <row r="42" spans="1:14" ht="24">
      <c r="A42" s="49" t="s">
        <v>392</v>
      </c>
      <c r="B42" s="50" t="s">
        <v>194</v>
      </c>
      <c r="C42" s="50" t="s">
        <v>223</v>
      </c>
      <c r="D42" s="50" t="s">
        <v>240</v>
      </c>
      <c r="E42" s="50" t="s">
        <v>393</v>
      </c>
      <c r="F42" s="50" t="s">
        <v>394</v>
      </c>
      <c r="G42" s="50" t="s">
        <v>395</v>
      </c>
      <c r="H42" s="51" t="s">
        <v>396</v>
      </c>
      <c r="I42" s="2"/>
      <c r="J42" s="2"/>
      <c r="K42" s="2"/>
      <c r="L42" s="2"/>
      <c r="M42" s="2"/>
      <c r="N42" s="2"/>
    </row>
    <row r="43" spans="1:14" ht="24">
      <c r="A43" s="49" t="s">
        <v>397</v>
      </c>
      <c r="B43" s="50" t="s">
        <v>194</v>
      </c>
      <c r="C43" s="50" t="s">
        <v>223</v>
      </c>
      <c r="D43" s="50" t="s">
        <v>240</v>
      </c>
      <c r="E43" s="50" t="s">
        <v>398</v>
      </c>
      <c r="F43" s="50" t="s">
        <v>399</v>
      </c>
      <c r="G43" s="50" t="s">
        <v>219</v>
      </c>
      <c r="H43" s="51" t="s">
        <v>400</v>
      </c>
      <c r="I43" s="2"/>
      <c r="J43" s="2"/>
      <c r="K43" s="2"/>
      <c r="L43" s="2"/>
      <c r="M43" s="2"/>
      <c r="N43" s="2"/>
    </row>
    <row r="44" spans="1:14" ht="24">
      <c r="A44" s="49" t="s">
        <v>401</v>
      </c>
      <c r="B44" s="50" t="s">
        <v>194</v>
      </c>
      <c r="C44" s="50" t="s">
        <v>223</v>
      </c>
      <c r="D44" s="50" t="s">
        <v>240</v>
      </c>
      <c r="E44" s="50" t="s">
        <v>402</v>
      </c>
      <c r="F44" s="50" t="s">
        <v>403</v>
      </c>
      <c r="G44" s="50" t="s">
        <v>404</v>
      </c>
      <c r="H44" s="51" t="s">
        <v>405</v>
      </c>
      <c r="I44" s="2"/>
      <c r="J44" s="2"/>
      <c r="K44" s="2"/>
      <c r="L44" s="2"/>
      <c r="M44" s="2"/>
      <c r="N44" s="2"/>
    </row>
    <row r="45" spans="1:14" ht="24">
      <c r="A45" s="49" t="s">
        <v>406</v>
      </c>
      <c r="B45" s="50" t="s">
        <v>194</v>
      </c>
      <c r="C45" s="50" t="s">
        <v>230</v>
      </c>
      <c r="D45" s="50" t="s">
        <v>202</v>
      </c>
      <c r="E45" s="50" t="s">
        <v>407</v>
      </c>
      <c r="F45" s="50" t="s">
        <v>408</v>
      </c>
      <c r="G45" s="50" t="s">
        <v>205</v>
      </c>
      <c r="H45" s="51" t="s">
        <v>409</v>
      </c>
      <c r="I45" s="2"/>
      <c r="J45" s="2"/>
      <c r="K45" s="2"/>
      <c r="L45" s="2"/>
      <c r="M45" s="2"/>
      <c r="N45" s="2"/>
    </row>
    <row r="46" spans="1:14" ht="24">
      <c r="A46" s="49" t="s">
        <v>410</v>
      </c>
      <c r="B46" s="50" t="s">
        <v>194</v>
      </c>
      <c r="C46" s="50" t="s">
        <v>230</v>
      </c>
      <c r="D46" s="50" t="s">
        <v>202</v>
      </c>
      <c r="E46" s="50" t="s">
        <v>411</v>
      </c>
      <c r="F46" s="50" t="s">
        <v>412</v>
      </c>
      <c r="G46" s="50" t="s">
        <v>211</v>
      </c>
      <c r="H46" s="51" t="s">
        <v>413</v>
      </c>
      <c r="I46" s="2"/>
      <c r="J46" s="2"/>
      <c r="K46" s="2"/>
      <c r="L46" s="2"/>
      <c r="M46" s="2"/>
      <c r="N46" s="2"/>
    </row>
    <row r="47" spans="1:14" ht="24">
      <c r="A47" s="49" t="s">
        <v>414</v>
      </c>
      <c r="B47" s="50" t="s">
        <v>194</v>
      </c>
      <c r="C47" s="50" t="s">
        <v>230</v>
      </c>
      <c r="D47" s="50" t="s">
        <v>202</v>
      </c>
      <c r="E47" s="50" t="s">
        <v>415</v>
      </c>
      <c r="F47" s="50" t="s">
        <v>416</v>
      </c>
      <c r="G47" s="50" t="s">
        <v>417</v>
      </c>
      <c r="H47" s="51" t="s">
        <v>418</v>
      </c>
      <c r="I47" s="2"/>
      <c r="J47" s="2"/>
      <c r="K47" s="2"/>
      <c r="L47" s="2"/>
      <c r="M47" s="2"/>
      <c r="N47" s="2"/>
    </row>
    <row r="48" spans="1:14" ht="24">
      <c r="A48" s="49" t="s">
        <v>419</v>
      </c>
      <c r="B48" s="50" t="s">
        <v>194</v>
      </c>
      <c r="C48" s="50" t="s">
        <v>230</v>
      </c>
      <c r="D48" s="50" t="s">
        <v>202</v>
      </c>
      <c r="E48" s="50" t="s">
        <v>420</v>
      </c>
      <c r="F48" s="50" t="s">
        <v>421</v>
      </c>
      <c r="G48" s="50" t="s">
        <v>422</v>
      </c>
      <c r="H48" s="51" t="s">
        <v>423</v>
      </c>
      <c r="I48" s="2"/>
      <c r="J48" s="2"/>
      <c r="K48" s="2"/>
      <c r="L48" s="2"/>
      <c r="M48" s="2"/>
      <c r="N48" s="2"/>
    </row>
    <row r="49" spans="1:14" ht="24">
      <c r="A49" s="49" t="s">
        <v>424</v>
      </c>
      <c r="B49" s="50" t="s">
        <v>194</v>
      </c>
      <c r="C49" s="50" t="s">
        <v>230</v>
      </c>
      <c r="D49" s="50" t="s">
        <v>202</v>
      </c>
      <c r="E49" s="50" t="s">
        <v>425</v>
      </c>
      <c r="F49" s="50" t="s">
        <v>426</v>
      </c>
      <c r="G49" s="50" t="s">
        <v>427</v>
      </c>
      <c r="H49" s="51" t="s">
        <v>428</v>
      </c>
      <c r="I49" s="2"/>
      <c r="J49" s="2"/>
      <c r="K49" s="2"/>
      <c r="L49" s="2"/>
      <c r="M49" s="2"/>
      <c r="N49" s="2"/>
    </row>
    <row r="50" spans="1:14" ht="24">
      <c r="A50" s="49" t="s">
        <v>429</v>
      </c>
      <c r="B50" s="50" t="s">
        <v>194</v>
      </c>
      <c r="C50" s="50" t="s">
        <v>230</v>
      </c>
      <c r="D50" s="50" t="s">
        <v>240</v>
      </c>
      <c r="E50" s="50" t="s">
        <v>430</v>
      </c>
      <c r="F50" s="50" t="s">
        <v>431</v>
      </c>
      <c r="G50" s="50" t="s">
        <v>432</v>
      </c>
      <c r="H50" s="51" t="s">
        <v>433</v>
      </c>
      <c r="I50" s="2"/>
      <c r="J50" s="2"/>
      <c r="K50" s="2"/>
      <c r="L50" s="2"/>
      <c r="M50" s="2"/>
      <c r="N50" s="2"/>
    </row>
    <row r="51" spans="1:14" ht="24">
      <c r="A51" s="49" t="s">
        <v>434</v>
      </c>
      <c r="B51" s="50" t="s">
        <v>194</v>
      </c>
      <c r="C51" s="50" t="s">
        <v>230</v>
      </c>
      <c r="D51" s="50" t="s">
        <v>240</v>
      </c>
      <c r="E51" s="50" t="s">
        <v>435</v>
      </c>
      <c r="F51" s="50" t="s">
        <v>436</v>
      </c>
      <c r="G51" s="50" t="s">
        <v>417</v>
      </c>
      <c r="H51" s="51" t="s">
        <v>437</v>
      </c>
      <c r="I51" s="2"/>
      <c r="J51" s="2"/>
      <c r="K51" s="2"/>
      <c r="L51" s="2"/>
      <c r="M51" s="2"/>
      <c r="N51" s="2"/>
    </row>
    <row r="52" spans="1:14" ht="24">
      <c r="A52" s="49" t="s">
        <v>438</v>
      </c>
      <c r="B52" s="50" t="s">
        <v>194</v>
      </c>
      <c r="C52" s="50" t="s">
        <v>230</v>
      </c>
      <c r="D52" s="50" t="s">
        <v>240</v>
      </c>
      <c r="E52" s="50" t="s">
        <v>439</v>
      </c>
      <c r="F52" s="50" t="s">
        <v>440</v>
      </c>
      <c r="G52" s="50" t="s">
        <v>441</v>
      </c>
      <c r="H52" s="51" t="s">
        <v>442</v>
      </c>
      <c r="I52" s="2"/>
      <c r="J52" s="2"/>
      <c r="K52" s="2"/>
      <c r="L52" s="2"/>
      <c r="M52" s="2"/>
      <c r="N52" s="2"/>
    </row>
    <row r="53" spans="1:14" ht="24">
      <c r="A53" s="49" t="s">
        <v>443</v>
      </c>
      <c r="B53" s="50" t="s">
        <v>194</v>
      </c>
      <c r="C53" s="50" t="s">
        <v>230</v>
      </c>
      <c r="D53" s="50" t="s">
        <v>240</v>
      </c>
      <c r="E53" s="50" t="s">
        <v>444</v>
      </c>
      <c r="F53" s="50" t="s">
        <v>445</v>
      </c>
      <c r="G53" s="50" t="s">
        <v>446</v>
      </c>
      <c r="H53" s="51" t="s">
        <v>447</v>
      </c>
      <c r="I53" s="2"/>
      <c r="J53" s="2"/>
      <c r="K53" s="2"/>
      <c r="L53" s="2"/>
      <c r="M53" s="2"/>
      <c r="N53" s="2"/>
    </row>
    <row r="54" spans="1:14" ht="24">
      <c r="A54" s="49" t="s">
        <v>448</v>
      </c>
      <c r="B54" s="50" t="s">
        <v>194</v>
      </c>
      <c r="C54" s="50" t="s">
        <v>230</v>
      </c>
      <c r="D54" s="50" t="s">
        <v>240</v>
      </c>
      <c r="E54" s="50" t="s">
        <v>449</v>
      </c>
      <c r="F54" s="50" t="s">
        <v>450</v>
      </c>
      <c r="G54" s="50" t="s">
        <v>361</v>
      </c>
      <c r="H54" s="51" t="s">
        <v>451</v>
      </c>
      <c r="I54" s="2"/>
      <c r="J54" s="2"/>
      <c r="K54" s="2"/>
      <c r="L54" s="2"/>
      <c r="M54" s="2"/>
      <c r="N54" s="2"/>
    </row>
    <row r="55" spans="1:14" ht="24">
      <c r="A55" s="49" t="s">
        <v>452</v>
      </c>
      <c r="B55" s="50" t="s">
        <v>194</v>
      </c>
      <c r="C55" s="50" t="s">
        <v>238</v>
      </c>
      <c r="D55" s="50" t="s">
        <v>202</v>
      </c>
      <c r="E55" s="50" t="s">
        <v>453</v>
      </c>
      <c r="F55" s="50" t="s">
        <v>454</v>
      </c>
      <c r="G55" s="50" t="s">
        <v>455</v>
      </c>
      <c r="H55" s="51" t="s">
        <v>456</v>
      </c>
      <c r="I55" s="2"/>
      <c r="J55" s="2"/>
      <c r="K55" s="2"/>
      <c r="L55" s="2"/>
      <c r="M55" s="2"/>
      <c r="N55" s="2"/>
    </row>
    <row r="56" spans="1:14" ht="24">
      <c r="A56" s="49" t="s">
        <v>457</v>
      </c>
      <c r="B56" s="50" t="s">
        <v>194</v>
      </c>
      <c r="C56" s="50" t="s">
        <v>238</v>
      </c>
      <c r="D56" s="50" t="s">
        <v>202</v>
      </c>
      <c r="E56" s="50" t="s">
        <v>458</v>
      </c>
      <c r="F56" s="50" t="s">
        <v>459</v>
      </c>
      <c r="G56" s="50" t="s">
        <v>460</v>
      </c>
      <c r="H56" s="51" t="s">
        <v>461</v>
      </c>
      <c r="I56" s="2"/>
      <c r="J56" s="2"/>
      <c r="K56" s="2"/>
      <c r="L56" s="2"/>
      <c r="M56" s="2"/>
      <c r="N56" s="2"/>
    </row>
    <row r="57" spans="1:14" ht="24">
      <c r="A57" s="49" t="s">
        <v>462</v>
      </c>
      <c r="B57" s="50" t="s">
        <v>194</v>
      </c>
      <c r="C57" s="50" t="s">
        <v>238</v>
      </c>
      <c r="D57" s="50" t="s">
        <v>202</v>
      </c>
      <c r="E57" s="50" t="s">
        <v>463</v>
      </c>
      <c r="F57" s="50" t="s">
        <v>464</v>
      </c>
      <c r="G57" s="50" t="s">
        <v>211</v>
      </c>
      <c r="H57" s="51" t="s">
        <v>465</v>
      </c>
      <c r="I57" s="2"/>
      <c r="J57" s="2"/>
      <c r="K57" s="2"/>
      <c r="L57" s="2"/>
      <c r="M57" s="2"/>
      <c r="N57" s="2"/>
    </row>
    <row r="58" spans="1:14" ht="24">
      <c r="A58" s="49" t="s">
        <v>466</v>
      </c>
      <c r="B58" s="50" t="s">
        <v>194</v>
      </c>
      <c r="C58" s="50" t="s">
        <v>238</v>
      </c>
      <c r="D58" s="50" t="s">
        <v>202</v>
      </c>
      <c r="E58" s="50" t="s">
        <v>467</v>
      </c>
      <c r="F58" s="50" t="s">
        <v>468</v>
      </c>
      <c r="G58" s="50" t="s">
        <v>469</v>
      </c>
      <c r="H58" s="51" t="s">
        <v>470</v>
      </c>
      <c r="I58" s="2"/>
      <c r="J58" s="2"/>
      <c r="K58" s="2"/>
      <c r="L58" s="2"/>
      <c r="M58" s="2"/>
      <c r="N58" s="2"/>
    </row>
    <row r="59" spans="1:14" ht="24">
      <c r="A59" s="49" t="s">
        <v>471</v>
      </c>
      <c r="B59" s="50" t="s">
        <v>194</v>
      </c>
      <c r="C59" s="50" t="s">
        <v>238</v>
      </c>
      <c r="D59" s="50" t="s">
        <v>202</v>
      </c>
      <c r="E59" s="50" t="s">
        <v>472</v>
      </c>
      <c r="F59" s="50" t="s">
        <v>473</v>
      </c>
      <c r="G59" s="50" t="s">
        <v>474</v>
      </c>
      <c r="H59" s="51" t="s">
        <v>475</v>
      </c>
      <c r="I59" s="2"/>
      <c r="J59" s="2"/>
      <c r="K59" s="2"/>
      <c r="L59" s="2"/>
      <c r="M59" s="2"/>
      <c r="N59" s="2"/>
    </row>
    <row r="60" spans="1:14" ht="24">
      <c r="A60" s="49" t="s">
        <v>476</v>
      </c>
      <c r="B60" s="50" t="s">
        <v>194</v>
      </c>
      <c r="C60" s="50" t="s">
        <v>238</v>
      </c>
      <c r="D60" s="50" t="s">
        <v>240</v>
      </c>
      <c r="E60" s="50" t="s">
        <v>477</v>
      </c>
      <c r="F60" s="50" t="s">
        <v>478</v>
      </c>
      <c r="G60" s="50" t="s">
        <v>243</v>
      </c>
      <c r="H60" s="51" t="s">
        <v>479</v>
      </c>
      <c r="I60" s="2"/>
      <c r="J60" s="2"/>
      <c r="K60" s="2"/>
      <c r="L60" s="2"/>
      <c r="M60" s="2"/>
      <c r="N60" s="2"/>
    </row>
    <row r="61" spans="1:14" ht="24">
      <c r="A61" s="49" t="s">
        <v>480</v>
      </c>
      <c r="B61" s="50" t="s">
        <v>194</v>
      </c>
      <c r="C61" s="50" t="s">
        <v>238</v>
      </c>
      <c r="D61" s="50" t="s">
        <v>240</v>
      </c>
      <c r="E61" s="50" t="s">
        <v>481</v>
      </c>
      <c r="F61" s="50" t="s">
        <v>482</v>
      </c>
      <c r="G61" s="50" t="s">
        <v>259</v>
      </c>
      <c r="H61" s="51" t="s">
        <v>483</v>
      </c>
      <c r="I61" s="2"/>
      <c r="J61" s="2"/>
      <c r="K61" s="2"/>
      <c r="L61" s="2"/>
      <c r="M61" s="2"/>
      <c r="N61" s="2"/>
    </row>
    <row r="62" spans="1:14" ht="24">
      <c r="A62" s="49" t="s">
        <v>484</v>
      </c>
      <c r="B62" s="50" t="s">
        <v>194</v>
      </c>
      <c r="C62" s="50" t="s">
        <v>238</v>
      </c>
      <c r="D62" s="50" t="s">
        <v>240</v>
      </c>
      <c r="E62" s="50" t="s">
        <v>485</v>
      </c>
      <c r="F62" s="50" t="s">
        <v>486</v>
      </c>
      <c r="G62" s="50" t="s">
        <v>487</v>
      </c>
      <c r="H62" s="51" t="s">
        <v>488</v>
      </c>
      <c r="I62" s="2"/>
      <c r="J62" s="2"/>
      <c r="K62" s="2"/>
      <c r="L62" s="2"/>
      <c r="M62" s="2"/>
      <c r="N62" s="2"/>
    </row>
    <row r="63" spans="1:14" ht="24">
      <c r="A63" s="49" t="s">
        <v>489</v>
      </c>
      <c r="B63" s="50" t="s">
        <v>194</v>
      </c>
      <c r="C63" s="50" t="s">
        <v>238</v>
      </c>
      <c r="D63" s="50" t="s">
        <v>240</v>
      </c>
      <c r="E63" s="50" t="s">
        <v>490</v>
      </c>
      <c r="F63" s="50" t="s">
        <v>491</v>
      </c>
      <c r="G63" s="50" t="s">
        <v>492</v>
      </c>
      <c r="H63" s="51" t="s">
        <v>493</v>
      </c>
      <c r="I63" s="2"/>
      <c r="J63" s="2"/>
      <c r="K63" s="2"/>
      <c r="L63" s="2"/>
      <c r="M63" s="2"/>
      <c r="N63" s="2"/>
    </row>
    <row r="64" spans="1:14" ht="24">
      <c r="A64" s="49" t="s">
        <v>494</v>
      </c>
      <c r="B64" s="50" t="s">
        <v>194</v>
      </c>
      <c r="C64" s="50" t="s">
        <v>238</v>
      </c>
      <c r="D64" s="50" t="s">
        <v>240</v>
      </c>
      <c r="E64" s="50" t="s">
        <v>495</v>
      </c>
      <c r="F64" s="50" t="s">
        <v>496</v>
      </c>
      <c r="G64" s="50" t="s">
        <v>497</v>
      </c>
      <c r="H64" s="51" t="s">
        <v>498</v>
      </c>
      <c r="I64" s="2"/>
      <c r="J64" s="2"/>
      <c r="K64" s="2"/>
      <c r="L64" s="2"/>
      <c r="M64" s="2"/>
      <c r="N64" s="2"/>
    </row>
    <row r="65" spans="1:14" ht="24">
      <c r="A65" s="49" t="s">
        <v>499</v>
      </c>
      <c r="B65" s="50" t="s">
        <v>194</v>
      </c>
      <c r="C65" s="50" t="s">
        <v>245</v>
      </c>
      <c r="D65" s="50" t="s">
        <v>202</v>
      </c>
      <c r="E65" s="50" t="s">
        <v>500</v>
      </c>
      <c r="F65" s="50" t="s">
        <v>501</v>
      </c>
      <c r="G65" s="50" t="s">
        <v>502</v>
      </c>
      <c r="H65" s="51" t="s">
        <v>503</v>
      </c>
      <c r="I65" s="2"/>
      <c r="J65" s="2"/>
      <c r="K65" s="2"/>
      <c r="L65" s="2"/>
      <c r="M65" s="2"/>
      <c r="N65" s="2"/>
    </row>
    <row r="66" spans="1:14" ht="24">
      <c r="A66" s="49" t="s">
        <v>504</v>
      </c>
      <c r="B66" s="50" t="s">
        <v>194</v>
      </c>
      <c r="C66" s="50" t="s">
        <v>245</v>
      </c>
      <c r="D66" s="50" t="s">
        <v>202</v>
      </c>
      <c r="E66" s="50" t="s">
        <v>505</v>
      </c>
      <c r="F66" s="50" t="s">
        <v>506</v>
      </c>
      <c r="G66" s="50" t="s">
        <v>507</v>
      </c>
      <c r="H66" s="51" t="s">
        <v>508</v>
      </c>
      <c r="I66" s="2"/>
      <c r="J66" s="2"/>
      <c r="K66" s="2"/>
      <c r="L66" s="2"/>
      <c r="M66" s="2"/>
      <c r="N66" s="2"/>
    </row>
    <row r="67" spans="1:14" ht="24">
      <c r="A67" s="49" t="s">
        <v>509</v>
      </c>
      <c r="B67" s="50" t="s">
        <v>194</v>
      </c>
      <c r="C67" s="50" t="s">
        <v>245</v>
      </c>
      <c r="D67" s="50" t="s">
        <v>202</v>
      </c>
      <c r="E67" s="50" t="s">
        <v>510</v>
      </c>
      <c r="F67" s="50" t="s">
        <v>511</v>
      </c>
      <c r="G67" s="50" t="s">
        <v>512</v>
      </c>
      <c r="H67" s="51" t="s">
        <v>513</v>
      </c>
      <c r="I67" s="2"/>
      <c r="J67" s="2"/>
      <c r="K67" s="2"/>
      <c r="L67" s="2"/>
      <c r="M67" s="2"/>
      <c r="N67" s="2"/>
    </row>
    <row r="68" spans="1:14" ht="24">
      <c r="A68" s="49" t="s">
        <v>514</v>
      </c>
      <c r="B68" s="50" t="s">
        <v>194</v>
      </c>
      <c r="C68" s="50" t="s">
        <v>245</v>
      </c>
      <c r="D68" s="50" t="s">
        <v>202</v>
      </c>
      <c r="E68" s="50" t="s">
        <v>515</v>
      </c>
      <c r="F68" s="50" t="s">
        <v>516</v>
      </c>
      <c r="G68" s="50" t="s">
        <v>211</v>
      </c>
      <c r="H68" s="51" t="s">
        <v>517</v>
      </c>
      <c r="I68" s="2"/>
      <c r="J68" s="2"/>
      <c r="K68" s="2"/>
      <c r="L68" s="2"/>
      <c r="M68" s="2"/>
      <c r="N68" s="2"/>
    </row>
    <row r="69" spans="1:14" ht="24">
      <c r="A69" s="49" t="s">
        <v>518</v>
      </c>
      <c r="B69" s="50" t="s">
        <v>194</v>
      </c>
      <c r="C69" s="50" t="s">
        <v>245</v>
      </c>
      <c r="D69" s="50" t="s">
        <v>202</v>
      </c>
      <c r="E69" s="50" t="s">
        <v>519</v>
      </c>
      <c r="F69" s="50" t="s">
        <v>520</v>
      </c>
      <c r="G69" s="50" t="s">
        <v>521</v>
      </c>
      <c r="H69" s="51" t="s">
        <v>522</v>
      </c>
      <c r="I69" s="2"/>
      <c r="J69" s="2"/>
      <c r="K69" s="2"/>
      <c r="L69" s="2"/>
      <c r="M69" s="2"/>
      <c r="N69" s="2"/>
    </row>
    <row r="70" spans="1:14" ht="24">
      <c r="A70" s="49" t="s">
        <v>523</v>
      </c>
      <c r="B70" s="50" t="s">
        <v>194</v>
      </c>
      <c r="C70" s="50" t="s">
        <v>245</v>
      </c>
      <c r="D70" s="50" t="s">
        <v>240</v>
      </c>
      <c r="E70" s="50" t="s">
        <v>524</v>
      </c>
      <c r="F70" s="50" t="s">
        <v>525</v>
      </c>
      <c r="G70" s="50" t="s">
        <v>526</v>
      </c>
      <c r="H70" s="51" t="s">
        <v>527</v>
      </c>
      <c r="I70" s="2"/>
      <c r="J70" s="2"/>
      <c r="K70" s="2"/>
      <c r="L70" s="2"/>
      <c r="M70" s="2"/>
      <c r="N70" s="2"/>
    </row>
    <row r="71" spans="1:14" ht="24">
      <c r="A71" s="49" t="s">
        <v>528</v>
      </c>
      <c r="B71" s="50" t="s">
        <v>194</v>
      </c>
      <c r="C71" s="50" t="s">
        <v>245</v>
      </c>
      <c r="D71" s="50" t="s">
        <v>240</v>
      </c>
      <c r="E71" s="50" t="s">
        <v>529</v>
      </c>
      <c r="F71" s="50" t="s">
        <v>530</v>
      </c>
      <c r="G71" s="50" t="s">
        <v>531</v>
      </c>
      <c r="H71" s="51" t="s">
        <v>532</v>
      </c>
      <c r="I71" s="2"/>
      <c r="J71" s="2"/>
      <c r="K71" s="2"/>
      <c r="L71" s="2"/>
      <c r="M71" s="2"/>
      <c r="N71" s="2"/>
    </row>
    <row r="72" spans="1:14" ht="24">
      <c r="A72" s="49" t="s">
        <v>533</v>
      </c>
      <c r="B72" s="50" t="s">
        <v>194</v>
      </c>
      <c r="C72" s="50" t="s">
        <v>245</v>
      </c>
      <c r="D72" s="50" t="s">
        <v>240</v>
      </c>
      <c r="E72" s="50" t="s">
        <v>534</v>
      </c>
      <c r="F72" s="50" t="s">
        <v>535</v>
      </c>
      <c r="G72" s="50" t="s">
        <v>536</v>
      </c>
      <c r="H72" s="51" t="s">
        <v>537</v>
      </c>
      <c r="I72" s="2"/>
      <c r="J72" s="2"/>
      <c r="K72" s="2"/>
      <c r="L72" s="2"/>
      <c r="M72" s="2"/>
      <c r="N72" s="2"/>
    </row>
    <row r="73" spans="1:14" ht="24">
      <c r="A73" s="49" t="s">
        <v>538</v>
      </c>
      <c r="B73" s="50" t="s">
        <v>194</v>
      </c>
      <c r="C73" s="50" t="s">
        <v>245</v>
      </c>
      <c r="D73" s="50" t="s">
        <v>240</v>
      </c>
      <c r="E73" s="50" t="s">
        <v>539</v>
      </c>
      <c r="F73" s="50" t="s">
        <v>540</v>
      </c>
      <c r="G73" s="50" t="s">
        <v>541</v>
      </c>
      <c r="H73" s="51" t="s">
        <v>542</v>
      </c>
      <c r="I73" s="2"/>
      <c r="J73" s="2"/>
      <c r="K73" s="2"/>
      <c r="L73" s="2"/>
      <c r="M73" s="2"/>
      <c r="N73" s="2"/>
    </row>
    <row r="74" spans="1:14" ht="24">
      <c r="A74" s="49" t="s">
        <v>543</v>
      </c>
      <c r="B74" s="50" t="s">
        <v>194</v>
      </c>
      <c r="C74" s="50" t="s">
        <v>245</v>
      </c>
      <c r="D74" s="50" t="s">
        <v>240</v>
      </c>
      <c r="E74" s="50" t="s">
        <v>544</v>
      </c>
      <c r="F74" s="50" t="s">
        <v>545</v>
      </c>
      <c r="G74" s="50" t="s">
        <v>546</v>
      </c>
      <c r="H74" s="51" t="s">
        <v>547</v>
      </c>
      <c r="I74" s="2"/>
      <c r="J74" s="2"/>
      <c r="K74" s="2"/>
      <c r="L74" s="2"/>
      <c r="M74" s="2"/>
      <c r="N74" s="2"/>
    </row>
    <row r="75" spans="1:14" ht="24">
      <c r="A75" s="49" t="s">
        <v>548</v>
      </c>
      <c r="B75" s="50" t="s">
        <v>194</v>
      </c>
      <c r="C75" s="50" t="s">
        <v>251</v>
      </c>
      <c r="D75" s="50" t="s">
        <v>202</v>
      </c>
      <c r="E75" s="50" t="s">
        <v>205</v>
      </c>
      <c r="F75" s="50" t="s">
        <v>549</v>
      </c>
      <c r="G75" s="50" t="s">
        <v>205</v>
      </c>
      <c r="H75" s="51" t="s">
        <v>550</v>
      </c>
      <c r="I75" s="2"/>
      <c r="J75" s="2"/>
      <c r="K75" s="2"/>
      <c r="L75" s="2"/>
      <c r="M75" s="2"/>
      <c r="N75" s="2"/>
    </row>
    <row r="76" spans="1:14" ht="24">
      <c r="A76" s="49" t="s">
        <v>551</v>
      </c>
      <c r="B76" s="50" t="s">
        <v>194</v>
      </c>
      <c r="C76" s="50" t="s">
        <v>251</v>
      </c>
      <c r="D76" s="50" t="s">
        <v>202</v>
      </c>
      <c r="E76" s="50" t="s">
        <v>211</v>
      </c>
      <c r="F76" s="50" t="s">
        <v>552</v>
      </c>
      <c r="G76" s="50" t="s">
        <v>211</v>
      </c>
      <c r="H76" s="51" t="s">
        <v>465</v>
      </c>
      <c r="I76" s="2"/>
      <c r="J76" s="2"/>
      <c r="K76" s="2"/>
      <c r="L76" s="2"/>
      <c r="M76" s="2"/>
      <c r="N76" s="2"/>
    </row>
    <row r="77" spans="1:14" ht="24">
      <c r="A77" s="49" t="s">
        <v>553</v>
      </c>
      <c r="B77" s="50" t="s">
        <v>194</v>
      </c>
      <c r="C77" s="50" t="s">
        <v>251</v>
      </c>
      <c r="D77" s="50" t="s">
        <v>202</v>
      </c>
      <c r="E77" s="50" t="s">
        <v>217</v>
      </c>
      <c r="F77" s="50" t="s">
        <v>554</v>
      </c>
      <c r="G77" s="50" t="s">
        <v>219</v>
      </c>
      <c r="H77" s="51" t="s">
        <v>555</v>
      </c>
      <c r="I77" s="2"/>
      <c r="J77" s="2"/>
      <c r="K77" s="2"/>
      <c r="L77" s="2"/>
      <c r="M77" s="2"/>
      <c r="N77" s="2"/>
    </row>
    <row r="78" spans="1:14" ht="24">
      <c r="A78" s="49" t="s">
        <v>556</v>
      </c>
      <c r="B78" s="50" t="s">
        <v>194</v>
      </c>
      <c r="C78" s="50" t="s">
        <v>251</v>
      </c>
      <c r="D78" s="50" t="s">
        <v>202</v>
      </c>
      <c r="E78" s="50" t="s">
        <v>557</v>
      </c>
      <c r="F78" s="50" t="s">
        <v>558</v>
      </c>
      <c r="G78" s="50" t="s">
        <v>559</v>
      </c>
      <c r="H78" s="51" t="s">
        <v>560</v>
      </c>
      <c r="I78" s="2"/>
      <c r="J78" s="2"/>
      <c r="K78" s="2"/>
      <c r="L78" s="2"/>
      <c r="M78" s="2"/>
      <c r="N78" s="2"/>
    </row>
    <row r="79" spans="1:14" ht="24">
      <c r="A79" s="49" t="s">
        <v>561</v>
      </c>
      <c r="B79" s="50" t="s">
        <v>194</v>
      </c>
      <c r="C79" s="50" t="s">
        <v>251</v>
      </c>
      <c r="D79" s="50" t="s">
        <v>202</v>
      </c>
      <c r="E79" s="50" t="s">
        <v>562</v>
      </c>
      <c r="F79" s="50" t="s">
        <v>563</v>
      </c>
      <c r="G79" s="50" t="s">
        <v>564</v>
      </c>
      <c r="H79" s="51" t="s">
        <v>565</v>
      </c>
      <c r="I79" s="2"/>
      <c r="J79" s="2"/>
      <c r="K79" s="2"/>
      <c r="L79" s="2"/>
      <c r="M79" s="2"/>
      <c r="N79" s="2"/>
    </row>
    <row r="80" spans="1:14" ht="24">
      <c r="A80" s="49" t="s">
        <v>566</v>
      </c>
      <c r="B80" s="50" t="s">
        <v>194</v>
      </c>
      <c r="C80" s="50" t="s">
        <v>251</v>
      </c>
      <c r="D80" s="50" t="s">
        <v>240</v>
      </c>
      <c r="E80" s="50" t="s">
        <v>247</v>
      </c>
      <c r="F80" s="50" t="s">
        <v>567</v>
      </c>
      <c r="G80" s="50" t="s">
        <v>568</v>
      </c>
      <c r="H80" s="51" t="s">
        <v>569</v>
      </c>
      <c r="I80" s="2"/>
      <c r="J80" s="2"/>
      <c r="K80" s="2"/>
      <c r="L80" s="2"/>
      <c r="M80" s="2"/>
      <c r="N80" s="2"/>
    </row>
    <row r="81" spans="1:14" ht="24">
      <c r="A81" s="49" t="s">
        <v>570</v>
      </c>
      <c r="B81" s="50" t="s">
        <v>194</v>
      </c>
      <c r="C81" s="50" t="s">
        <v>251</v>
      </c>
      <c r="D81" s="50" t="s">
        <v>240</v>
      </c>
      <c r="E81" s="50" t="s">
        <v>571</v>
      </c>
      <c r="F81" s="50" t="s">
        <v>572</v>
      </c>
      <c r="G81" s="50" t="s">
        <v>219</v>
      </c>
      <c r="H81" s="51" t="s">
        <v>573</v>
      </c>
      <c r="I81" s="2"/>
      <c r="J81" s="2"/>
      <c r="K81" s="2"/>
      <c r="L81" s="2"/>
      <c r="M81" s="2"/>
      <c r="N81" s="2"/>
    </row>
    <row r="82" spans="1:14" ht="24">
      <c r="A82" s="49" t="s">
        <v>574</v>
      </c>
      <c r="B82" s="50" t="s">
        <v>194</v>
      </c>
      <c r="C82" s="50" t="s">
        <v>251</v>
      </c>
      <c r="D82" s="50" t="s">
        <v>240</v>
      </c>
      <c r="E82" s="50" t="s">
        <v>575</v>
      </c>
      <c r="F82" s="50" t="s">
        <v>576</v>
      </c>
      <c r="G82" s="50" t="s">
        <v>243</v>
      </c>
      <c r="H82" s="51" t="s">
        <v>577</v>
      </c>
      <c r="I82" s="2"/>
      <c r="J82" s="2"/>
      <c r="K82" s="2"/>
      <c r="L82" s="2"/>
      <c r="M82" s="2"/>
      <c r="N82" s="2"/>
    </row>
    <row r="83" spans="1:14" ht="24">
      <c r="A83" s="49" t="s">
        <v>578</v>
      </c>
      <c r="B83" s="50" t="s">
        <v>194</v>
      </c>
      <c r="C83" s="50" t="s">
        <v>251</v>
      </c>
      <c r="D83" s="50" t="s">
        <v>240</v>
      </c>
      <c r="E83" s="50" t="s">
        <v>579</v>
      </c>
      <c r="F83" s="50" t="s">
        <v>580</v>
      </c>
      <c r="G83" s="50" t="s">
        <v>581</v>
      </c>
      <c r="H83" s="51" t="s">
        <v>582</v>
      </c>
      <c r="I83" s="2"/>
      <c r="J83" s="2"/>
      <c r="K83" s="2"/>
      <c r="L83" s="2"/>
      <c r="M83" s="2"/>
      <c r="N83" s="2"/>
    </row>
    <row r="84" spans="1:14" ht="24">
      <c r="A84" s="49" t="s">
        <v>583</v>
      </c>
      <c r="B84" s="50" t="s">
        <v>194</v>
      </c>
      <c r="C84" s="50" t="s">
        <v>251</v>
      </c>
      <c r="D84" s="50" t="s">
        <v>240</v>
      </c>
      <c r="E84" s="50" t="s">
        <v>584</v>
      </c>
      <c r="F84" s="50" t="s">
        <v>585</v>
      </c>
      <c r="G84" s="50" t="s">
        <v>531</v>
      </c>
      <c r="H84" s="51" t="s">
        <v>586</v>
      </c>
      <c r="I84" s="2"/>
      <c r="J84" s="2"/>
      <c r="K84" s="2"/>
      <c r="L84" s="2"/>
      <c r="M84" s="2"/>
      <c r="N84" s="2"/>
    </row>
    <row r="85" spans="1:1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5"/>
  <sheetViews>
    <sheetView topLeftCell="A5" workbookViewId="0">
      <selection activeCell="D5" sqref="D5"/>
    </sheetView>
  </sheetViews>
  <sheetFormatPr defaultRowHeight="14.25"/>
  <cols>
    <col min="1" max="1" width="11" customWidth="1"/>
    <col min="2" max="2" width="13.5" customWidth="1"/>
    <col min="3" max="3" width="24" customWidth="1"/>
    <col min="4" max="4" width="52" customWidth="1"/>
    <col min="5" max="5" width="16" customWidth="1"/>
    <col min="6" max="6" width="28" customWidth="1"/>
    <col min="7" max="8" width="12" customWidth="1"/>
    <col min="9" max="9" width="16" customWidth="1"/>
    <col min="10" max="10" width="12" customWidth="1"/>
    <col min="11" max="11" width="28" customWidth="1"/>
    <col min="12" max="13" width="11" customWidth="1"/>
    <col min="14" max="14" width="13" customWidth="1"/>
    <col min="15" max="15" width="11" customWidth="1"/>
    <col min="16" max="16" width="8" customWidth="1"/>
  </cols>
  <sheetData>
    <row r="1" spans="1:16" ht="16.5">
      <c r="A1" s="35" t="s">
        <v>587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36" t="s">
        <v>588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s="45" customFormat="1" ht="31.5">
      <c r="A4" s="42" t="s">
        <v>75</v>
      </c>
      <c r="B4" s="43" t="s">
        <v>76</v>
      </c>
      <c r="C4" s="43" t="s">
        <v>78</v>
      </c>
      <c r="D4" s="43" t="s">
        <v>101</v>
      </c>
      <c r="E4" s="43" t="s">
        <v>589</v>
      </c>
      <c r="F4" s="43" t="s">
        <v>590</v>
      </c>
      <c r="G4" s="43" t="s">
        <v>591</v>
      </c>
      <c r="H4" s="43" t="s">
        <v>592</v>
      </c>
      <c r="I4" s="43" t="s">
        <v>61</v>
      </c>
      <c r="J4" s="43" t="s">
        <v>593</v>
      </c>
      <c r="K4" s="43" t="s">
        <v>87</v>
      </c>
      <c r="L4" s="43" t="s">
        <v>594</v>
      </c>
      <c r="M4" s="43" t="s">
        <v>595</v>
      </c>
      <c r="N4" s="43" t="s">
        <v>596</v>
      </c>
      <c r="O4" s="43" t="s">
        <v>597</v>
      </c>
      <c r="P4" s="44" t="s">
        <v>598</v>
      </c>
    </row>
    <row r="5" spans="1:16" s="38" customFormat="1" ht="22.5" customHeight="1">
      <c r="A5" s="39" t="str">
        <f>'SWOT Assessment'!A5</f>
        <v>CORE-I01</v>
      </c>
      <c r="B5" s="40" t="str">
        <f>'SWOT Assessment'!B5</f>
        <v>Internal</v>
      </c>
      <c r="C5" s="40" t="str">
        <f>'SWOT Assessment'!D5</f>
        <v>Purpose &amp; Governance</v>
      </c>
      <c r="D5" s="40">
        <f>'SWOT Assessment'!F5</f>
        <v>0</v>
      </c>
      <c r="E5" s="40" t="str">
        <f>'SWOT Assessment'!H5</f>
        <v/>
      </c>
      <c r="F5" s="40">
        <f>'SWOT Assessment'!I5</f>
        <v>0</v>
      </c>
      <c r="G5" s="40">
        <f>'SWOT Assessment'!J5</f>
        <v>3</v>
      </c>
      <c r="H5" s="40">
        <f>'SWOT Assessment'!K5</f>
        <v>1</v>
      </c>
      <c r="I5" s="40" t="str">
        <f>'SWOT Assessment'!L5</f>
        <v/>
      </c>
      <c r="J5" s="40" t="str">
        <f>IF(OR(E5="",E5="Review",I5=""),"",COUNTIFS($E$5:$E$24,E5,$I$5:$I$24,"&gt;"&amp;I5)+COUNTIFS($E$5:E5,E5,$I$5:I5,I5))</f>
        <v/>
      </c>
      <c r="K5" s="40" t="str">
        <f>'SWOT Assessment'!N5</f>
        <v>Governance &amp; Leadership</v>
      </c>
      <c r="L5" s="40" t="str">
        <f t="shared" ref="L5:L24" si="0">IF(E5="Strength",J5,"")</f>
        <v/>
      </c>
      <c r="M5" s="40" t="str">
        <f t="shared" ref="M5:M24" si="1">IF(E5="Weakness",J5,"")</f>
        <v/>
      </c>
      <c r="N5" s="40" t="str">
        <f t="shared" ref="N5:N24" si="2">IF(E5="Opportunity",J5,"")</f>
        <v/>
      </c>
      <c r="O5" s="40" t="str">
        <f t="shared" ref="O5:O24" si="3">IF(E5="Threat",J5,"")</f>
        <v/>
      </c>
      <c r="P5" s="41">
        <v>1</v>
      </c>
    </row>
    <row r="6" spans="1:16" s="38" customFormat="1" ht="22.5" customHeight="1">
      <c r="A6" s="39" t="str">
        <f>'SWOT Assessment'!A6</f>
        <v>CORE-I02</v>
      </c>
      <c r="B6" s="40" t="str">
        <f>'SWOT Assessment'!B6</f>
        <v>Internal</v>
      </c>
      <c r="C6" s="40" t="str">
        <f>'SWOT Assessment'!D6</f>
        <v>Leadership &amp; People</v>
      </c>
      <c r="D6" s="40">
        <f>'SWOT Assessment'!F6</f>
        <v>0</v>
      </c>
      <c r="E6" s="40" t="str">
        <f>'SWOT Assessment'!H6</f>
        <v/>
      </c>
      <c r="F6" s="40">
        <f>'SWOT Assessment'!I6</f>
        <v>0</v>
      </c>
      <c r="G6" s="40">
        <f>'SWOT Assessment'!J6</f>
        <v>3</v>
      </c>
      <c r="H6" s="40">
        <f>'SWOT Assessment'!K6</f>
        <v>1</v>
      </c>
      <c r="I6" s="40" t="str">
        <f>'SWOT Assessment'!L6</f>
        <v/>
      </c>
      <c r="J6" s="40" t="str">
        <f>IF(OR(E6="",E6="Review",I6=""),"",COUNTIFS($E$5:$E$24,E6,$I$5:$I$24,"&gt;"&amp;I6)+COUNTIFS($E$5:E6,E6,$I$5:I6,I6))</f>
        <v/>
      </c>
      <c r="K6" s="40" t="str">
        <f>'SWOT Assessment'!N6</f>
        <v>People &amp; Capability</v>
      </c>
      <c r="L6" s="40" t="str">
        <f t="shared" si="0"/>
        <v/>
      </c>
      <c r="M6" s="40" t="str">
        <f t="shared" si="1"/>
        <v/>
      </c>
      <c r="N6" s="40" t="str">
        <f t="shared" si="2"/>
        <v/>
      </c>
      <c r="O6" s="40" t="str">
        <f t="shared" si="3"/>
        <v/>
      </c>
      <c r="P6" s="41">
        <v>2</v>
      </c>
    </row>
    <row r="7" spans="1:16" s="38" customFormat="1" ht="22.5" customHeight="1">
      <c r="A7" s="39" t="str">
        <f>'SWOT Assessment'!A7</f>
        <v>CORE-I03</v>
      </c>
      <c r="B7" s="40" t="str">
        <f>'SWOT Assessment'!B7</f>
        <v>Internal</v>
      </c>
      <c r="C7" s="40" t="str">
        <f>'SWOT Assessment'!D7</f>
        <v>Resources &amp; Finance</v>
      </c>
      <c r="D7" s="40">
        <f>'SWOT Assessment'!F7</f>
        <v>0</v>
      </c>
      <c r="E7" s="40" t="str">
        <f>'SWOT Assessment'!H7</f>
        <v/>
      </c>
      <c r="F7" s="40">
        <f>'SWOT Assessment'!I7</f>
        <v>0</v>
      </c>
      <c r="G7" s="40">
        <f>'SWOT Assessment'!J7</f>
        <v>3</v>
      </c>
      <c r="H7" s="40">
        <f>'SWOT Assessment'!K7</f>
        <v>1</v>
      </c>
      <c r="I7" s="40" t="str">
        <f>'SWOT Assessment'!L7</f>
        <v/>
      </c>
      <c r="J7" s="40" t="str">
        <f>IF(OR(E7="",E7="Review",I7=""),"",COUNTIFS($E$5:$E$24,E7,$I$5:$I$24,"&gt;"&amp;I7)+COUNTIFS($E$5:E7,E7,$I$5:I7,I7))</f>
        <v/>
      </c>
      <c r="K7" s="40" t="str">
        <f>'SWOT Assessment'!N7</f>
        <v>Finance &amp; Sustainability</v>
      </c>
      <c r="L7" s="40" t="str">
        <f t="shared" si="0"/>
        <v/>
      </c>
      <c r="M7" s="40" t="str">
        <f t="shared" si="1"/>
        <v/>
      </c>
      <c r="N7" s="40" t="str">
        <f t="shared" si="2"/>
        <v/>
      </c>
      <c r="O7" s="40" t="str">
        <f t="shared" si="3"/>
        <v/>
      </c>
      <c r="P7" s="41">
        <v>3</v>
      </c>
    </row>
    <row r="8" spans="1:16" s="38" customFormat="1" ht="22.5" customHeight="1">
      <c r="A8" s="39" t="str">
        <f>'SWOT Assessment'!A8</f>
        <v>CORE-I04</v>
      </c>
      <c r="B8" s="40" t="str">
        <f>'SWOT Assessment'!B8</f>
        <v>Internal</v>
      </c>
      <c r="C8" s="40" t="str">
        <f>'SWOT Assessment'!D8</f>
        <v>Operations &amp; Systems</v>
      </c>
      <c r="D8" s="40">
        <f>'SWOT Assessment'!F8</f>
        <v>0</v>
      </c>
      <c r="E8" s="40" t="str">
        <f>'SWOT Assessment'!H8</f>
        <v/>
      </c>
      <c r="F8" s="40">
        <f>'SWOT Assessment'!I8</f>
        <v>0</v>
      </c>
      <c r="G8" s="40">
        <f>'SWOT Assessment'!J8</f>
        <v>3</v>
      </c>
      <c r="H8" s="40">
        <f>'SWOT Assessment'!K8</f>
        <v>1</v>
      </c>
      <c r="I8" s="40" t="str">
        <f>'SWOT Assessment'!L8</f>
        <v/>
      </c>
      <c r="J8" s="40" t="str">
        <f>IF(OR(E8="",E8="Review",I8=""),"",COUNTIFS($E$5:$E$24,E8,$I$5:$I$24,"&gt;"&amp;I8)+COUNTIFS($E$5:E8,E8,$I$5:I8,I8))</f>
        <v/>
      </c>
      <c r="K8" s="40" t="str">
        <f>'SWOT Assessment'!N8</f>
        <v>Operations &amp; Systems</v>
      </c>
      <c r="L8" s="40" t="str">
        <f t="shared" si="0"/>
        <v/>
      </c>
      <c r="M8" s="40" t="str">
        <f t="shared" si="1"/>
        <v/>
      </c>
      <c r="N8" s="40" t="str">
        <f t="shared" si="2"/>
        <v/>
      </c>
      <c r="O8" s="40" t="str">
        <f t="shared" si="3"/>
        <v/>
      </c>
      <c r="P8" s="41">
        <v>4</v>
      </c>
    </row>
    <row r="9" spans="1:16" s="38" customFormat="1" ht="22.5" customHeight="1">
      <c r="A9" s="39" t="str">
        <f>'SWOT Assessment'!A9</f>
        <v>CORE-I05</v>
      </c>
      <c r="B9" s="40" t="str">
        <f>'SWOT Assessment'!B9</f>
        <v>Internal</v>
      </c>
      <c r="C9" s="40" t="str">
        <f>'SWOT Assessment'!D9</f>
        <v>Evidence &amp; Service Delivery</v>
      </c>
      <c r="D9" s="40">
        <f>'SWOT Assessment'!F9</f>
        <v>0</v>
      </c>
      <c r="E9" s="40" t="str">
        <f>'SWOT Assessment'!H9</f>
        <v/>
      </c>
      <c r="F9" s="40">
        <f>'SWOT Assessment'!I9</f>
        <v>0</v>
      </c>
      <c r="G9" s="40">
        <f>'SWOT Assessment'!J9</f>
        <v>3</v>
      </c>
      <c r="H9" s="40">
        <f>'SWOT Assessment'!K9</f>
        <v>1</v>
      </c>
      <c r="I9" s="40" t="str">
        <f>'SWOT Assessment'!L9</f>
        <v/>
      </c>
      <c r="J9" s="40" t="str">
        <f>IF(OR(E9="",E9="Review",I9=""),"",COUNTIFS($E$5:$E$24,E9,$I$5:$I$24,"&gt;"&amp;I9)+COUNTIFS($E$5:E9,E9,$I$5:I9,I9))</f>
        <v/>
      </c>
      <c r="K9" s="40" t="str">
        <f>'SWOT Assessment'!N9</f>
        <v>Data, Monitoring &amp; Service Quality</v>
      </c>
      <c r="L9" s="40" t="str">
        <f t="shared" si="0"/>
        <v/>
      </c>
      <c r="M9" s="40" t="str">
        <f t="shared" si="1"/>
        <v/>
      </c>
      <c r="N9" s="40" t="str">
        <f t="shared" si="2"/>
        <v/>
      </c>
      <c r="O9" s="40" t="str">
        <f t="shared" si="3"/>
        <v/>
      </c>
      <c r="P9" s="41">
        <v>5</v>
      </c>
    </row>
    <row r="10" spans="1:16" s="38" customFormat="1" ht="22.5" customHeight="1">
      <c r="A10" s="39" t="str">
        <f>'SWOT Assessment'!A10</f>
        <v>CORE-E01</v>
      </c>
      <c r="B10" s="40" t="str">
        <f>'SWOT Assessment'!B10</f>
        <v>External</v>
      </c>
      <c r="C10" s="40" t="str">
        <f>'SWOT Assessment'!D10</f>
        <v>Demand &amp; Community</v>
      </c>
      <c r="D10" s="40">
        <f>'SWOT Assessment'!F10</f>
        <v>0</v>
      </c>
      <c r="E10" s="40" t="str">
        <f>'SWOT Assessment'!H10</f>
        <v/>
      </c>
      <c r="F10" s="40">
        <f>'SWOT Assessment'!I10</f>
        <v>0</v>
      </c>
      <c r="G10" s="40">
        <f>'SWOT Assessment'!J10</f>
        <v>3</v>
      </c>
      <c r="H10" s="40">
        <f>'SWOT Assessment'!K10</f>
        <v>1</v>
      </c>
      <c r="I10" s="40" t="str">
        <f>'SWOT Assessment'!L10</f>
        <v/>
      </c>
      <c r="J10" s="40" t="str">
        <f>IF(OR(E10="",E10="Review",I10=""),"",COUNTIFS($E$5:$E$24,E10,$I$5:$I$24,"&gt;"&amp;I10)+COUNTIFS($E$5:E10,E10,$I$5:I10,I10))</f>
        <v/>
      </c>
      <c r="K10" s="40" t="str">
        <f>'SWOT Assessment'!N10</f>
        <v>Participation &amp; Community</v>
      </c>
      <c r="L10" s="40" t="str">
        <f t="shared" si="0"/>
        <v/>
      </c>
      <c r="M10" s="40" t="str">
        <f t="shared" si="1"/>
        <v/>
      </c>
      <c r="N10" s="40" t="str">
        <f t="shared" si="2"/>
        <v/>
      </c>
      <c r="O10" s="40" t="str">
        <f t="shared" si="3"/>
        <v/>
      </c>
      <c r="P10" s="41">
        <v>6</v>
      </c>
    </row>
    <row r="11" spans="1:16" s="38" customFormat="1" ht="22.5" customHeight="1">
      <c r="A11" s="39" t="str">
        <f>'SWOT Assessment'!A11</f>
        <v>CORE-E02</v>
      </c>
      <c r="B11" s="40" t="str">
        <f>'SWOT Assessment'!B11</f>
        <v>External</v>
      </c>
      <c r="C11" s="40" t="str">
        <f>'SWOT Assessment'!D11</f>
        <v>Policy &amp; Institutions</v>
      </c>
      <c r="D11" s="40">
        <f>'SWOT Assessment'!F11</f>
        <v>0</v>
      </c>
      <c r="E11" s="40" t="str">
        <f>'SWOT Assessment'!H11</f>
        <v/>
      </c>
      <c r="F11" s="40">
        <f>'SWOT Assessment'!I11</f>
        <v>0</v>
      </c>
      <c r="G11" s="40">
        <f>'SWOT Assessment'!J11</f>
        <v>3</v>
      </c>
      <c r="H11" s="40">
        <f>'SWOT Assessment'!K11</f>
        <v>1</v>
      </c>
      <c r="I11" s="40" t="str">
        <f>'SWOT Assessment'!L11</f>
        <v/>
      </c>
      <c r="J11" s="40" t="str">
        <f>IF(OR(E11="",E11="Review",I11=""),"",COUNTIFS($E$5:$E$24,E11,$I$5:$I$24,"&gt;"&amp;I11)+COUNTIFS($E$5:E11,E11,$I$5:I11,I11))</f>
        <v/>
      </c>
      <c r="K11" s="40" t="str">
        <f>'SWOT Assessment'!N11</f>
        <v>Governance &amp; External Relations</v>
      </c>
      <c r="L11" s="40" t="str">
        <f t="shared" si="0"/>
        <v/>
      </c>
      <c r="M11" s="40" t="str">
        <f t="shared" si="1"/>
        <v/>
      </c>
      <c r="N11" s="40" t="str">
        <f t="shared" si="2"/>
        <v/>
      </c>
      <c r="O11" s="40" t="str">
        <f t="shared" si="3"/>
        <v/>
      </c>
      <c r="P11" s="41">
        <v>7</v>
      </c>
    </row>
    <row r="12" spans="1:16" s="38" customFormat="1" ht="22.5" customHeight="1">
      <c r="A12" s="39" t="str">
        <f>'SWOT Assessment'!A12</f>
        <v>CORE-E03</v>
      </c>
      <c r="B12" s="40" t="str">
        <f>'SWOT Assessment'!B12</f>
        <v>External</v>
      </c>
      <c r="C12" s="40" t="str">
        <f>'SWOT Assessment'!D12</f>
        <v>Funding &amp; Economy</v>
      </c>
      <c r="D12" s="40">
        <f>'SWOT Assessment'!F12</f>
        <v>0</v>
      </c>
      <c r="E12" s="40" t="str">
        <f>'SWOT Assessment'!H12</f>
        <v/>
      </c>
      <c r="F12" s="40">
        <f>'SWOT Assessment'!I12</f>
        <v>0</v>
      </c>
      <c r="G12" s="40">
        <f>'SWOT Assessment'!J12</f>
        <v>3</v>
      </c>
      <c r="H12" s="40">
        <f>'SWOT Assessment'!K12</f>
        <v>1</v>
      </c>
      <c r="I12" s="40" t="str">
        <f>'SWOT Assessment'!L12</f>
        <v/>
      </c>
      <c r="J12" s="40" t="str">
        <f>IF(OR(E12="",E12="Review",I12=""),"",COUNTIFS($E$5:$E$24,E12,$I$5:$I$24,"&gt;"&amp;I12)+COUNTIFS($E$5:E12,E12,$I$5:I12,I12))</f>
        <v/>
      </c>
      <c r="K12" s="40" t="str">
        <f>'SWOT Assessment'!N12</f>
        <v>Finance &amp; Sustainability</v>
      </c>
      <c r="L12" s="40" t="str">
        <f t="shared" si="0"/>
        <v/>
      </c>
      <c r="M12" s="40" t="str">
        <f t="shared" si="1"/>
        <v/>
      </c>
      <c r="N12" s="40" t="str">
        <f t="shared" si="2"/>
        <v/>
      </c>
      <c r="O12" s="40" t="str">
        <f t="shared" si="3"/>
        <v/>
      </c>
      <c r="P12" s="41">
        <v>8</v>
      </c>
    </row>
    <row r="13" spans="1:16" s="38" customFormat="1" ht="22.5" customHeight="1">
      <c r="A13" s="39" t="str">
        <f>'SWOT Assessment'!A13</f>
        <v>CORE-E04</v>
      </c>
      <c r="B13" s="40" t="str">
        <f>'SWOT Assessment'!B13</f>
        <v>External</v>
      </c>
      <c r="C13" s="40" t="str">
        <f>'SWOT Assessment'!D13</f>
        <v>Partnerships &amp; Network</v>
      </c>
      <c r="D13" s="40">
        <f>'SWOT Assessment'!F13</f>
        <v>0</v>
      </c>
      <c r="E13" s="40" t="str">
        <f>'SWOT Assessment'!H13</f>
        <v/>
      </c>
      <c r="F13" s="40">
        <f>'SWOT Assessment'!I13</f>
        <v>0</v>
      </c>
      <c r="G13" s="40">
        <f>'SWOT Assessment'!J13</f>
        <v>3</v>
      </c>
      <c r="H13" s="40">
        <f>'SWOT Assessment'!K13</f>
        <v>1</v>
      </c>
      <c r="I13" s="40" t="str">
        <f>'SWOT Assessment'!L13</f>
        <v/>
      </c>
      <c r="J13" s="40" t="str">
        <f>IF(OR(E13="",E13="Review",I13=""),"",COUNTIFS($E$5:$E$24,E13,$I$5:$I$24,"&gt;"&amp;I13)+COUNTIFS($E$5:E13,E13,$I$5:I13,I13))</f>
        <v/>
      </c>
      <c r="K13" s="40" t="str">
        <f>'SWOT Assessment'!N13</f>
        <v>Partnerships &amp; Stakeholders</v>
      </c>
      <c r="L13" s="40" t="str">
        <f t="shared" si="0"/>
        <v/>
      </c>
      <c r="M13" s="40" t="str">
        <f t="shared" si="1"/>
        <v/>
      </c>
      <c r="N13" s="40" t="str">
        <f t="shared" si="2"/>
        <v/>
      </c>
      <c r="O13" s="40" t="str">
        <f t="shared" si="3"/>
        <v/>
      </c>
      <c r="P13" s="41">
        <v>9</v>
      </c>
    </row>
    <row r="14" spans="1:16" s="38" customFormat="1" ht="22.5" customHeight="1">
      <c r="A14" s="39" t="str">
        <f>'SWOT Assessment'!A14</f>
        <v>CORE-E05</v>
      </c>
      <c r="B14" s="40" t="str">
        <f>'SWOT Assessment'!B14</f>
        <v>External</v>
      </c>
      <c r="C14" s="40" t="str">
        <f>'SWOT Assessment'!D14</f>
        <v>Technology, Risk &amp; Environment</v>
      </c>
      <c r="D14" s="40">
        <f>'SWOT Assessment'!F14</f>
        <v>0</v>
      </c>
      <c r="E14" s="40" t="str">
        <f>'SWOT Assessment'!H14</f>
        <v/>
      </c>
      <c r="F14" s="40">
        <f>'SWOT Assessment'!I14</f>
        <v>0</v>
      </c>
      <c r="G14" s="40">
        <f>'SWOT Assessment'!J14</f>
        <v>3</v>
      </c>
      <c r="H14" s="40">
        <f>'SWOT Assessment'!K14</f>
        <v>1</v>
      </c>
      <c r="I14" s="40" t="str">
        <f>'SWOT Assessment'!L14</f>
        <v/>
      </c>
      <c r="J14" s="40" t="str">
        <f>IF(OR(E14="",E14="Review",I14=""),"",COUNTIFS($E$5:$E$24,E14,$I$5:$I$24,"&gt;"&amp;I14)+COUNTIFS($E$5:E14,E14,$I$5:I14,I14))</f>
        <v/>
      </c>
      <c r="K14" s="40" t="str">
        <f>'SWOT Assessment'!N14</f>
        <v>Risk, Integrity &amp; Resilience</v>
      </c>
      <c r="L14" s="40" t="str">
        <f t="shared" si="0"/>
        <v/>
      </c>
      <c r="M14" s="40" t="str">
        <f t="shared" si="1"/>
        <v/>
      </c>
      <c r="N14" s="40" t="str">
        <f t="shared" si="2"/>
        <v/>
      </c>
      <c r="O14" s="40" t="str">
        <f t="shared" si="3"/>
        <v/>
      </c>
      <c r="P14" s="41">
        <v>10</v>
      </c>
    </row>
    <row r="15" spans="1:16" s="38" customFormat="1" ht="22.5" customHeight="1">
      <c r="A15" s="39" t="str">
        <f>'SWOT Assessment'!A15</f>
        <v>CLB-I01</v>
      </c>
      <c r="B15" s="40" t="str">
        <f>'SWOT Assessment'!B15</f>
        <v>Internal</v>
      </c>
      <c r="C15" s="40" t="str">
        <f>'SWOT Assessment'!D15</f>
        <v>Committee &amp; Governance</v>
      </c>
      <c r="D15" s="40">
        <f>'SWOT Assessment'!F15</f>
        <v>0</v>
      </c>
      <c r="E15" s="40" t="str">
        <f>'SWOT Assessment'!H15</f>
        <v/>
      </c>
      <c r="F15" s="40">
        <f>'SWOT Assessment'!I15</f>
        <v>0</v>
      </c>
      <c r="G15" s="40">
        <f>'SWOT Assessment'!J15</f>
        <v>3</v>
      </c>
      <c r="H15" s="40">
        <f>'SWOT Assessment'!K15</f>
        <v>1</v>
      </c>
      <c r="I15" s="40" t="str">
        <f>'SWOT Assessment'!L15</f>
        <v/>
      </c>
      <c r="J15" s="40" t="str">
        <f>IF(OR(E15="",E15="Review",I15=""),"",COUNTIFS($E$5:$E$24,E15,$I$5:$I$24,"&gt;"&amp;I15)+COUNTIFS($E$5:E15,E15,$I$5:I15,I15))</f>
        <v/>
      </c>
      <c r="K15" s="40" t="str">
        <f>'SWOT Assessment'!N15</f>
        <v>Governance &amp; Leadership</v>
      </c>
      <c r="L15" s="40" t="str">
        <f t="shared" si="0"/>
        <v/>
      </c>
      <c r="M15" s="40" t="str">
        <f t="shared" si="1"/>
        <v/>
      </c>
      <c r="N15" s="40" t="str">
        <f t="shared" si="2"/>
        <v/>
      </c>
      <c r="O15" s="40" t="str">
        <f t="shared" si="3"/>
        <v/>
      </c>
      <c r="P15" s="41">
        <v>11</v>
      </c>
    </row>
    <row r="16" spans="1:16" s="38" customFormat="1" ht="22.5" customHeight="1">
      <c r="A16" s="39" t="str">
        <f>'SWOT Assessment'!A16</f>
        <v>CLB-I02</v>
      </c>
      <c r="B16" s="40" t="str">
        <f>'SWOT Assessment'!B16</f>
        <v>Internal</v>
      </c>
      <c r="C16" s="40" t="str">
        <f>'SWOT Assessment'!D16</f>
        <v>Members &amp; Retention</v>
      </c>
      <c r="D16" s="40">
        <f>'SWOT Assessment'!F16</f>
        <v>0</v>
      </c>
      <c r="E16" s="40" t="str">
        <f>'SWOT Assessment'!H16</f>
        <v/>
      </c>
      <c r="F16" s="40">
        <f>'SWOT Assessment'!I16</f>
        <v>0</v>
      </c>
      <c r="G16" s="40">
        <f>'SWOT Assessment'!J16</f>
        <v>3</v>
      </c>
      <c r="H16" s="40">
        <f>'SWOT Assessment'!K16</f>
        <v>1</v>
      </c>
      <c r="I16" s="40" t="str">
        <f>'SWOT Assessment'!L16</f>
        <v/>
      </c>
      <c r="J16" s="40" t="str">
        <f>IF(OR(E16="",E16="Review",I16=""),"",COUNTIFS($E$5:$E$24,E16,$I$5:$I$24,"&gt;"&amp;I16)+COUNTIFS($E$5:E16,E16,$I$5:I16,I16))</f>
        <v/>
      </c>
      <c r="K16" s="40" t="str">
        <f>'SWOT Assessment'!N16</f>
        <v>Membership &amp; Participation</v>
      </c>
      <c r="L16" s="40" t="str">
        <f t="shared" si="0"/>
        <v/>
      </c>
      <c r="M16" s="40" t="str">
        <f t="shared" si="1"/>
        <v/>
      </c>
      <c r="N16" s="40" t="str">
        <f t="shared" si="2"/>
        <v/>
      </c>
      <c r="O16" s="40" t="str">
        <f t="shared" si="3"/>
        <v/>
      </c>
      <c r="P16" s="41">
        <v>12</v>
      </c>
    </row>
    <row r="17" spans="1:16" s="38" customFormat="1" ht="22.5" customHeight="1">
      <c r="A17" s="39" t="str">
        <f>'SWOT Assessment'!A17</f>
        <v>CLB-I03</v>
      </c>
      <c r="B17" s="40" t="str">
        <f>'SWOT Assessment'!B17</f>
        <v>Internal</v>
      </c>
      <c r="C17" s="40" t="str">
        <f>'SWOT Assessment'!D17</f>
        <v>Coaches &amp; Volunteers</v>
      </c>
      <c r="D17" s="40">
        <f>'SWOT Assessment'!F17</f>
        <v>0</v>
      </c>
      <c r="E17" s="40" t="str">
        <f>'SWOT Assessment'!H17</f>
        <v/>
      </c>
      <c r="F17" s="40">
        <f>'SWOT Assessment'!I17</f>
        <v>0</v>
      </c>
      <c r="G17" s="40">
        <f>'SWOT Assessment'!J17</f>
        <v>3</v>
      </c>
      <c r="H17" s="40">
        <f>'SWOT Assessment'!K17</f>
        <v>1</v>
      </c>
      <c r="I17" s="40" t="str">
        <f>'SWOT Assessment'!L17</f>
        <v/>
      </c>
      <c r="J17" s="40" t="str">
        <f>IF(OR(E17="",E17="Review",I17=""),"",COUNTIFS($E$5:$E$24,E17,$I$5:$I$24,"&gt;"&amp;I17)+COUNTIFS($E$5:E17,E17,$I$5:I17,I17))</f>
        <v/>
      </c>
      <c r="K17" s="40" t="str">
        <f>'SWOT Assessment'!N17</f>
        <v>People &amp; Capability</v>
      </c>
      <c r="L17" s="40" t="str">
        <f t="shared" si="0"/>
        <v/>
      </c>
      <c r="M17" s="40" t="str">
        <f t="shared" si="1"/>
        <v/>
      </c>
      <c r="N17" s="40" t="str">
        <f t="shared" si="2"/>
        <v/>
      </c>
      <c r="O17" s="40" t="str">
        <f t="shared" si="3"/>
        <v/>
      </c>
      <c r="P17" s="41">
        <v>13</v>
      </c>
    </row>
    <row r="18" spans="1:16" s="38" customFormat="1" ht="22.5" customHeight="1">
      <c r="A18" s="39" t="str">
        <f>'SWOT Assessment'!A18</f>
        <v>CLB-I04</v>
      </c>
      <c r="B18" s="40" t="str">
        <f>'SWOT Assessment'!B18</f>
        <v>Internal</v>
      </c>
      <c r="C18" s="40" t="str">
        <f>'SWOT Assessment'!D18</f>
        <v>Facility &amp; Equipment</v>
      </c>
      <c r="D18" s="40">
        <f>'SWOT Assessment'!F18</f>
        <v>0</v>
      </c>
      <c r="E18" s="40" t="str">
        <f>'SWOT Assessment'!H18</f>
        <v/>
      </c>
      <c r="F18" s="40">
        <f>'SWOT Assessment'!I18</f>
        <v>0</v>
      </c>
      <c r="G18" s="40">
        <f>'SWOT Assessment'!J18</f>
        <v>3</v>
      </c>
      <c r="H18" s="40">
        <f>'SWOT Assessment'!K18</f>
        <v>1</v>
      </c>
      <c r="I18" s="40" t="str">
        <f>'SWOT Assessment'!L18</f>
        <v/>
      </c>
      <c r="J18" s="40" t="str">
        <f>IF(OR(E18="",E18="Review",I18=""),"",COUNTIFS($E$5:$E$24,E18,$I$5:$I$24,"&gt;"&amp;I18)+COUNTIFS($E$5:E18,E18,$I$5:I18,I18))</f>
        <v/>
      </c>
      <c r="K18" s="40" t="str">
        <f>'SWOT Assessment'!N18</f>
        <v>Facilities &amp; Assets</v>
      </c>
      <c r="L18" s="40" t="str">
        <f t="shared" si="0"/>
        <v/>
      </c>
      <c r="M18" s="40" t="str">
        <f t="shared" si="1"/>
        <v/>
      </c>
      <c r="N18" s="40" t="str">
        <f t="shared" si="2"/>
        <v/>
      </c>
      <c r="O18" s="40" t="str">
        <f t="shared" si="3"/>
        <v/>
      </c>
      <c r="P18" s="41">
        <v>14</v>
      </c>
    </row>
    <row r="19" spans="1:16" s="38" customFormat="1" ht="22.5" customHeight="1">
      <c r="A19" s="39" t="str">
        <f>'SWOT Assessment'!A19</f>
        <v>CLB-I05</v>
      </c>
      <c r="B19" s="40" t="str">
        <f>'SWOT Assessment'!B19</f>
        <v>Internal</v>
      </c>
      <c r="C19" s="40" t="str">
        <f>'SWOT Assessment'!D19</f>
        <v>Programme &amp; Finances</v>
      </c>
      <c r="D19" s="40">
        <f>'SWOT Assessment'!F19</f>
        <v>0</v>
      </c>
      <c r="E19" s="40" t="str">
        <f>'SWOT Assessment'!H19</f>
        <v/>
      </c>
      <c r="F19" s="40">
        <f>'SWOT Assessment'!I19</f>
        <v>0</v>
      </c>
      <c r="G19" s="40">
        <f>'SWOT Assessment'!J19</f>
        <v>3</v>
      </c>
      <c r="H19" s="40">
        <f>'SWOT Assessment'!K19</f>
        <v>1</v>
      </c>
      <c r="I19" s="40" t="str">
        <f>'SWOT Assessment'!L19</f>
        <v/>
      </c>
      <c r="J19" s="40" t="str">
        <f>IF(OR(E19="",E19="Review",I19=""),"",COUNTIFS($E$5:$E$24,E19,$I$5:$I$24,"&gt;"&amp;I19)+COUNTIFS($E$5:E19,E19,$I$5:I19,I19))</f>
        <v/>
      </c>
      <c r="K19" s="40" t="str">
        <f>'SWOT Assessment'!N19</f>
        <v>Programmes &amp; Sustainability</v>
      </c>
      <c r="L19" s="40" t="str">
        <f t="shared" si="0"/>
        <v/>
      </c>
      <c r="M19" s="40" t="str">
        <f t="shared" si="1"/>
        <v/>
      </c>
      <c r="N19" s="40" t="str">
        <f t="shared" si="2"/>
        <v/>
      </c>
      <c r="O19" s="40" t="str">
        <f t="shared" si="3"/>
        <v/>
      </c>
      <c r="P19" s="41">
        <v>15</v>
      </c>
    </row>
    <row r="20" spans="1:16" s="38" customFormat="1" ht="22.5" customHeight="1">
      <c r="A20" s="39" t="str">
        <f>'SWOT Assessment'!A20</f>
        <v>CLB-E01</v>
      </c>
      <c r="B20" s="40" t="str">
        <f>'SWOT Assessment'!B20</f>
        <v>External</v>
      </c>
      <c r="C20" s="40" t="str">
        <f>'SWOT Assessment'!D20</f>
        <v>Community Demand</v>
      </c>
      <c r="D20" s="40">
        <f>'SWOT Assessment'!F20</f>
        <v>0</v>
      </c>
      <c r="E20" s="40" t="str">
        <f>'SWOT Assessment'!H20</f>
        <v/>
      </c>
      <c r="F20" s="40">
        <f>'SWOT Assessment'!I20</f>
        <v>0</v>
      </c>
      <c r="G20" s="40">
        <f>'SWOT Assessment'!J20</f>
        <v>3</v>
      </c>
      <c r="H20" s="40">
        <f>'SWOT Assessment'!K20</f>
        <v>1</v>
      </c>
      <c r="I20" s="40" t="str">
        <f>'SWOT Assessment'!L20</f>
        <v/>
      </c>
      <c r="J20" s="40" t="str">
        <f>IF(OR(E20="",E20="Review",I20=""),"",COUNTIFS($E$5:$E$24,E20,$I$5:$I$24,"&gt;"&amp;I20)+COUNTIFS($E$5:E20,E20,$I$5:I20,I20))</f>
        <v/>
      </c>
      <c r="K20" s="40" t="str">
        <f>'SWOT Assessment'!N20</f>
        <v>Participation &amp; Community</v>
      </c>
      <c r="L20" s="40" t="str">
        <f t="shared" si="0"/>
        <v/>
      </c>
      <c r="M20" s="40" t="str">
        <f t="shared" si="1"/>
        <v/>
      </c>
      <c r="N20" s="40" t="str">
        <f t="shared" si="2"/>
        <v/>
      </c>
      <c r="O20" s="40" t="str">
        <f t="shared" si="3"/>
        <v/>
      </c>
      <c r="P20" s="41">
        <v>16</v>
      </c>
    </row>
    <row r="21" spans="1:16" s="38" customFormat="1" ht="22.5" customHeight="1">
      <c r="A21" s="39" t="str">
        <f>'SWOT Assessment'!A21</f>
        <v>CLB-E02</v>
      </c>
      <c r="B21" s="40" t="str">
        <f>'SWOT Assessment'!B21</f>
        <v>External</v>
      </c>
      <c r="C21" s="40" t="str">
        <f>'SWOT Assessment'!D21</f>
        <v>Schools &amp; Local Partners</v>
      </c>
      <c r="D21" s="40">
        <f>'SWOT Assessment'!F21</f>
        <v>0</v>
      </c>
      <c r="E21" s="40" t="str">
        <f>'SWOT Assessment'!H21</f>
        <v/>
      </c>
      <c r="F21" s="40">
        <f>'SWOT Assessment'!I21</f>
        <v>0</v>
      </c>
      <c r="G21" s="40">
        <f>'SWOT Assessment'!J21</f>
        <v>3</v>
      </c>
      <c r="H21" s="40">
        <f>'SWOT Assessment'!K21</f>
        <v>1</v>
      </c>
      <c r="I21" s="40" t="str">
        <f>'SWOT Assessment'!L21</f>
        <v/>
      </c>
      <c r="J21" s="40" t="str">
        <f>IF(OR(E21="",E21="Review",I21=""),"",COUNTIFS($E$5:$E$24,E21,$I$5:$I$24,"&gt;"&amp;I21)+COUNTIFS($E$5:E21,E21,$I$5:I21,I21))</f>
        <v/>
      </c>
      <c r="K21" s="40" t="str">
        <f>'SWOT Assessment'!N21</f>
        <v>Partnerships &amp; Stakeholders</v>
      </c>
      <c r="L21" s="40" t="str">
        <f t="shared" si="0"/>
        <v/>
      </c>
      <c r="M21" s="40" t="str">
        <f t="shared" si="1"/>
        <v/>
      </c>
      <c r="N21" s="40" t="str">
        <f t="shared" si="2"/>
        <v/>
      </c>
      <c r="O21" s="40" t="str">
        <f t="shared" si="3"/>
        <v/>
      </c>
      <c r="P21" s="41">
        <v>17</v>
      </c>
    </row>
    <row r="22" spans="1:16" s="38" customFormat="1" ht="22.5" customHeight="1">
      <c r="A22" s="39" t="str">
        <f>'SWOT Assessment'!A22</f>
        <v>CLB-E03</v>
      </c>
      <c r="B22" s="40" t="str">
        <f>'SWOT Assessment'!B22</f>
        <v>External</v>
      </c>
      <c r="C22" s="40" t="str">
        <f>'SWOT Assessment'!D22</f>
        <v>Facility Availability</v>
      </c>
      <c r="D22" s="40">
        <f>'SWOT Assessment'!F22</f>
        <v>0</v>
      </c>
      <c r="E22" s="40" t="str">
        <f>'SWOT Assessment'!H22</f>
        <v/>
      </c>
      <c r="F22" s="40">
        <f>'SWOT Assessment'!I22</f>
        <v>0</v>
      </c>
      <c r="G22" s="40">
        <f>'SWOT Assessment'!J22</f>
        <v>3</v>
      </c>
      <c r="H22" s="40">
        <f>'SWOT Assessment'!K22</f>
        <v>1</v>
      </c>
      <c r="I22" s="40" t="str">
        <f>'SWOT Assessment'!L22</f>
        <v/>
      </c>
      <c r="J22" s="40" t="str">
        <f>IF(OR(E22="",E22="Review",I22=""),"",COUNTIFS($E$5:$E$24,E22,$I$5:$I$24,"&gt;"&amp;I22)+COUNTIFS($E$5:E22,E22,$I$5:I22,I22))</f>
        <v/>
      </c>
      <c r="K22" s="40" t="str">
        <f>'SWOT Assessment'!N22</f>
        <v>Facilities &amp; Access</v>
      </c>
      <c r="L22" s="40" t="str">
        <f t="shared" si="0"/>
        <v/>
      </c>
      <c r="M22" s="40" t="str">
        <f t="shared" si="1"/>
        <v/>
      </c>
      <c r="N22" s="40" t="str">
        <f t="shared" si="2"/>
        <v/>
      </c>
      <c r="O22" s="40" t="str">
        <f t="shared" si="3"/>
        <v/>
      </c>
      <c r="P22" s="41">
        <v>18</v>
      </c>
    </row>
    <row r="23" spans="1:16" s="38" customFormat="1" ht="22.5" customHeight="1">
      <c r="A23" s="39" t="str">
        <f>'SWOT Assessment'!A23</f>
        <v>CLB-E04</v>
      </c>
      <c r="B23" s="40" t="str">
        <f>'SWOT Assessment'!B23</f>
        <v>External</v>
      </c>
      <c r="C23" s="40" t="str">
        <f>'SWOT Assessment'!D23</f>
        <v>Local Funding &amp; Sponsorship</v>
      </c>
      <c r="D23" s="40">
        <f>'SWOT Assessment'!F23</f>
        <v>0</v>
      </c>
      <c r="E23" s="40" t="str">
        <f>'SWOT Assessment'!H23</f>
        <v/>
      </c>
      <c r="F23" s="40">
        <f>'SWOT Assessment'!I23</f>
        <v>0</v>
      </c>
      <c r="G23" s="40">
        <f>'SWOT Assessment'!J23</f>
        <v>3</v>
      </c>
      <c r="H23" s="40">
        <f>'SWOT Assessment'!K23</f>
        <v>1</v>
      </c>
      <c r="I23" s="40" t="str">
        <f>'SWOT Assessment'!L23</f>
        <v/>
      </c>
      <c r="J23" s="40" t="str">
        <f>IF(OR(E23="",E23="Review",I23=""),"",COUNTIFS($E$5:$E$24,E23,$I$5:$I$24,"&gt;"&amp;I23)+COUNTIFS($E$5:E23,E23,$I$5:I23,I23))</f>
        <v/>
      </c>
      <c r="K23" s="40" t="str">
        <f>'SWOT Assessment'!N23</f>
        <v>Finance &amp; Sustainability</v>
      </c>
      <c r="L23" s="40" t="str">
        <f t="shared" si="0"/>
        <v/>
      </c>
      <c r="M23" s="40" t="str">
        <f t="shared" si="1"/>
        <v/>
      </c>
      <c r="N23" s="40" t="str">
        <f t="shared" si="2"/>
        <v/>
      </c>
      <c r="O23" s="40" t="str">
        <f t="shared" si="3"/>
        <v/>
      </c>
      <c r="P23" s="41">
        <v>19</v>
      </c>
    </row>
    <row r="24" spans="1:16" s="38" customFormat="1" ht="22.5" customHeight="1">
      <c r="A24" s="39" t="str">
        <f>'SWOT Assessment'!A24</f>
        <v>CLB-E05</v>
      </c>
      <c r="B24" s="40" t="str">
        <f>'SWOT Assessment'!B24</f>
        <v>External</v>
      </c>
      <c r="C24" s="40" t="str">
        <f>'SWOT Assessment'!D24</f>
        <v>Safety, Inclusion &amp; Regulation</v>
      </c>
      <c r="D24" s="40">
        <f>'SWOT Assessment'!F24</f>
        <v>0</v>
      </c>
      <c r="E24" s="40" t="str">
        <f>'SWOT Assessment'!H24</f>
        <v/>
      </c>
      <c r="F24" s="40">
        <f>'SWOT Assessment'!I24</f>
        <v>0</v>
      </c>
      <c r="G24" s="40">
        <f>'SWOT Assessment'!J24</f>
        <v>3</v>
      </c>
      <c r="H24" s="40">
        <f>'SWOT Assessment'!K24</f>
        <v>1</v>
      </c>
      <c r="I24" s="40" t="str">
        <f>'SWOT Assessment'!L24</f>
        <v/>
      </c>
      <c r="J24" s="40" t="str">
        <f>IF(OR(E24="",E24="Review",I24=""),"",COUNTIFS($E$5:$E$24,E24,$I$5:$I$24,"&gt;"&amp;I24)+COUNTIFS($E$5:E24,E24,$I$5:I24,I24))</f>
        <v/>
      </c>
      <c r="K24" s="40" t="str">
        <f>'SWOT Assessment'!N24</f>
        <v>Safety, Inclusion &amp; Integrity</v>
      </c>
      <c r="L24" s="40" t="str">
        <f t="shared" si="0"/>
        <v/>
      </c>
      <c r="M24" s="40" t="str">
        <f t="shared" si="1"/>
        <v/>
      </c>
      <c r="N24" s="40" t="str">
        <f t="shared" si="2"/>
        <v/>
      </c>
      <c r="O24" s="40" t="str">
        <f t="shared" si="3"/>
        <v/>
      </c>
      <c r="P24" s="41">
        <v>20</v>
      </c>
    </row>
    <row r="25" spans="1:16" s="38" customFormat="1"/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HOME</vt:lpstr>
      <vt:lpstr>SWOT Assessment</vt:lpstr>
      <vt:lpstr>SWOT Matrix</vt:lpstr>
      <vt:lpstr>Strategic Preparation</vt:lpstr>
      <vt:lpstr>Gate Review</vt:lpstr>
      <vt:lpstr>Strategic Summary</vt:lpstr>
      <vt:lpstr>Technical - Context</vt:lpstr>
      <vt:lpstr>Technical - Automation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Brian Minikin</cp:lastModifiedBy>
  <dcterms:created xsi:type="dcterms:W3CDTF">2026-09-02T10:13:21Z</dcterms:created>
  <dcterms:modified xsi:type="dcterms:W3CDTF">2026-09-02T10:13:21Z</dcterms:modified>
</cp:coreProperties>
</file>